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date1904="1" codeName="ThisWorkbook" hidePivotFieldList="1"/>
  <mc:AlternateContent xmlns:mc="http://schemas.openxmlformats.org/markup-compatibility/2006">
    <mc:Choice Requires="x15">
      <x15ac:absPath xmlns:x15ac="http://schemas.microsoft.com/office/spreadsheetml/2010/11/ac" url="Q:\Finances Communales\1. Péréquations\2021\Decompte\1. Décompte définitif\0330 - Décompte provvisoire\"/>
    </mc:Choice>
  </mc:AlternateContent>
  <xr:revisionPtr revIDLastSave="0" documentId="13_ncr:1_{C51F5EF2-8082-45CA-9C4B-37D2314278F9}" xr6:coauthVersionLast="46" xr6:coauthVersionMax="46" xr10:uidLastSave="{00000000-0000-0000-0000-000000000000}"/>
  <workbookProtection workbookAlgorithmName="SHA-512" workbookHashValue="V+lFam7yF8Zdqt8Gl4z3+7uMGqR0mc08gAKjDtvDtomxDWXlq0KcW9nmZr8VTInPuxyX3NuUgvLsf74ES5xq1w==" workbookSaltValue="d/v0p4+mnHCAhOzFlJzwHg==" workbookSpinCount="100000" lockStructure="1"/>
  <bookViews>
    <workbookView xWindow="-120" yWindow="-120" windowWidth="29040" windowHeight="15840" tabRatio="923" firstSheet="1" activeTab="1" xr2:uid="{00000000-000D-0000-FFFF-FFFF00000000}"/>
  </bookViews>
  <sheets>
    <sheet name="Paramètres" sheetId="40" state="hidden" r:id="rId1"/>
    <sheet name="Recherche" sheetId="48" r:id="rId2"/>
    <sheet name="A) Base RI" sheetId="42" state="hidden" r:id="rId3"/>
    <sheet name="B) D RI" sheetId="19" state="hidden" r:id="rId4"/>
    <sheet name="C) Prél. conj." sheetId="32" state="hidden" r:id="rId5"/>
    <sheet name="D) Ecrêtage" sheetId="33" state="hidden" r:id="rId6"/>
    <sheet name="E) PCS" sheetId="9" state="hidden" r:id="rId7"/>
    <sheet name="F) Population" sheetId="36" state="hidden" r:id="rId8"/>
    <sheet name="G) Solidarité" sheetId="37" state="hidden" r:id="rId9"/>
    <sheet name="H) Péréquation directe" sheetId="34" state="hidden" r:id="rId10"/>
    <sheet name="I) Dépenses thématiques" sheetId="11" state="hidden" r:id="rId11"/>
    <sheet name="J) Plafonnement effort" sheetId="12" state="hidden" r:id="rId12"/>
    <sheet name="K) Plafonnement aide" sheetId="39" state="hidden" r:id="rId13"/>
    <sheet name="L) Plafonnement taux" sheetId="13" state="hidden" r:id="rId14"/>
    <sheet name="M) Police" sheetId="49" state="hidden" r:id="rId15"/>
    <sheet name="Synthèse" sheetId="25" state="hidden" r:id="rId16"/>
    <sheet name="Acomptes vs Décompte" sheetId="54" state="hidden" r:id="rId17"/>
  </sheets>
  <externalReferences>
    <externalReference r:id="rId18"/>
  </externalReferences>
  <definedNames>
    <definedName name="_xlnm._FilterDatabase" localSheetId="4" hidden="1">'C) Prél. conj.'!$A$4:$H$314</definedName>
    <definedName name="_xlnm._FilterDatabase" localSheetId="6" hidden="1">'E) PCS'!$A$10:$G$320</definedName>
    <definedName name="_xlnm._FilterDatabase" localSheetId="9" hidden="1">'H) Péréquation directe'!$A$14:$I$324</definedName>
    <definedName name="_xlnm._FilterDatabase" localSheetId="15" hidden="1">Synthèse!$A$4:$L$316</definedName>
    <definedName name="_xlnm.Database" localSheetId="16">#REF!</definedName>
    <definedName name="_xlnm.Database">#REF!</definedName>
    <definedName name="_xlnm.Print_Titles" localSheetId="4">'C) Prél. conj.'!$4:$5</definedName>
    <definedName name="_xlnm.Print_Titles" localSheetId="6">'E) PCS'!$10:$11</definedName>
    <definedName name="_xlnm.Print_Titles" localSheetId="10">'I) Dépenses thématiques'!$4:$5</definedName>
    <definedName name="_xlnm.Print_Titles" localSheetId="11">'J) Plafonnement effort'!$4:$5</definedName>
    <definedName name="_xlnm.Print_Titles" localSheetId="13">'L) Plafonnement taux'!$5:$6</definedName>
    <definedName name="_xlnm.Print_Titles" localSheetId="14">'M) Police'!$4:$4</definedName>
    <definedName name="_xlnm.Print_Titles" localSheetId="15">Synthèse!$4:$5</definedName>
    <definedName name="ind">2</definedName>
    <definedName name="_xlnm.Print_Area" localSheetId="2">'A) Base RI'!#REF!</definedName>
    <definedName name="_xlnm.Print_Area" localSheetId="9">'H) Péréquation directe'!$315:$346</definedName>
    <definedName name="_xlnm.Print_Area" localSheetId="13">'L) Plafonnement taux'!$A$1:$R$316</definedName>
    <definedName name="_xlnm.Print_Area" localSheetId="14">'M) Police'!$A$1:$N$314</definedName>
    <definedName name="_xlnm.Print_Area" localSheetId="1">Recherche!$B$6:$F$68</definedName>
    <definedName name="_xlnm.Print_Area" localSheetId="15">Synthèse!$A$1:$N$314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L6" i="25" l="1"/>
  <c r="F20" i="32"/>
  <c r="B6" i="48"/>
  <c r="AJ22" i="42" l="1"/>
  <c r="AJ48" i="42"/>
  <c r="AJ64" i="42"/>
  <c r="AJ70" i="42"/>
  <c r="AJ73" i="42"/>
  <c r="AJ75" i="42"/>
  <c r="AJ136" i="42"/>
  <c r="AJ152" i="42"/>
  <c r="AJ253" i="42"/>
  <c r="AJ281" i="42"/>
  <c r="AJ316" i="42"/>
  <c r="AA30" i="42" l="1"/>
  <c r="AA87" i="42"/>
  <c r="AA295" i="42"/>
  <c r="AA292" i="42"/>
  <c r="AA272" i="42"/>
  <c r="AA312" i="42" l="1"/>
  <c r="AA293" i="42"/>
  <c r="AA36" i="42"/>
  <c r="AF8" i="42"/>
  <c r="AG8" i="42"/>
  <c r="AH8" i="42"/>
  <c r="AF9" i="42"/>
  <c r="AG9" i="42"/>
  <c r="AH9" i="42"/>
  <c r="AF10" i="42"/>
  <c r="AG10" i="42"/>
  <c r="AH10" i="42"/>
  <c r="AF11" i="42"/>
  <c r="AG11" i="42"/>
  <c r="AH11" i="42"/>
  <c r="AF12" i="42"/>
  <c r="AG12" i="42"/>
  <c r="AH12" i="42"/>
  <c r="AF13" i="42"/>
  <c r="AG13" i="42"/>
  <c r="AH13" i="42"/>
  <c r="AF14" i="42"/>
  <c r="AG14" i="42"/>
  <c r="AH14" i="42"/>
  <c r="AF15" i="42"/>
  <c r="AG15" i="42"/>
  <c r="AH15" i="42"/>
  <c r="AF16" i="42"/>
  <c r="AG16" i="42"/>
  <c r="AH16" i="42"/>
  <c r="AF17" i="42"/>
  <c r="AG17" i="42"/>
  <c r="AH17" i="42"/>
  <c r="AF18" i="42"/>
  <c r="AG18" i="42"/>
  <c r="AH18" i="42"/>
  <c r="AF19" i="42"/>
  <c r="AG19" i="42"/>
  <c r="AH19" i="42"/>
  <c r="AF20" i="42"/>
  <c r="AG20" i="42"/>
  <c r="AH20" i="42"/>
  <c r="AF21" i="42"/>
  <c r="AG21" i="42"/>
  <c r="AH21" i="42"/>
  <c r="AF22" i="42"/>
  <c r="AG22" i="42"/>
  <c r="AH22" i="42"/>
  <c r="AF23" i="42"/>
  <c r="AG23" i="42"/>
  <c r="AH23" i="42"/>
  <c r="AF24" i="42"/>
  <c r="AG24" i="42"/>
  <c r="AH24" i="42"/>
  <c r="AF25" i="42"/>
  <c r="AG25" i="42"/>
  <c r="AH25" i="42"/>
  <c r="AF26" i="42"/>
  <c r="AG26" i="42"/>
  <c r="AH26" i="42"/>
  <c r="AF27" i="42"/>
  <c r="AG27" i="42"/>
  <c r="AH27" i="42"/>
  <c r="AF28" i="42"/>
  <c r="AG28" i="42"/>
  <c r="AH28" i="42"/>
  <c r="AF29" i="42"/>
  <c r="AG29" i="42"/>
  <c r="AH29" i="42"/>
  <c r="AF30" i="42"/>
  <c r="AG30" i="42"/>
  <c r="AH30" i="42"/>
  <c r="AF31" i="42"/>
  <c r="AG31" i="42"/>
  <c r="AH31" i="42"/>
  <c r="AF32" i="42"/>
  <c r="AG32" i="42"/>
  <c r="AH32" i="42"/>
  <c r="AF33" i="42"/>
  <c r="AG33" i="42"/>
  <c r="AH33" i="42"/>
  <c r="AF34" i="42"/>
  <c r="AG34" i="42"/>
  <c r="AH34" i="42"/>
  <c r="AF35" i="42"/>
  <c r="AG35" i="42"/>
  <c r="AH35" i="42"/>
  <c r="AF36" i="42"/>
  <c r="AG36" i="42"/>
  <c r="AH36" i="42"/>
  <c r="AF37" i="42"/>
  <c r="AG37" i="42"/>
  <c r="AH37" i="42"/>
  <c r="AF38" i="42"/>
  <c r="AG38" i="42"/>
  <c r="AH38" i="42"/>
  <c r="AF39" i="42"/>
  <c r="AG39" i="42"/>
  <c r="AH39" i="42"/>
  <c r="AF40" i="42"/>
  <c r="AG40" i="42"/>
  <c r="AH40" i="42"/>
  <c r="AF41" i="42"/>
  <c r="AG41" i="42"/>
  <c r="AH41" i="42"/>
  <c r="AF42" i="42"/>
  <c r="AG42" i="42"/>
  <c r="AH42" i="42"/>
  <c r="AF43" i="42"/>
  <c r="AG43" i="42"/>
  <c r="AH43" i="42"/>
  <c r="AF44" i="42"/>
  <c r="AG44" i="42"/>
  <c r="AH44" i="42"/>
  <c r="AF45" i="42"/>
  <c r="AG45" i="42"/>
  <c r="AH45" i="42"/>
  <c r="AF46" i="42"/>
  <c r="AG46" i="42"/>
  <c r="AH46" i="42"/>
  <c r="AF47" i="42"/>
  <c r="AG47" i="42"/>
  <c r="AH47" i="42"/>
  <c r="AF48" i="42"/>
  <c r="AG48" i="42"/>
  <c r="AH48" i="42"/>
  <c r="AF49" i="42"/>
  <c r="AG49" i="42"/>
  <c r="AH49" i="42"/>
  <c r="AF50" i="42"/>
  <c r="AG50" i="42"/>
  <c r="AH50" i="42"/>
  <c r="AF51" i="42"/>
  <c r="AG51" i="42"/>
  <c r="AH51" i="42"/>
  <c r="AF52" i="42"/>
  <c r="AG52" i="42"/>
  <c r="AH52" i="42"/>
  <c r="AF53" i="42"/>
  <c r="AG53" i="42"/>
  <c r="AH53" i="42"/>
  <c r="AF54" i="42"/>
  <c r="AG54" i="42"/>
  <c r="AH54" i="42"/>
  <c r="AF55" i="42"/>
  <c r="AG55" i="42"/>
  <c r="AH55" i="42"/>
  <c r="AF56" i="42"/>
  <c r="AG56" i="42"/>
  <c r="AH56" i="42"/>
  <c r="AF57" i="42"/>
  <c r="AG57" i="42"/>
  <c r="AH57" i="42"/>
  <c r="AF58" i="42"/>
  <c r="AG58" i="42"/>
  <c r="AH58" i="42"/>
  <c r="AF59" i="42"/>
  <c r="AG59" i="42"/>
  <c r="AH59" i="42"/>
  <c r="AF60" i="42"/>
  <c r="AG60" i="42"/>
  <c r="AH60" i="42"/>
  <c r="AF61" i="42"/>
  <c r="AG61" i="42"/>
  <c r="AH61" i="42"/>
  <c r="AF62" i="42"/>
  <c r="AG62" i="42"/>
  <c r="AH62" i="42"/>
  <c r="AF63" i="42"/>
  <c r="AG63" i="42"/>
  <c r="AH63" i="42"/>
  <c r="AF64" i="42"/>
  <c r="AG64" i="42"/>
  <c r="AH64" i="42"/>
  <c r="AF65" i="42"/>
  <c r="AG65" i="42"/>
  <c r="AH65" i="42"/>
  <c r="AF66" i="42"/>
  <c r="AG66" i="42"/>
  <c r="AH66" i="42"/>
  <c r="AF67" i="42"/>
  <c r="AG67" i="42"/>
  <c r="AH67" i="42"/>
  <c r="AF68" i="42"/>
  <c r="AG68" i="42"/>
  <c r="AH68" i="42"/>
  <c r="AF69" i="42"/>
  <c r="AG69" i="42"/>
  <c r="AH69" i="42"/>
  <c r="AF70" i="42"/>
  <c r="AG70" i="42"/>
  <c r="AH70" i="42"/>
  <c r="AF71" i="42"/>
  <c r="AG71" i="42"/>
  <c r="AH71" i="42"/>
  <c r="AF72" i="42"/>
  <c r="AG72" i="42"/>
  <c r="AH72" i="42"/>
  <c r="AF73" i="42"/>
  <c r="AG73" i="42"/>
  <c r="AH73" i="42"/>
  <c r="AF74" i="42"/>
  <c r="AG74" i="42"/>
  <c r="AH74" i="42"/>
  <c r="AF75" i="42"/>
  <c r="AG75" i="42"/>
  <c r="AH75" i="42"/>
  <c r="AF76" i="42"/>
  <c r="AG76" i="42"/>
  <c r="AH76" i="42"/>
  <c r="AF77" i="42"/>
  <c r="AG77" i="42"/>
  <c r="AH77" i="42"/>
  <c r="AF78" i="42"/>
  <c r="AG78" i="42"/>
  <c r="AH78" i="42"/>
  <c r="AF79" i="42"/>
  <c r="AG79" i="42"/>
  <c r="AH79" i="42"/>
  <c r="AF80" i="42"/>
  <c r="AG80" i="42"/>
  <c r="AH80" i="42"/>
  <c r="AF81" i="42"/>
  <c r="AG81" i="42"/>
  <c r="AH81" i="42"/>
  <c r="AF82" i="42"/>
  <c r="AG82" i="42"/>
  <c r="AH82" i="42"/>
  <c r="AF83" i="42"/>
  <c r="AG83" i="42"/>
  <c r="AH83" i="42"/>
  <c r="AF84" i="42"/>
  <c r="AG84" i="42"/>
  <c r="AH84" i="42"/>
  <c r="AF85" i="42"/>
  <c r="AG85" i="42"/>
  <c r="AH85" i="42"/>
  <c r="AF86" i="42"/>
  <c r="AG86" i="42"/>
  <c r="AH86" i="42"/>
  <c r="AF87" i="42"/>
  <c r="AG87" i="42"/>
  <c r="AH87" i="42"/>
  <c r="AF88" i="42"/>
  <c r="AG88" i="42"/>
  <c r="AH88" i="42"/>
  <c r="AF89" i="42"/>
  <c r="AG89" i="42"/>
  <c r="AH89" i="42"/>
  <c r="AF90" i="42"/>
  <c r="AG90" i="42"/>
  <c r="AH90" i="42"/>
  <c r="AF91" i="42"/>
  <c r="AG91" i="42"/>
  <c r="AH91" i="42"/>
  <c r="AF92" i="42"/>
  <c r="AG92" i="42"/>
  <c r="AH92" i="42"/>
  <c r="AF93" i="42"/>
  <c r="AG93" i="42"/>
  <c r="AH93" i="42"/>
  <c r="AF94" i="42"/>
  <c r="AG94" i="42"/>
  <c r="AH94" i="42"/>
  <c r="AF95" i="42"/>
  <c r="AG95" i="42"/>
  <c r="AH95" i="42"/>
  <c r="AF96" i="42"/>
  <c r="AG96" i="42"/>
  <c r="AH96" i="42"/>
  <c r="AF97" i="42"/>
  <c r="AG97" i="42"/>
  <c r="AH97" i="42"/>
  <c r="AF98" i="42"/>
  <c r="AG98" i="42"/>
  <c r="AH98" i="42"/>
  <c r="AF99" i="42"/>
  <c r="AG99" i="42"/>
  <c r="AH99" i="42"/>
  <c r="AF100" i="42"/>
  <c r="AG100" i="42"/>
  <c r="AH100" i="42"/>
  <c r="AF101" i="42"/>
  <c r="AG101" i="42"/>
  <c r="AH101" i="42"/>
  <c r="AF102" i="42"/>
  <c r="AG102" i="42"/>
  <c r="AH102" i="42"/>
  <c r="AF103" i="42"/>
  <c r="AG103" i="42"/>
  <c r="AH103" i="42"/>
  <c r="AF104" i="42"/>
  <c r="AG104" i="42"/>
  <c r="AH104" i="42"/>
  <c r="AF105" i="42"/>
  <c r="AG105" i="42"/>
  <c r="AH105" i="42"/>
  <c r="AF106" i="42"/>
  <c r="AG106" i="42"/>
  <c r="AH106" i="42"/>
  <c r="AF107" i="42"/>
  <c r="AG107" i="42"/>
  <c r="AH107" i="42"/>
  <c r="AF108" i="42"/>
  <c r="AG108" i="42"/>
  <c r="AH108" i="42"/>
  <c r="AF109" i="42"/>
  <c r="AG109" i="42"/>
  <c r="AH109" i="42"/>
  <c r="AF110" i="42"/>
  <c r="AG110" i="42"/>
  <c r="AH110" i="42"/>
  <c r="AF111" i="42"/>
  <c r="AG111" i="42"/>
  <c r="AH111" i="42"/>
  <c r="AF112" i="42"/>
  <c r="AG112" i="42"/>
  <c r="AH112" i="42"/>
  <c r="AF113" i="42"/>
  <c r="AG113" i="42"/>
  <c r="AH113" i="42"/>
  <c r="AF114" i="42"/>
  <c r="AG114" i="42"/>
  <c r="AH114" i="42"/>
  <c r="AF115" i="42"/>
  <c r="AG115" i="42"/>
  <c r="AH115" i="42"/>
  <c r="AF116" i="42"/>
  <c r="AG116" i="42"/>
  <c r="AH116" i="42"/>
  <c r="AF117" i="42"/>
  <c r="AG117" i="42"/>
  <c r="AH117" i="42"/>
  <c r="AF118" i="42"/>
  <c r="AG118" i="42"/>
  <c r="AH118" i="42"/>
  <c r="AF119" i="42"/>
  <c r="AG119" i="42"/>
  <c r="AH119" i="42"/>
  <c r="AF120" i="42"/>
  <c r="AG120" i="42"/>
  <c r="AH120" i="42"/>
  <c r="AF121" i="42"/>
  <c r="AG121" i="42"/>
  <c r="AH121" i="42"/>
  <c r="AF122" i="42"/>
  <c r="AG122" i="42"/>
  <c r="AH122" i="42"/>
  <c r="AF123" i="42"/>
  <c r="AG123" i="42"/>
  <c r="AH123" i="42"/>
  <c r="AF124" i="42"/>
  <c r="AG124" i="42"/>
  <c r="AH124" i="42"/>
  <c r="AF125" i="42"/>
  <c r="AG125" i="42"/>
  <c r="AH125" i="42"/>
  <c r="AF126" i="42"/>
  <c r="AG126" i="42"/>
  <c r="AH126" i="42"/>
  <c r="AF127" i="42"/>
  <c r="AG127" i="42"/>
  <c r="AH127" i="42"/>
  <c r="AF128" i="42"/>
  <c r="AG128" i="42"/>
  <c r="AH128" i="42"/>
  <c r="AF129" i="42"/>
  <c r="AG129" i="42"/>
  <c r="AH129" i="42"/>
  <c r="AF130" i="42"/>
  <c r="AG130" i="42"/>
  <c r="AH130" i="42"/>
  <c r="AF131" i="42"/>
  <c r="AG131" i="42"/>
  <c r="AH131" i="42"/>
  <c r="AF132" i="42"/>
  <c r="AG132" i="42"/>
  <c r="AH132" i="42"/>
  <c r="AF133" i="42"/>
  <c r="AG133" i="42"/>
  <c r="AH133" i="42"/>
  <c r="AF134" i="42"/>
  <c r="AG134" i="42"/>
  <c r="AH134" i="42"/>
  <c r="AF135" i="42"/>
  <c r="AG135" i="42"/>
  <c r="AH135" i="42"/>
  <c r="AF136" i="42"/>
  <c r="AG136" i="42"/>
  <c r="AH136" i="42"/>
  <c r="AF137" i="42"/>
  <c r="AG137" i="42"/>
  <c r="AH137" i="42"/>
  <c r="AF138" i="42"/>
  <c r="AG138" i="42"/>
  <c r="AH138" i="42"/>
  <c r="AF139" i="42"/>
  <c r="AG139" i="42"/>
  <c r="AH139" i="42"/>
  <c r="AF140" i="42"/>
  <c r="AG140" i="42"/>
  <c r="AH140" i="42"/>
  <c r="AF141" i="42"/>
  <c r="AG141" i="42"/>
  <c r="AH141" i="42"/>
  <c r="AF142" i="42"/>
  <c r="AG142" i="42"/>
  <c r="AH142" i="42"/>
  <c r="AF143" i="42"/>
  <c r="AG143" i="42"/>
  <c r="AH143" i="42"/>
  <c r="AF144" i="42"/>
  <c r="AG144" i="42"/>
  <c r="AH144" i="42"/>
  <c r="AF145" i="42"/>
  <c r="AG145" i="42"/>
  <c r="AH145" i="42"/>
  <c r="AF146" i="42"/>
  <c r="AG146" i="42"/>
  <c r="AH146" i="42"/>
  <c r="AF147" i="42"/>
  <c r="AG147" i="42"/>
  <c r="AH147" i="42"/>
  <c r="AF148" i="42"/>
  <c r="AG148" i="42"/>
  <c r="AH148" i="42"/>
  <c r="AF149" i="42"/>
  <c r="AG149" i="42"/>
  <c r="AH149" i="42"/>
  <c r="AF150" i="42"/>
  <c r="AG150" i="42"/>
  <c r="AH150" i="42"/>
  <c r="AF151" i="42"/>
  <c r="AG151" i="42"/>
  <c r="AH151" i="42"/>
  <c r="AF152" i="42"/>
  <c r="AG152" i="42"/>
  <c r="AH152" i="42"/>
  <c r="AF153" i="42"/>
  <c r="AG153" i="42"/>
  <c r="AH153" i="42"/>
  <c r="AF154" i="42"/>
  <c r="AG154" i="42"/>
  <c r="AH154" i="42"/>
  <c r="AF155" i="42"/>
  <c r="AG155" i="42"/>
  <c r="AH155" i="42"/>
  <c r="AF156" i="42"/>
  <c r="AG156" i="42"/>
  <c r="AH156" i="42"/>
  <c r="AF157" i="42"/>
  <c r="AG157" i="42"/>
  <c r="AH157" i="42"/>
  <c r="AF158" i="42"/>
  <c r="AG158" i="42"/>
  <c r="AH158" i="42"/>
  <c r="AF159" i="42"/>
  <c r="AG159" i="42"/>
  <c r="AH159" i="42"/>
  <c r="AF160" i="42"/>
  <c r="AG160" i="42"/>
  <c r="AH160" i="42"/>
  <c r="AF161" i="42"/>
  <c r="AG161" i="42"/>
  <c r="AH161" i="42"/>
  <c r="AF162" i="42"/>
  <c r="AG162" i="42"/>
  <c r="AH162" i="42"/>
  <c r="AF163" i="42"/>
  <c r="AG163" i="42"/>
  <c r="AH163" i="42"/>
  <c r="AF164" i="42"/>
  <c r="AG164" i="42"/>
  <c r="AH164" i="42"/>
  <c r="AF165" i="42"/>
  <c r="AG165" i="42"/>
  <c r="AH165" i="42"/>
  <c r="AF166" i="42"/>
  <c r="AG166" i="42"/>
  <c r="AH166" i="42"/>
  <c r="AF167" i="42"/>
  <c r="AG167" i="42"/>
  <c r="AH167" i="42"/>
  <c r="AF168" i="42"/>
  <c r="AG168" i="42"/>
  <c r="AH168" i="42"/>
  <c r="AF169" i="42"/>
  <c r="AG169" i="42"/>
  <c r="AH169" i="42"/>
  <c r="AF170" i="42"/>
  <c r="AG170" i="42"/>
  <c r="AH170" i="42"/>
  <c r="AF171" i="42"/>
  <c r="AG171" i="42"/>
  <c r="AH171" i="42"/>
  <c r="AF172" i="42"/>
  <c r="AG172" i="42"/>
  <c r="AH172" i="42"/>
  <c r="AF173" i="42"/>
  <c r="AG173" i="42"/>
  <c r="AH173" i="42"/>
  <c r="AF174" i="42"/>
  <c r="AG174" i="42"/>
  <c r="AH174" i="42"/>
  <c r="AF175" i="42"/>
  <c r="AG175" i="42"/>
  <c r="AH175" i="42"/>
  <c r="AF176" i="42"/>
  <c r="AG176" i="42"/>
  <c r="AH176" i="42"/>
  <c r="AF177" i="42"/>
  <c r="AG177" i="42"/>
  <c r="AH177" i="42"/>
  <c r="AF178" i="42"/>
  <c r="AG178" i="42"/>
  <c r="AH178" i="42"/>
  <c r="AF179" i="42"/>
  <c r="AG179" i="42"/>
  <c r="AH179" i="42"/>
  <c r="AF180" i="42"/>
  <c r="AG180" i="42"/>
  <c r="AH180" i="42"/>
  <c r="AF181" i="42"/>
  <c r="AG181" i="42"/>
  <c r="AH181" i="42"/>
  <c r="AF182" i="42"/>
  <c r="AG182" i="42"/>
  <c r="AH182" i="42"/>
  <c r="AF183" i="42"/>
  <c r="AG183" i="42"/>
  <c r="AH183" i="42"/>
  <c r="AF184" i="42"/>
  <c r="AG184" i="42"/>
  <c r="AH184" i="42"/>
  <c r="AF185" i="42"/>
  <c r="AG185" i="42"/>
  <c r="AH185" i="42"/>
  <c r="AF186" i="42"/>
  <c r="AG186" i="42"/>
  <c r="AH186" i="42"/>
  <c r="AF187" i="42"/>
  <c r="AG187" i="42"/>
  <c r="AH187" i="42"/>
  <c r="AF188" i="42"/>
  <c r="AG188" i="42"/>
  <c r="AH188" i="42"/>
  <c r="AF189" i="42"/>
  <c r="AG189" i="42"/>
  <c r="AH189" i="42"/>
  <c r="AF190" i="42"/>
  <c r="AG190" i="42"/>
  <c r="AH190" i="42"/>
  <c r="AF191" i="42"/>
  <c r="AG191" i="42"/>
  <c r="AH191" i="42"/>
  <c r="AF192" i="42"/>
  <c r="AG192" i="42"/>
  <c r="AH192" i="42"/>
  <c r="AF193" i="42"/>
  <c r="AG193" i="42"/>
  <c r="AH193" i="42"/>
  <c r="AF194" i="42"/>
  <c r="AG194" i="42"/>
  <c r="AH194" i="42"/>
  <c r="AF195" i="42"/>
  <c r="AG195" i="42"/>
  <c r="AH195" i="42"/>
  <c r="AF196" i="42"/>
  <c r="AG196" i="42"/>
  <c r="AH196" i="42"/>
  <c r="AF197" i="42"/>
  <c r="AG197" i="42"/>
  <c r="AH197" i="42"/>
  <c r="AF198" i="42"/>
  <c r="AG198" i="42"/>
  <c r="AH198" i="42"/>
  <c r="AF199" i="42"/>
  <c r="AG199" i="42"/>
  <c r="AH199" i="42"/>
  <c r="AF200" i="42"/>
  <c r="AG200" i="42"/>
  <c r="AH200" i="42"/>
  <c r="AF201" i="42"/>
  <c r="AG201" i="42"/>
  <c r="AH201" i="42"/>
  <c r="AF202" i="42"/>
  <c r="AG202" i="42"/>
  <c r="AH202" i="42"/>
  <c r="AF203" i="42"/>
  <c r="AG203" i="42"/>
  <c r="AH203" i="42"/>
  <c r="AF204" i="42"/>
  <c r="AG204" i="42"/>
  <c r="AH204" i="42"/>
  <c r="AF205" i="42"/>
  <c r="AG205" i="42"/>
  <c r="AH205" i="42"/>
  <c r="AF206" i="42"/>
  <c r="AG206" i="42"/>
  <c r="AH206" i="42"/>
  <c r="AF207" i="42"/>
  <c r="AG207" i="42"/>
  <c r="AH207" i="42"/>
  <c r="AF208" i="42"/>
  <c r="AG208" i="42"/>
  <c r="AH208" i="42"/>
  <c r="AF209" i="42"/>
  <c r="AG209" i="42"/>
  <c r="AH209" i="42"/>
  <c r="AF210" i="42"/>
  <c r="AG210" i="42"/>
  <c r="AH210" i="42"/>
  <c r="AF211" i="42"/>
  <c r="AG211" i="42"/>
  <c r="AH211" i="42"/>
  <c r="AF212" i="42"/>
  <c r="AG212" i="42"/>
  <c r="AH212" i="42"/>
  <c r="AF213" i="42"/>
  <c r="AG213" i="42"/>
  <c r="AH213" i="42"/>
  <c r="AF214" i="42"/>
  <c r="AG214" i="42"/>
  <c r="AH214" i="42"/>
  <c r="AF215" i="42"/>
  <c r="AG215" i="42"/>
  <c r="AH215" i="42"/>
  <c r="AF216" i="42"/>
  <c r="AG216" i="42"/>
  <c r="AH216" i="42"/>
  <c r="AF217" i="42"/>
  <c r="AG217" i="42"/>
  <c r="AH217" i="42"/>
  <c r="AF218" i="42"/>
  <c r="AG218" i="42"/>
  <c r="AH218" i="42"/>
  <c r="AF219" i="42"/>
  <c r="AG219" i="42"/>
  <c r="AH219" i="42"/>
  <c r="AF220" i="42"/>
  <c r="AG220" i="42"/>
  <c r="AH220" i="42"/>
  <c r="AF221" i="42"/>
  <c r="AG221" i="42"/>
  <c r="AH221" i="42"/>
  <c r="AF222" i="42"/>
  <c r="AG222" i="42"/>
  <c r="AH222" i="42"/>
  <c r="AF223" i="42"/>
  <c r="AG223" i="42"/>
  <c r="AH223" i="42"/>
  <c r="AF224" i="42"/>
  <c r="AG224" i="42"/>
  <c r="AH224" i="42"/>
  <c r="AF225" i="42"/>
  <c r="AG225" i="42"/>
  <c r="AH225" i="42"/>
  <c r="AF226" i="42"/>
  <c r="AG226" i="42"/>
  <c r="AH226" i="42"/>
  <c r="AF227" i="42"/>
  <c r="AG227" i="42"/>
  <c r="AH227" i="42"/>
  <c r="AF228" i="42"/>
  <c r="AG228" i="42"/>
  <c r="AH228" i="42"/>
  <c r="AF229" i="42"/>
  <c r="AG229" i="42"/>
  <c r="AH229" i="42"/>
  <c r="AF230" i="42"/>
  <c r="AG230" i="42"/>
  <c r="AH230" i="42"/>
  <c r="AF231" i="42"/>
  <c r="AG231" i="42"/>
  <c r="AH231" i="42"/>
  <c r="AF232" i="42"/>
  <c r="AG232" i="42"/>
  <c r="AH232" i="42"/>
  <c r="AF233" i="42"/>
  <c r="AG233" i="42"/>
  <c r="AH233" i="42"/>
  <c r="AF234" i="42"/>
  <c r="AG234" i="42"/>
  <c r="AH234" i="42"/>
  <c r="AF235" i="42"/>
  <c r="AG235" i="42"/>
  <c r="AH235" i="42"/>
  <c r="AF236" i="42"/>
  <c r="AG236" i="42"/>
  <c r="AH236" i="42"/>
  <c r="AF237" i="42"/>
  <c r="AG237" i="42"/>
  <c r="AH237" i="42"/>
  <c r="AF238" i="42"/>
  <c r="AG238" i="42"/>
  <c r="AH238" i="42"/>
  <c r="AF239" i="42"/>
  <c r="AG239" i="42"/>
  <c r="AH239" i="42"/>
  <c r="AF240" i="42"/>
  <c r="AG240" i="42"/>
  <c r="AH240" i="42"/>
  <c r="AF241" i="42"/>
  <c r="AG241" i="42"/>
  <c r="AH241" i="42"/>
  <c r="AF242" i="42"/>
  <c r="AG242" i="42"/>
  <c r="AH242" i="42"/>
  <c r="AF243" i="42"/>
  <c r="AG243" i="42"/>
  <c r="AH243" i="42"/>
  <c r="AF244" i="42"/>
  <c r="AG244" i="42"/>
  <c r="AH244" i="42"/>
  <c r="AF245" i="42"/>
  <c r="AG245" i="42"/>
  <c r="AH245" i="42"/>
  <c r="AF246" i="42"/>
  <c r="AG246" i="42"/>
  <c r="AH246" i="42"/>
  <c r="AF247" i="42"/>
  <c r="AG247" i="42"/>
  <c r="AH247" i="42"/>
  <c r="AF248" i="42"/>
  <c r="AG248" i="42"/>
  <c r="AH248" i="42"/>
  <c r="AF249" i="42"/>
  <c r="AG249" i="42"/>
  <c r="AH249" i="42"/>
  <c r="AF250" i="42"/>
  <c r="AG250" i="42"/>
  <c r="AH250" i="42"/>
  <c r="AF251" i="42"/>
  <c r="AG251" i="42"/>
  <c r="AH251" i="42"/>
  <c r="AF252" i="42"/>
  <c r="AG252" i="42"/>
  <c r="AH252" i="42"/>
  <c r="AF253" i="42"/>
  <c r="AG253" i="42"/>
  <c r="AH253" i="42"/>
  <c r="AF254" i="42"/>
  <c r="AG254" i="42"/>
  <c r="AH254" i="42"/>
  <c r="AF255" i="42"/>
  <c r="AG255" i="42"/>
  <c r="AH255" i="42"/>
  <c r="AF256" i="42"/>
  <c r="AG256" i="42"/>
  <c r="AH256" i="42"/>
  <c r="AF257" i="42"/>
  <c r="AG257" i="42"/>
  <c r="AH257" i="42"/>
  <c r="AF258" i="42"/>
  <c r="AG258" i="42"/>
  <c r="AH258" i="42"/>
  <c r="AF259" i="42"/>
  <c r="AG259" i="42"/>
  <c r="AH259" i="42"/>
  <c r="AF260" i="42"/>
  <c r="AG260" i="42"/>
  <c r="AH260" i="42"/>
  <c r="AF261" i="42"/>
  <c r="AG261" i="42"/>
  <c r="AH261" i="42"/>
  <c r="AF262" i="42"/>
  <c r="AG262" i="42"/>
  <c r="AH262" i="42"/>
  <c r="AF263" i="42"/>
  <c r="AG263" i="42"/>
  <c r="AH263" i="42"/>
  <c r="AF264" i="42"/>
  <c r="AG264" i="42"/>
  <c r="AH264" i="42"/>
  <c r="AF265" i="42"/>
  <c r="AG265" i="42"/>
  <c r="AH265" i="42"/>
  <c r="AF266" i="42"/>
  <c r="AG266" i="42"/>
  <c r="AH266" i="42"/>
  <c r="AF267" i="42"/>
  <c r="AG267" i="42"/>
  <c r="AH267" i="42"/>
  <c r="AF268" i="42"/>
  <c r="AG268" i="42"/>
  <c r="AH268" i="42"/>
  <c r="AF269" i="42"/>
  <c r="AG269" i="42"/>
  <c r="AH269" i="42"/>
  <c r="AF270" i="42"/>
  <c r="AG270" i="42"/>
  <c r="AH270" i="42"/>
  <c r="AF271" i="42"/>
  <c r="AG271" i="42"/>
  <c r="AH271" i="42"/>
  <c r="AF272" i="42"/>
  <c r="AG272" i="42"/>
  <c r="AH272" i="42"/>
  <c r="AF273" i="42"/>
  <c r="AG273" i="42"/>
  <c r="AH273" i="42"/>
  <c r="AF274" i="42"/>
  <c r="AG274" i="42"/>
  <c r="AH274" i="42"/>
  <c r="AF275" i="42"/>
  <c r="AG275" i="42"/>
  <c r="AH275" i="42"/>
  <c r="AF276" i="42"/>
  <c r="AG276" i="42"/>
  <c r="AH276" i="42"/>
  <c r="AF277" i="42"/>
  <c r="AG277" i="42"/>
  <c r="AH277" i="42"/>
  <c r="AF278" i="42"/>
  <c r="AG278" i="42"/>
  <c r="AH278" i="42"/>
  <c r="AF279" i="42"/>
  <c r="AG279" i="42"/>
  <c r="AH279" i="42"/>
  <c r="AF280" i="42"/>
  <c r="AG280" i="42"/>
  <c r="AH280" i="42"/>
  <c r="AF281" i="42"/>
  <c r="AG281" i="42"/>
  <c r="AH281" i="42"/>
  <c r="AF282" i="42"/>
  <c r="AG282" i="42"/>
  <c r="AH282" i="42"/>
  <c r="AF283" i="42"/>
  <c r="AG283" i="42"/>
  <c r="AH283" i="42"/>
  <c r="AF284" i="42"/>
  <c r="AG284" i="42"/>
  <c r="AH284" i="42"/>
  <c r="AF285" i="42"/>
  <c r="AG285" i="42"/>
  <c r="AH285" i="42"/>
  <c r="AF286" i="42"/>
  <c r="AG286" i="42"/>
  <c r="AH286" i="42"/>
  <c r="AF287" i="42"/>
  <c r="AG287" i="42"/>
  <c r="AH287" i="42"/>
  <c r="AF288" i="42"/>
  <c r="AG288" i="42"/>
  <c r="AH288" i="42"/>
  <c r="AF289" i="42"/>
  <c r="AG289" i="42"/>
  <c r="AH289" i="42"/>
  <c r="AF290" i="42"/>
  <c r="AG290" i="42"/>
  <c r="AH290" i="42"/>
  <c r="AF291" i="42"/>
  <c r="AG291" i="42"/>
  <c r="AH291" i="42"/>
  <c r="AF292" i="42"/>
  <c r="AG292" i="42"/>
  <c r="AH292" i="42"/>
  <c r="AF293" i="42"/>
  <c r="AG293" i="42"/>
  <c r="AH293" i="42"/>
  <c r="AF294" i="42"/>
  <c r="AG294" i="42"/>
  <c r="AH294" i="42"/>
  <c r="AF295" i="42"/>
  <c r="AG295" i="42"/>
  <c r="AH295" i="42"/>
  <c r="AF296" i="42"/>
  <c r="AG296" i="42"/>
  <c r="AH296" i="42"/>
  <c r="AF297" i="42"/>
  <c r="AG297" i="42"/>
  <c r="AH297" i="42"/>
  <c r="AF298" i="42"/>
  <c r="AG298" i="42"/>
  <c r="AH298" i="42"/>
  <c r="AF299" i="42"/>
  <c r="AG299" i="42"/>
  <c r="AH299" i="42"/>
  <c r="AF300" i="42"/>
  <c r="AG300" i="42"/>
  <c r="AH300" i="42"/>
  <c r="AF301" i="42"/>
  <c r="AG301" i="42"/>
  <c r="AH301" i="42"/>
  <c r="AF302" i="42"/>
  <c r="AG302" i="42"/>
  <c r="AH302" i="42"/>
  <c r="AF303" i="42"/>
  <c r="AG303" i="42"/>
  <c r="AH303" i="42"/>
  <c r="AF304" i="42"/>
  <c r="AG304" i="42"/>
  <c r="AH304" i="42"/>
  <c r="AF305" i="42"/>
  <c r="AG305" i="42"/>
  <c r="AH305" i="42"/>
  <c r="AF306" i="42"/>
  <c r="AG306" i="42"/>
  <c r="AH306" i="42"/>
  <c r="AF307" i="42"/>
  <c r="AG307" i="42"/>
  <c r="AH307" i="42"/>
  <c r="AF308" i="42"/>
  <c r="AG308" i="42"/>
  <c r="AH308" i="42"/>
  <c r="AF309" i="42"/>
  <c r="AG309" i="42"/>
  <c r="AH309" i="42"/>
  <c r="AF310" i="42"/>
  <c r="AG310" i="42"/>
  <c r="AH310" i="42"/>
  <c r="AF311" i="42"/>
  <c r="AG311" i="42"/>
  <c r="AH311" i="42"/>
  <c r="AF312" i="42"/>
  <c r="AG312" i="42"/>
  <c r="AH312" i="42"/>
  <c r="AF313" i="42"/>
  <c r="AG313" i="42"/>
  <c r="AH313" i="42"/>
  <c r="AF314" i="42"/>
  <c r="AG314" i="42"/>
  <c r="AH314" i="42"/>
  <c r="AH7" i="42"/>
  <c r="AG7" i="42"/>
  <c r="AF7" i="42"/>
  <c r="C235" i="42"/>
  <c r="V8" i="42" l="1"/>
  <c r="AJ8" i="42" s="1"/>
  <c r="V9" i="42"/>
  <c r="AJ9" i="42" s="1"/>
  <c r="V10" i="42"/>
  <c r="AJ10" i="42" s="1"/>
  <c r="V11" i="42"/>
  <c r="AJ11" i="42" s="1"/>
  <c r="V12" i="42"/>
  <c r="AJ12" i="42" s="1"/>
  <c r="V13" i="42"/>
  <c r="AJ13" i="42" s="1"/>
  <c r="V14" i="42"/>
  <c r="AJ14" i="42" s="1"/>
  <c r="V15" i="42"/>
  <c r="AJ15" i="42" s="1"/>
  <c r="V16" i="42"/>
  <c r="AJ16" i="42" s="1"/>
  <c r="V17" i="42"/>
  <c r="AJ17" i="42" s="1"/>
  <c r="V18" i="42"/>
  <c r="AJ18" i="42" s="1"/>
  <c r="V19" i="42"/>
  <c r="AJ19" i="42" s="1"/>
  <c r="V20" i="42"/>
  <c r="AJ20" i="42" s="1"/>
  <c r="V21" i="42"/>
  <c r="AJ21" i="42" s="1"/>
  <c r="V23" i="42"/>
  <c r="AJ23" i="42" s="1"/>
  <c r="V24" i="42"/>
  <c r="AJ24" i="42" s="1"/>
  <c r="V25" i="42"/>
  <c r="AJ25" i="42" s="1"/>
  <c r="V26" i="42"/>
  <c r="AJ26" i="42" s="1"/>
  <c r="V27" i="42"/>
  <c r="AJ27" i="42" s="1"/>
  <c r="V28" i="42"/>
  <c r="AJ28" i="42" s="1"/>
  <c r="V29" i="42"/>
  <c r="AJ29" i="42" s="1"/>
  <c r="V30" i="42"/>
  <c r="AJ30" i="42" s="1"/>
  <c r="V31" i="42"/>
  <c r="AJ31" i="42" s="1"/>
  <c r="V32" i="42"/>
  <c r="AJ32" i="42" s="1"/>
  <c r="V33" i="42"/>
  <c r="AJ33" i="42" s="1"/>
  <c r="V34" i="42"/>
  <c r="AJ34" i="42" s="1"/>
  <c r="V35" i="42"/>
  <c r="AJ35" i="42" s="1"/>
  <c r="V36" i="42"/>
  <c r="AJ36" i="42" s="1"/>
  <c r="V37" i="42"/>
  <c r="AJ37" i="42" s="1"/>
  <c r="V38" i="42"/>
  <c r="AJ38" i="42" s="1"/>
  <c r="V39" i="42"/>
  <c r="AJ39" i="42" s="1"/>
  <c r="V40" i="42"/>
  <c r="AJ40" i="42" s="1"/>
  <c r="V41" i="42"/>
  <c r="AJ41" i="42" s="1"/>
  <c r="V42" i="42"/>
  <c r="AJ42" i="42" s="1"/>
  <c r="V43" i="42"/>
  <c r="AJ43" i="42" s="1"/>
  <c r="V44" i="42"/>
  <c r="AJ44" i="42" s="1"/>
  <c r="V45" i="42"/>
  <c r="AJ45" i="42" s="1"/>
  <c r="V46" i="42"/>
  <c r="AJ46" i="42" s="1"/>
  <c r="V47" i="42"/>
  <c r="AJ47" i="42" s="1"/>
  <c r="V49" i="42"/>
  <c r="AJ49" i="42" s="1"/>
  <c r="V50" i="42"/>
  <c r="AJ50" i="42" s="1"/>
  <c r="V51" i="42"/>
  <c r="AJ51" i="42" s="1"/>
  <c r="V52" i="42"/>
  <c r="AJ52" i="42" s="1"/>
  <c r="V53" i="42"/>
  <c r="AJ53" i="42" s="1"/>
  <c r="V54" i="42"/>
  <c r="AJ54" i="42" s="1"/>
  <c r="V55" i="42"/>
  <c r="AJ55" i="42" s="1"/>
  <c r="V56" i="42"/>
  <c r="AJ56" i="42" s="1"/>
  <c r="V57" i="42"/>
  <c r="AJ57" i="42" s="1"/>
  <c r="V58" i="42"/>
  <c r="AJ58" i="42" s="1"/>
  <c r="V59" i="42"/>
  <c r="AJ59" i="42" s="1"/>
  <c r="V60" i="42"/>
  <c r="AJ60" i="42" s="1"/>
  <c r="V61" i="42"/>
  <c r="AJ61" i="42" s="1"/>
  <c r="V62" i="42"/>
  <c r="AJ62" i="42" s="1"/>
  <c r="V63" i="42"/>
  <c r="AJ63" i="42" s="1"/>
  <c r="V65" i="42"/>
  <c r="AJ65" i="42" s="1"/>
  <c r="V66" i="42"/>
  <c r="AJ66" i="42" s="1"/>
  <c r="V67" i="42"/>
  <c r="AJ67" i="42" s="1"/>
  <c r="V68" i="42"/>
  <c r="AJ68" i="42" s="1"/>
  <c r="V69" i="42"/>
  <c r="AJ69" i="42" s="1"/>
  <c r="V71" i="42"/>
  <c r="AJ71" i="42" s="1"/>
  <c r="V72" i="42"/>
  <c r="AJ72" i="42" s="1"/>
  <c r="V74" i="42"/>
  <c r="AJ74" i="42" s="1"/>
  <c r="V76" i="42"/>
  <c r="AJ76" i="42" s="1"/>
  <c r="V77" i="42"/>
  <c r="AJ77" i="42" s="1"/>
  <c r="V78" i="42"/>
  <c r="AJ78" i="42" s="1"/>
  <c r="V79" i="42"/>
  <c r="AJ79" i="42" s="1"/>
  <c r="V80" i="42"/>
  <c r="AJ80" i="42" s="1"/>
  <c r="V81" i="42"/>
  <c r="AJ81" i="42" s="1"/>
  <c r="V82" i="42"/>
  <c r="AJ82" i="42" s="1"/>
  <c r="V83" i="42"/>
  <c r="AJ83" i="42" s="1"/>
  <c r="V84" i="42"/>
  <c r="AJ84" i="42" s="1"/>
  <c r="V85" i="42"/>
  <c r="AJ85" i="42" s="1"/>
  <c r="V86" i="42"/>
  <c r="AJ86" i="42" s="1"/>
  <c r="V87" i="42"/>
  <c r="AJ87" i="42" s="1"/>
  <c r="V88" i="42"/>
  <c r="AJ88" i="42" s="1"/>
  <c r="V89" i="42"/>
  <c r="AJ89" i="42" s="1"/>
  <c r="V90" i="42"/>
  <c r="AJ90" i="42" s="1"/>
  <c r="V91" i="42"/>
  <c r="AJ91" i="42" s="1"/>
  <c r="V92" i="42"/>
  <c r="AJ92" i="42" s="1"/>
  <c r="V93" i="42"/>
  <c r="AJ93" i="42" s="1"/>
  <c r="V94" i="42"/>
  <c r="AJ94" i="42" s="1"/>
  <c r="V95" i="42"/>
  <c r="AJ95" i="42" s="1"/>
  <c r="V96" i="42"/>
  <c r="AJ96" i="42" s="1"/>
  <c r="V97" i="42"/>
  <c r="AJ97" i="42" s="1"/>
  <c r="V98" i="42"/>
  <c r="AJ98" i="42" s="1"/>
  <c r="V99" i="42"/>
  <c r="AJ99" i="42" s="1"/>
  <c r="V100" i="42"/>
  <c r="AJ100" i="42" s="1"/>
  <c r="V101" i="42"/>
  <c r="AJ101" i="42" s="1"/>
  <c r="V102" i="42"/>
  <c r="AJ102" i="42" s="1"/>
  <c r="V103" i="42"/>
  <c r="AJ103" i="42" s="1"/>
  <c r="V104" i="42"/>
  <c r="AJ104" i="42" s="1"/>
  <c r="V105" i="42"/>
  <c r="AJ105" i="42" s="1"/>
  <c r="V106" i="42"/>
  <c r="AJ106" i="42" s="1"/>
  <c r="V107" i="42"/>
  <c r="AJ107" i="42" s="1"/>
  <c r="V108" i="42"/>
  <c r="AJ108" i="42" s="1"/>
  <c r="V109" i="42"/>
  <c r="AJ109" i="42" s="1"/>
  <c r="V110" i="42"/>
  <c r="AJ110" i="42" s="1"/>
  <c r="V111" i="42"/>
  <c r="AJ111" i="42" s="1"/>
  <c r="V112" i="42"/>
  <c r="AJ112" i="42" s="1"/>
  <c r="V113" i="42"/>
  <c r="AJ113" i="42" s="1"/>
  <c r="V114" i="42"/>
  <c r="AJ114" i="42" s="1"/>
  <c r="V115" i="42"/>
  <c r="AJ115" i="42" s="1"/>
  <c r="V116" i="42"/>
  <c r="AJ116" i="42" s="1"/>
  <c r="V117" i="42"/>
  <c r="AJ117" i="42" s="1"/>
  <c r="V118" i="42"/>
  <c r="AJ118" i="42" s="1"/>
  <c r="V119" i="42"/>
  <c r="AJ119" i="42" s="1"/>
  <c r="V120" i="42"/>
  <c r="AJ120" i="42" s="1"/>
  <c r="V121" i="42"/>
  <c r="AJ121" i="42" s="1"/>
  <c r="V122" i="42"/>
  <c r="AJ122" i="42" s="1"/>
  <c r="V123" i="42"/>
  <c r="AJ123" i="42" s="1"/>
  <c r="V124" i="42"/>
  <c r="AJ124" i="42" s="1"/>
  <c r="V125" i="42"/>
  <c r="AJ125" i="42" s="1"/>
  <c r="V126" i="42"/>
  <c r="AJ126" i="42" s="1"/>
  <c r="V127" i="42"/>
  <c r="AJ127" i="42" s="1"/>
  <c r="V128" i="42"/>
  <c r="AJ128" i="42" s="1"/>
  <c r="V129" i="42"/>
  <c r="AJ129" i="42" s="1"/>
  <c r="V130" i="42"/>
  <c r="AJ130" i="42" s="1"/>
  <c r="V131" i="42"/>
  <c r="AJ131" i="42" s="1"/>
  <c r="V132" i="42"/>
  <c r="AJ132" i="42" s="1"/>
  <c r="V133" i="42"/>
  <c r="AJ133" i="42" s="1"/>
  <c r="V134" i="42"/>
  <c r="AJ134" i="42" s="1"/>
  <c r="V135" i="42"/>
  <c r="AJ135" i="42" s="1"/>
  <c r="V137" i="42"/>
  <c r="AJ137" i="42" s="1"/>
  <c r="V138" i="42"/>
  <c r="AJ138" i="42" s="1"/>
  <c r="V139" i="42"/>
  <c r="AJ139" i="42" s="1"/>
  <c r="V140" i="42"/>
  <c r="AJ140" i="42" s="1"/>
  <c r="V141" i="42"/>
  <c r="AJ141" i="42" s="1"/>
  <c r="V142" i="42"/>
  <c r="AJ142" i="42" s="1"/>
  <c r="V143" i="42"/>
  <c r="AJ143" i="42" s="1"/>
  <c r="V144" i="42"/>
  <c r="AJ144" i="42" s="1"/>
  <c r="V145" i="42"/>
  <c r="AJ145" i="42" s="1"/>
  <c r="V146" i="42"/>
  <c r="AJ146" i="42" s="1"/>
  <c r="V147" i="42"/>
  <c r="AJ147" i="42" s="1"/>
  <c r="V148" i="42"/>
  <c r="AJ148" i="42" s="1"/>
  <c r="V149" i="42"/>
  <c r="AJ149" i="42" s="1"/>
  <c r="V150" i="42"/>
  <c r="AJ150" i="42" s="1"/>
  <c r="V151" i="42"/>
  <c r="AJ151" i="42" s="1"/>
  <c r="V153" i="42"/>
  <c r="AJ153" i="42" s="1"/>
  <c r="V154" i="42"/>
  <c r="AJ154" i="42" s="1"/>
  <c r="V155" i="42"/>
  <c r="AJ155" i="42" s="1"/>
  <c r="V156" i="42"/>
  <c r="AJ156" i="42" s="1"/>
  <c r="V157" i="42"/>
  <c r="AJ157" i="42" s="1"/>
  <c r="V158" i="42"/>
  <c r="AJ158" i="42" s="1"/>
  <c r="V159" i="42"/>
  <c r="AJ159" i="42" s="1"/>
  <c r="V160" i="42"/>
  <c r="AJ160" i="42" s="1"/>
  <c r="V161" i="42"/>
  <c r="AJ161" i="42" s="1"/>
  <c r="V162" i="42"/>
  <c r="AJ162" i="42" s="1"/>
  <c r="V163" i="42"/>
  <c r="AJ163" i="42" s="1"/>
  <c r="V164" i="42"/>
  <c r="AJ164" i="42" s="1"/>
  <c r="V165" i="42"/>
  <c r="AJ165" i="42" s="1"/>
  <c r="V166" i="42"/>
  <c r="AJ166" i="42" s="1"/>
  <c r="V167" i="42"/>
  <c r="AJ167" i="42" s="1"/>
  <c r="V168" i="42"/>
  <c r="AJ168" i="42" s="1"/>
  <c r="V169" i="42"/>
  <c r="AJ169" i="42" s="1"/>
  <c r="V170" i="42"/>
  <c r="AJ170" i="42" s="1"/>
  <c r="V171" i="42"/>
  <c r="AJ171" i="42" s="1"/>
  <c r="V172" i="42"/>
  <c r="AJ172" i="42" s="1"/>
  <c r="V173" i="42"/>
  <c r="AJ173" i="42" s="1"/>
  <c r="V174" i="42"/>
  <c r="AJ174" i="42" s="1"/>
  <c r="V175" i="42"/>
  <c r="AJ175" i="42" s="1"/>
  <c r="V176" i="42"/>
  <c r="AJ176" i="42" s="1"/>
  <c r="V177" i="42"/>
  <c r="AJ177" i="42" s="1"/>
  <c r="V178" i="42"/>
  <c r="AJ178" i="42" s="1"/>
  <c r="V179" i="42"/>
  <c r="AJ179" i="42" s="1"/>
  <c r="V180" i="42"/>
  <c r="AJ180" i="42" s="1"/>
  <c r="V181" i="42"/>
  <c r="AJ181" i="42" s="1"/>
  <c r="V182" i="42"/>
  <c r="AJ182" i="42" s="1"/>
  <c r="V183" i="42"/>
  <c r="AJ183" i="42" s="1"/>
  <c r="V184" i="42"/>
  <c r="AJ184" i="42" s="1"/>
  <c r="V185" i="42"/>
  <c r="AJ185" i="42" s="1"/>
  <c r="V186" i="42"/>
  <c r="AJ186" i="42" s="1"/>
  <c r="V187" i="42"/>
  <c r="AJ187" i="42" s="1"/>
  <c r="V188" i="42"/>
  <c r="AJ188" i="42" s="1"/>
  <c r="V189" i="42"/>
  <c r="AJ189" i="42" s="1"/>
  <c r="V190" i="42"/>
  <c r="AJ190" i="42" s="1"/>
  <c r="V191" i="42"/>
  <c r="AJ191" i="42" s="1"/>
  <c r="V192" i="42"/>
  <c r="AJ192" i="42" s="1"/>
  <c r="V193" i="42"/>
  <c r="AJ193" i="42" s="1"/>
  <c r="V194" i="42"/>
  <c r="AJ194" i="42" s="1"/>
  <c r="V195" i="42"/>
  <c r="AJ195" i="42" s="1"/>
  <c r="V196" i="42"/>
  <c r="AJ196" i="42" s="1"/>
  <c r="V197" i="42"/>
  <c r="AJ197" i="42" s="1"/>
  <c r="V198" i="42"/>
  <c r="AJ198" i="42" s="1"/>
  <c r="V199" i="42"/>
  <c r="AJ199" i="42" s="1"/>
  <c r="V200" i="42"/>
  <c r="AJ200" i="42" s="1"/>
  <c r="V201" i="42"/>
  <c r="AJ201" i="42" s="1"/>
  <c r="V202" i="42"/>
  <c r="AJ202" i="42" s="1"/>
  <c r="V203" i="42"/>
  <c r="AJ203" i="42" s="1"/>
  <c r="V204" i="42"/>
  <c r="AJ204" i="42" s="1"/>
  <c r="V205" i="42"/>
  <c r="AJ205" i="42" s="1"/>
  <c r="V206" i="42"/>
  <c r="AJ206" i="42" s="1"/>
  <c r="V207" i="42"/>
  <c r="AJ207" i="42" s="1"/>
  <c r="V208" i="42"/>
  <c r="AJ208" i="42" s="1"/>
  <c r="V209" i="42"/>
  <c r="AJ209" i="42" s="1"/>
  <c r="V210" i="42"/>
  <c r="AJ210" i="42" s="1"/>
  <c r="V211" i="42"/>
  <c r="AJ211" i="42" s="1"/>
  <c r="V212" i="42"/>
  <c r="AJ212" i="42" s="1"/>
  <c r="V213" i="42"/>
  <c r="AJ213" i="42" s="1"/>
  <c r="V214" i="42"/>
  <c r="AJ214" i="42" s="1"/>
  <c r="V215" i="42"/>
  <c r="AJ215" i="42" s="1"/>
  <c r="V216" i="42"/>
  <c r="AJ216" i="42" s="1"/>
  <c r="V217" i="42"/>
  <c r="AJ217" i="42" s="1"/>
  <c r="V218" i="42"/>
  <c r="AJ218" i="42" s="1"/>
  <c r="V219" i="42"/>
  <c r="AJ219" i="42" s="1"/>
  <c r="V220" i="42"/>
  <c r="AJ220" i="42" s="1"/>
  <c r="V221" i="42"/>
  <c r="AJ221" i="42" s="1"/>
  <c r="V222" i="42"/>
  <c r="AJ222" i="42" s="1"/>
  <c r="V223" i="42"/>
  <c r="AJ223" i="42" s="1"/>
  <c r="V224" i="42"/>
  <c r="AJ224" i="42" s="1"/>
  <c r="V225" i="42"/>
  <c r="AJ225" i="42" s="1"/>
  <c r="V226" i="42"/>
  <c r="AJ226" i="42" s="1"/>
  <c r="V227" i="42"/>
  <c r="AJ227" i="42" s="1"/>
  <c r="V228" i="42"/>
  <c r="AJ228" i="42" s="1"/>
  <c r="V229" i="42"/>
  <c r="AJ229" i="42" s="1"/>
  <c r="V230" i="42"/>
  <c r="AJ230" i="42" s="1"/>
  <c r="V231" i="42"/>
  <c r="AJ231" i="42" s="1"/>
  <c r="V232" i="42"/>
  <c r="AJ232" i="42" s="1"/>
  <c r="V233" i="42"/>
  <c r="AJ233" i="42" s="1"/>
  <c r="V234" i="42"/>
  <c r="AJ234" i="42" s="1"/>
  <c r="V235" i="42"/>
  <c r="AJ235" i="42" s="1"/>
  <c r="V236" i="42"/>
  <c r="AJ236" i="42" s="1"/>
  <c r="V237" i="42"/>
  <c r="AJ237" i="42" s="1"/>
  <c r="V238" i="42"/>
  <c r="AJ238" i="42" s="1"/>
  <c r="V239" i="42"/>
  <c r="AJ239" i="42" s="1"/>
  <c r="V240" i="42"/>
  <c r="AJ240" i="42" s="1"/>
  <c r="V241" i="42"/>
  <c r="AJ241" i="42" s="1"/>
  <c r="V242" i="42"/>
  <c r="AJ242" i="42" s="1"/>
  <c r="V243" i="42"/>
  <c r="AJ243" i="42" s="1"/>
  <c r="V244" i="42"/>
  <c r="AJ244" i="42" s="1"/>
  <c r="V245" i="42"/>
  <c r="AJ245" i="42" s="1"/>
  <c r="V246" i="42"/>
  <c r="AJ246" i="42" s="1"/>
  <c r="V247" i="42"/>
  <c r="AJ247" i="42" s="1"/>
  <c r="V248" i="42"/>
  <c r="AJ248" i="42" s="1"/>
  <c r="V249" i="42"/>
  <c r="AJ249" i="42" s="1"/>
  <c r="V250" i="42"/>
  <c r="AJ250" i="42" s="1"/>
  <c r="V251" i="42"/>
  <c r="AJ251" i="42" s="1"/>
  <c r="V252" i="42"/>
  <c r="AJ252" i="42" s="1"/>
  <c r="V254" i="42"/>
  <c r="AJ254" i="42" s="1"/>
  <c r="V255" i="42"/>
  <c r="AJ255" i="42" s="1"/>
  <c r="V256" i="42"/>
  <c r="AJ256" i="42" s="1"/>
  <c r="V257" i="42"/>
  <c r="AJ257" i="42" s="1"/>
  <c r="V258" i="42"/>
  <c r="AJ258" i="42" s="1"/>
  <c r="V259" i="42"/>
  <c r="AJ259" i="42" s="1"/>
  <c r="V260" i="42"/>
  <c r="AJ260" i="42" s="1"/>
  <c r="V261" i="42"/>
  <c r="AJ261" i="42" s="1"/>
  <c r="V262" i="42"/>
  <c r="AJ262" i="42" s="1"/>
  <c r="V263" i="42"/>
  <c r="AJ263" i="42" s="1"/>
  <c r="V264" i="42"/>
  <c r="AJ264" i="42" s="1"/>
  <c r="V265" i="42"/>
  <c r="AJ265" i="42" s="1"/>
  <c r="V266" i="42"/>
  <c r="AJ266" i="42" s="1"/>
  <c r="V267" i="42"/>
  <c r="AJ267" i="42" s="1"/>
  <c r="V268" i="42"/>
  <c r="AJ268" i="42" s="1"/>
  <c r="V269" i="42"/>
  <c r="AJ269" i="42" s="1"/>
  <c r="V270" i="42"/>
  <c r="AJ270" i="42" s="1"/>
  <c r="V271" i="42"/>
  <c r="AJ271" i="42" s="1"/>
  <c r="V272" i="42"/>
  <c r="AJ272" i="42" s="1"/>
  <c r="V273" i="42"/>
  <c r="AJ273" i="42" s="1"/>
  <c r="V274" i="42"/>
  <c r="AJ274" i="42" s="1"/>
  <c r="V275" i="42"/>
  <c r="AJ275" i="42" s="1"/>
  <c r="V276" i="42"/>
  <c r="AJ276" i="42" s="1"/>
  <c r="V277" i="42"/>
  <c r="AJ277" i="42" s="1"/>
  <c r="V278" i="42"/>
  <c r="AJ278" i="42" s="1"/>
  <c r="V279" i="42"/>
  <c r="AJ279" i="42" s="1"/>
  <c r="V280" i="42"/>
  <c r="AJ280" i="42" s="1"/>
  <c r="V282" i="42"/>
  <c r="AJ282" i="42" s="1"/>
  <c r="V283" i="42"/>
  <c r="AJ283" i="42" s="1"/>
  <c r="V284" i="42"/>
  <c r="AJ284" i="42" s="1"/>
  <c r="V285" i="42"/>
  <c r="AJ285" i="42" s="1"/>
  <c r="V286" i="42"/>
  <c r="AJ286" i="42" s="1"/>
  <c r="V287" i="42"/>
  <c r="AJ287" i="42" s="1"/>
  <c r="V288" i="42"/>
  <c r="AJ288" i="42" s="1"/>
  <c r="V289" i="42"/>
  <c r="AJ289" i="42" s="1"/>
  <c r="V290" i="42"/>
  <c r="AJ290" i="42" s="1"/>
  <c r="V291" i="42"/>
  <c r="AJ291" i="42" s="1"/>
  <c r="V292" i="42"/>
  <c r="AJ292" i="42" s="1"/>
  <c r="V293" i="42"/>
  <c r="AJ293" i="42" s="1"/>
  <c r="V294" i="42"/>
  <c r="AJ294" i="42" s="1"/>
  <c r="V295" i="42"/>
  <c r="AJ295" i="42" s="1"/>
  <c r="V296" i="42"/>
  <c r="AJ296" i="42" s="1"/>
  <c r="V297" i="42"/>
  <c r="AJ297" i="42" s="1"/>
  <c r="V298" i="42"/>
  <c r="AJ298" i="42" s="1"/>
  <c r="V299" i="42"/>
  <c r="AJ299" i="42" s="1"/>
  <c r="V300" i="42"/>
  <c r="AJ300" i="42" s="1"/>
  <c r="V301" i="42"/>
  <c r="AJ301" i="42" s="1"/>
  <c r="V302" i="42"/>
  <c r="AJ302" i="42" s="1"/>
  <c r="V303" i="42"/>
  <c r="AJ303" i="42" s="1"/>
  <c r="V304" i="42"/>
  <c r="AJ304" i="42" s="1"/>
  <c r="V305" i="42"/>
  <c r="AJ305" i="42" s="1"/>
  <c r="V306" i="42"/>
  <c r="AJ306" i="42" s="1"/>
  <c r="V307" i="42"/>
  <c r="AJ307" i="42" s="1"/>
  <c r="V308" i="42"/>
  <c r="AJ308" i="42" s="1"/>
  <c r="V309" i="42"/>
  <c r="AJ309" i="42" s="1"/>
  <c r="V310" i="42"/>
  <c r="AJ310" i="42" s="1"/>
  <c r="V311" i="42"/>
  <c r="AJ311" i="42" s="1"/>
  <c r="V312" i="42"/>
  <c r="AJ312" i="42" s="1"/>
  <c r="V313" i="42"/>
  <c r="AJ313" i="42" s="1"/>
  <c r="V314" i="42"/>
  <c r="AJ314" i="42" s="1"/>
  <c r="V7" i="42"/>
  <c r="AJ7" i="42" s="1"/>
  <c r="A2" i="42"/>
  <c r="F314" i="54"/>
  <c r="A2" i="13" l="1"/>
  <c r="A2" i="39"/>
  <c r="A2" i="12"/>
  <c r="A2" i="11"/>
  <c r="A2" i="34"/>
  <c r="A2" i="37"/>
  <c r="A2" i="36"/>
  <c r="A2" i="9"/>
  <c r="A2" i="33"/>
  <c r="A2" i="32"/>
  <c r="A2" i="19"/>
  <c r="B52" i="40" l="1"/>
  <c r="F59" i="48" l="1"/>
  <c r="E59" i="48"/>
  <c r="D59" i="48"/>
  <c r="I314" i="54" l="1"/>
  <c r="C314" i="54"/>
  <c r="C59" i="48" l="1"/>
  <c r="A7" i="39" l="1"/>
  <c r="B7" i="39"/>
  <c r="A8" i="39"/>
  <c r="B8" i="39"/>
  <c r="A9" i="39"/>
  <c r="B9" i="39"/>
  <c r="A10" i="39"/>
  <c r="B10" i="39"/>
  <c r="A11" i="39"/>
  <c r="B11" i="39"/>
  <c r="A12" i="39"/>
  <c r="B12" i="39"/>
  <c r="A13" i="39"/>
  <c r="B13" i="39"/>
  <c r="A14" i="39"/>
  <c r="B14" i="39"/>
  <c r="A15" i="39"/>
  <c r="B15" i="39"/>
  <c r="A16" i="39"/>
  <c r="B16" i="39"/>
  <c r="A17" i="39"/>
  <c r="B17" i="39"/>
  <c r="A18" i="39"/>
  <c r="B18" i="39"/>
  <c r="A19" i="39"/>
  <c r="B19" i="39"/>
  <c r="A20" i="39"/>
  <c r="B20" i="39"/>
  <c r="A21" i="39"/>
  <c r="B21" i="39"/>
  <c r="A22" i="39"/>
  <c r="B22" i="39"/>
  <c r="A23" i="39"/>
  <c r="B23" i="39"/>
  <c r="A24" i="39"/>
  <c r="B24" i="39"/>
  <c r="A25" i="39"/>
  <c r="B25" i="39"/>
  <c r="A26" i="39"/>
  <c r="B26" i="39"/>
  <c r="A27" i="39"/>
  <c r="B27" i="39"/>
  <c r="A28" i="39"/>
  <c r="B28" i="39"/>
  <c r="A29" i="39"/>
  <c r="B29" i="39"/>
  <c r="A30" i="39"/>
  <c r="B30" i="39"/>
  <c r="A31" i="39"/>
  <c r="B31" i="39"/>
  <c r="A32" i="39"/>
  <c r="B32" i="39"/>
  <c r="A33" i="39"/>
  <c r="B33" i="39"/>
  <c r="A34" i="39"/>
  <c r="B34" i="39"/>
  <c r="A35" i="39"/>
  <c r="B35" i="39"/>
  <c r="A36" i="39"/>
  <c r="B36" i="39"/>
  <c r="A37" i="39"/>
  <c r="B37" i="39"/>
  <c r="A38" i="39"/>
  <c r="B38" i="39"/>
  <c r="A39" i="39"/>
  <c r="B39" i="39"/>
  <c r="A40" i="39"/>
  <c r="B40" i="39"/>
  <c r="A41" i="39"/>
  <c r="B41" i="39"/>
  <c r="A42" i="39"/>
  <c r="B42" i="39"/>
  <c r="A43" i="39"/>
  <c r="B43" i="39"/>
  <c r="A44" i="39"/>
  <c r="B44" i="39"/>
  <c r="A45" i="39"/>
  <c r="B45" i="39"/>
  <c r="A46" i="39"/>
  <c r="B46" i="39"/>
  <c r="A47" i="39"/>
  <c r="B47" i="39"/>
  <c r="A48" i="39"/>
  <c r="B48" i="39"/>
  <c r="A49" i="39"/>
  <c r="B49" i="39"/>
  <c r="A50" i="39"/>
  <c r="B50" i="39"/>
  <c r="A51" i="39"/>
  <c r="B51" i="39"/>
  <c r="A52" i="39"/>
  <c r="B52" i="39"/>
  <c r="A53" i="39"/>
  <c r="B53" i="39"/>
  <c r="A54" i="39"/>
  <c r="B54" i="39"/>
  <c r="A55" i="39"/>
  <c r="B55" i="39"/>
  <c r="A56" i="39"/>
  <c r="B56" i="39"/>
  <c r="A57" i="39"/>
  <c r="B57" i="39"/>
  <c r="A58" i="39"/>
  <c r="B58" i="39"/>
  <c r="A59" i="39"/>
  <c r="B59" i="39"/>
  <c r="A60" i="39"/>
  <c r="B60" i="39"/>
  <c r="A61" i="39"/>
  <c r="B61" i="39"/>
  <c r="A62" i="39"/>
  <c r="B62" i="39"/>
  <c r="A63" i="39"/>
  <c r="B63" i="39"/>
  <c r="A64" i="39"/>
  <c r="B64" i="39"/>
  <c r="A65" i="39"/>
  <c r="B65" i="39"/>
  <c r="A66" i="39"/>
  <c r="B66" i="39"/>
  <c r="A67" i="39"/>
  <c r="B67" i="39"/>
  <c r="A68" i="39"/>
  <c r="B68" i="39"/>
  <c r="A69" i="39"/>
  <c r="B69" i="39"/>
  <c r="A70" i="39"/>
  <c r="B70" i="39"/>
  <c r="A71" i="39"/>
  <c r="B71" i="39"/>
  <c r="A72" i="39"/>
  <c r="B72" i="39"/>
  <c r="A73" i="39"/>
  <c r="B73" i="39"/>
  <c r="A74" i="39"/>
  <c r="B74" i="39"/>
  <c r="A75" i="39"/>
  <c r="B75" i="39"/>
  <c r="A76" i="39"/>
  <c r="B76" i="39"/>
  <c r="A77" i="39"/>
  <c r="B77" i="39"/>
  <c r="A78" i="39"/>
  <c r="B78" i="39"/>
  <c r="A79" i="39"/>
  <c r="B79" i="39"/>
  <c r="A80" i="39"/>
  <c r="B80" i="39"/>
  <c r="A81" i="39"/>
  <c r="B81" i="39"/>
  <c r="A82" i="39"/>
  <c r="B82" i="39"/>
  <c r="A83" i="39"/>
  <c r="B83" i="39"/>
  <c r="A84" i="39"/>
  <c r="B84" i="39"/>
  <c r="A85" i="39"/>
  <c r="B85" i="39"/>
  <c r="A86" i="39"/>
  <c r="B86" i="39"/>
  <c r="A87" i="39"/>
  <c r="B87" i="39"/>
  <c r="A88" i="39"/>
  <c r="B88" i="39"/>
  <c r="A89" i="39"/>
  <c r="B89" i="39"/>
  <c r="A90" i="39"/>
  <c r="B90" i="39"/>
  <c r="A91" i="39"/>
  <c r="B91" i="39"/>
  <c r="A92" i="39"/>
  <c r="B92" i="39"/>
  <c r="A93" i="39"/>
  <c r="B93" i="39"/>
  <c r="A94" i="39"/>
  <c r="B94" i="39"/>
  <c r="A95" i="39"/>
  <c r="B95" i="39"/>
  <c r="A96" i="39"/>
  <c r="B96" i="39"/>
  <c r="A97" i="39"/>
  <c r="B97" i="39"/>
  <c r="A98" i="39"/>
  <c r="B98" i="39"/>
  <c r="A99" i="39"/>
  <c r="B99" i="39"/>
  <c r="A100" i="39"/>
  <c r="B100" i="39"/>
  <c r="A101" i="39"/>
  <c r="B101" i="39"/>
  <c r="A102" i="39"/>
  <c r="B102" i="39"/>
  <c r="A103" i="39"/>
  <c r="B103" i="39"/>
  <c r="A104" i="39"/>
  <c r="B104" i="39"/>
  <c r="A105" i="39"/>
  <c r="B105" i="39"/>
  <c r="A106" i="39"/>
  <c r="B106" i="39"/>
  <c r="A107" i="39"/>
  <c r="B107" i="39"/>
  <c r="A108" i="39"/>
  <c r="B108" i="39"/>
  <c r="A109" i="39"/>
  <c r="B109" i="39"/>
  <c r="A110" i="39"/>
  <c r="B110" i="39"/>
  <c r="A111" i="39"/>
  <c r="B111" i="39"/>
  <c r="A112" i="39"/>
  <c r="B112" i="39"/>
  <c r="A113" i="39"/>
  <c r="B113" i="39"/>
  <c r="A114" i="39"/>
  <c r="B114" i="39"/>
  <c r="A115" i="39"/>
  <c r="B115" i="39"/>
  <c r="A116" i="39"/>
  <c r="B116" i="39"/>
  <c r="A117" i="39"/>
  <c r="B117" i="39"/>
  <c r="A118" i="39"/>
  <c r="B118" i="39"/>
  <c r="A119" i="39"/>
  <c r="B119" i="39"/>
  <c r="A120" i="39"/>
  <c r="B120" i="39"/>
  <c r="A121" i="39"/>
  <c r="B121" i="39"/>
  <c r="A122" i="39"/>
  <c r="B122" i="39"/>
  <c r="A123" i="39"/>
  <c r="B123" i="39"/>
  <c r="A124" i="39"/>
  <c r="B124" i="39"/>
  <c r="A125" i="39"/>
  <c r="B125" i="39"/>
  <c r="A126" i="39"/>
  <c r="B126" i="39"/>
  <c r="A127" i="39"/>
  <c r="B127" i="39"/>
  <c r="A128" i="39"/>
  <c r="B128" i="39"/>
  <c r="A129" i="39"/>
  <c r="B129" i="39"/>
  <c r="A130" i="39"/>
  <c r="B130" i="39"/>
  <c r="A131" i="39"/>
  <c r="B131" i="39"/>
  <c r="A132" i="39"/>
  <c r="B132" i="39"/>
  <c r="A133" i="39"/>
  <c r="B133" i="39"/>
  <c r="A134" i="39"/>
  <c r="B134" i="39"/>
  <c r="A135" i="39"/>
  <c r="B135" i="39"/>
  <c r="A136" i="39"/>
  <c r="B136" i="39"/>
  <c r="A137" i="39"/>
  <c r="B137" i="39"/>
  <c r="A138" i="39"/>
  <c r="B138" i="39"/>
  <c r="A139" i="39"/>
  <c r="B139" i="39"/>
  <c r="A140" i="39"/>
  <c r="B140" i="39"/>
  <c r="A141" i="39"/>
  <c r="B141" i="39"/>
  <c r="A142" i="39"/>
  <c r="B142" i="39"/>
  <c r="A143" i="39"/>
  <c r="B143" i="39"/>
  <c r="A144" i="39"/>
  <c r="B144" i="39"/>
  <c r="A145" i="39"/>
  <c r="B145" i="39"/>
  <c r="A146" i="39"/>
  <c r="B146" i="39"/>
  <c r="A147" i="39"/>
  <c r="B147" i="39"/>
  <c r="A148" i="39"/>
  <c r="B148" i="39"/>
  <c r="A149" i="39"/>
  <c r="B149" i="39"/>
  <c r="A150" i="39"/>
  <c r="B150" i="39"/>
  <c r="A151" i="39"/>
  <c r="B151" i="39"/>
  <c r="A152" i="39"/>
  <c r="B152" i="39"/>
  <c r="A153" i="39"/>
  <c r="B153" i="39"/>
  <c r="A154" i="39"/>
  <c r="B154" i="39"/>
  <c r="A155" i="39"/>
  <c r="B155" i="39"/>
  <c r="A156" i="39"/>
  <c r="B156" i="39"/>
  <c r="A157" i="39"/>
  <c r="B157" i="39"/>
  <c r="A158" i="39"/>
  <c r="B158" i="39"/>
  <c r="A159" i="39"/>
  <c r="B159" i="39"/>
  <c r="A160" i="39"/>
  <c r="B160" i="39"/>
  <c r="A161" i="39"/>
  <c r="B161" i="39"/>
  <c r="A162" i="39"/>
  <c r="B162" i="39"/>
  <c r="A163" i="39"/>
  <c r="B163" i="39"/>
  <c r="A164" i="39"/>
  <c r="B164" i="39"/>
  <c r="A165" i="39"/>
  <c r="B165" i="39"/>
  <c r="A166" i="39"/>
  <c r="B166" i="39"/>
  <c r="A167" i="39"/>
  <c r="B167" i="39"/>
  <c r="A168" i="39"/>
  <c r="B168" i="39"/>
  <c r="A169" i="39"/>
  <c r="B169" i="39"/>
  <c r="A170" i="39"/>
  <c r="B170" i="39"/>
  <c r="A171" i="39"/>
  <c r="B171" i="39"/>
  <c r="A172" i="39"/>
  <c r="B172" i="39"/>
  <c r="A173" i="39"/>
  <c r="B173" i="39"/>
  <c r="A174" i="39"/>
  <c r="B174" i="39"/>
  <c r="A175" i="39"/>
  <c r="B175" i="39"/>
  <c r="A176" i="39"/>
  <c r="B176" i="39"/>
  <c r="A177" i="39"/>
  <c r="B177" i="39"/>
  <c r="A178" i="39"/>
  <c r="B178" i="39"/>
  <c r="A179" i="39"/>
  <c r="B179" i="39"/>
  <c r="A180" i="39"/>
  <c r="B180" i="39"/>
  <c r="A181" i="39"/>
  <c r="B181" i="39"/>
  <c r="A182" i="39"/>
  <c r="B182" i="39"/>
  <c r="A183" i="39"/>
  <c r="B183" i="39"/>
  <c r="A184" i="39"/>
  <c r="B184" i="39"/>
  <c r="A185" i="39"/>
  <c r="B185" i="39"/>
  <c r="A186" i="39"/>
  <c r="B186" i="39"/>
  <c r="A187" i="39"/>
  <c r="B187" i="39"/>
  <c r="A188" i="39"/>
  <c r="B188" i="39"/>
  <c r="A189" i="39"/>
  <c r="B189" i="39"/>
  <c r="A190" i="39"/>
  <c r="B190" i="39"/>
  <c r="A191" i="39"/>
  <c r="B191" i="39"/>
  <c r="A192" i="39"/>
  <c r="B192" i="39"/>
  <c r="A193" i="39"/>
  <c r="B193" i="39"/>
  <c r="A194" i="39"/>
  <c r="B194" i="39"/>
  <c r="A195" i="39"/>
  <c r="B195" i="39"/>
  <c r="A196" i="39"/>
  <c r="B196" i="39"/>
  <c r="A197" i="39"/>
  <c r="B197" i="39"/>
  <c r="A198" i="39"/>
  <c r="B198" i="39"/>
  <c r="A199" i="39"/>
  <c r="B199" i="39"/>
  <c r="A200" i="39"/>
  <c r="B200" i="39"/>
  <c r="A201" i="39"/>
  <c r="B201" i="39"/>
  <c r="A202" i="39"/>
  <c r="B202" i="39"/>
  <c r="A203" i="39"/>
  <c r="B203" i="39"/>
  <c r="A204" i="39"/>
  <c r="B204" i="39"/>
  <c r="A205" i="39"/>
  <c r="B205" i="39"/>
  <c r="A206" i="39"/>
  <c r="B206" i="39"/>
  <c r="A207" i="39"/>
  <c r="B207" i="39"/>
  <c r="A208" i="39"/>
  <c r="B208" i="39"/>
  <c r="A209" i="39"/>
  <c r="B209" i="39"/>
  <c r="A210" i="39"/>
  <c r="B210" i="39"/>
  <c r="A211" i="39"/>
  <c r="B211" i="39"/>
  <c r="A212" i="39"/>
  <c r="B212" i="39"/>
  <c r="A213" i="39"/>
  <c r="B213" i="39"/>
  <c r="A214" i="39"/>
  <c r="B214" i="39"/>
  <c r="A215" i="39"/>
  <c r="B215" i="39"/>
  <c r="A216" i="39"/>
  <c r="B216" i="39"/>
  <c r="A217" i="39"/>
  <c r="B217" i="39"/>
  <c r="A218" i="39"/>
  <c r="B218" i="39"/>
  <c r="A219" i="39"/>
  <c r="B219" i="39"/>
  <c r="A220" i="39"/>
  <c r="B220" i="39"/>
  <c r="A221" i="39"/>
  <c r="B221" i="39"/>
  <c r="A222" i="39"/>
  <c r="B222" i="39"/>
  <c r="A223" i="39"/>
  <c r="B223" i="39"/>
  <c r="A224" i="39"/>
  <c r="B224" i="39"/>
  <c r="A225" i="39"/>
  <c r="B225" i="39"/>
  <c r="A226" i="39"/>
  <c r="B226" i="39"/>
  <c r="A227" i="39"/>
  <c r="B227" i="39"/>
  <c r="A228" i="39"/>
  <c r="B228" i="39"/>
  <c r="A229" i="39"/>
  <c r="B229" i="39"/>
  <c r="A230" i="39"/>
  <c r="B230" i="39"/>
  <c r="A231" i="39"/>
  <c r="B231" i="39"/>
  <c r="A232" i="39"/>
  <c r="B232" i="39"/>
  <c r="A233" i="39"/>
  <c r="B233" i="39"/>
  <c r="A234" i="39"/>
  <c r="B234" i="39"/>
  <c r="A235" i="39"/>
  <c r="B235" i="39"/>
  <c r="A236" i="39"/>
  <c r="B236" i="39"/>
  <c r="A237" i="39"/>
  <c r="B237" i="39"/>
  <c r="A238" i="39"/>
  <c r="B238" i="39"/>
  <c r="A239" i="39"/>
  <c r="B239" i="39"/>
  <c r="A240" i="39"/>
  <c r="B240" i="39"/>
  <c r="A241" i="39"/>
  <c r="B241" i="39"/>
  <c r="A242" i="39"/>
  <c r="B242" i="39"/>
  <c r="A243" i="39"/>
  <c r="B243" i="39"/>
  <c r="A244" i="39"/>
  <c r="B244" i="39"/>
  <c r="A245" i="39"/>
  <c r="B245" i="39"/>
  <c r="A246" i="39"/>
  <c r="B246" i="39"/>
  <c r="A247" i="39"/>
  <c r="B247" i="39"/>
  <c r="A248" i="39"/>
  <c r="B248" i="39"/>
  <c r="A249" i="39"/>
  <c r="B249" i="39"/>
  <c r="A250" i="39"/>
  <c r="B250" i="39"/>
  <c r="A251" i="39"/>
  <c r="B251" i="39"/>
  <c r="A252" i="39"/>
  <c r="B252" i="39"/>
  <c r="A253" i="39"/>
  <c r="B253" i="39"/>
  <c r="A254" i="39"/>
  <c r="B254" i="39"/>
  <c r="A255" i="39"/>
  <c r="B255" i="39"/>
  <c r="A256" i="39"/>
  <c r="B256" i="39"/>
  <c r="A257" i="39"/>
  <c r="B257" i="39"/>
  <c r="A258" i="39"/>
  <c r="B258" i="39"/>
  <c r="A259" i="39"/>
  <c r="B259" i="39"/>
  <c r="A260" i="39"/>
  <c r="B260" i="39"/>
  <c r="A261" i="39"/>
  <c r="B261" i="39"/>
  <c r="A262" i="39"/>
  <c r="B262" i="39"/>
  <c r="A263" i="39"/>
  <c r="B263" i="39"/>
  <c r="A264" i="39"/>
  <c r="B264" i="39"/>
  <c r="A265" i="39"/>
  <c r="B265" i="39"/>
  <c r="A266" i="39"/>
  <c r="B266" i="39"/>
  <c r="A267" i="39"/>
  <c r="B267" i="39"/>
  <c r="A268" i="39"/>
  <c r="B268" i="39"/>
  <c r="A269" i="39"/>
  <c r="B269" i="39"/>
  <c r="A270" i="39"/>
  <c r="B270" i="39"/>
  <c r="A271" i="39"/>
  <c r="B271" i="39"/>
  <c r="A272" i="39"/>
  <c r="B272" i="39"/>
  <c r="A273" i="39"/>
  <c r="B273" i="39"/>
  <c r="A274" i="39"/>
  <c r="B274" i="39"/>
  <c r="A275" i="39"/>
  <c r="B275" i="39"/>
  <c r="A276" i="39"/>
  <c r="B276" i="39"/>
  <c r="A277" i="39"/>
  <c r="B277" i="39"/>
  <c r="A278" i="39"/>
  <c r="B278" i="39"/>
  <c r="A279" i="39"/>
  <c r="B279" i="39"/>
  <c r="A280" i="39"/>
  <c r="B280" i="39"/>
  <c r="A281" i="39"/>
  <c r="B281" i="39"/>
  <c r="A282" i="39"/>
  <c r="B282" i="39"/>
  <c r="A283" i="39"/>
  <c r="B283" i="39"/>
  <c r="A284" i="39"/>
  <c r="B284" i="39"/>
  <c r="A285" i="39"/>
  <c r="B285" i="39"/>
  <c r="A286" i="39"/>
  <c r="B286" i="39"/>
  <c r="A287" i="39"/>
  <c r="B287" i="39"/>
  <c r="A288" i="39"/>
  <c r="B288" i="39"/>
  <c r="A289" i="39"/>
  <c r="B289" i="39"/>
  <c r="A290" i="39"/>
  <c r="B290" i="39"/>
  <c r="A291" i="39"/>
  <c r="B291" i="39"/>
  <c r="A292" i="39"/>
  <c r="B292" i="39"/>
  <c r="A293" i="39"/>
  <c r="B293" i="39"/>
  <c r="A294" i="39"/>
  <c r="B294" i="39"/>
  <c r="A295" i="39"/>
  <c r="B295" i="39"/>
  <c r="A296" i="39"/>
  <c r="B296" i="39"/>
  <c r="A297" i="39"/>
  <c r="B297" i="39"/>
  <c r="A298" i="39"/>
  <c r="B298" i="39"/>
  <c r="A299" i="39"/>
  <c r="B299" i="39"/>
  <c r="A300" i="39"/>
  <c r="B300" i="39"/>
  <c r="A301" i="39"/>
  <c r="B301" i="39"/>
  <c r="A302" i="39"/>
  <c r="B302" i="39"/>
  <c r="A303" i="39"/>
  <c r="B303" i="39"/>
  <c r="A304" i="39"/>
  <c r="B304" i="39"/>
  <c r="A305" i="39"/>
  <c r="B305" i="39"/>
  <c r="A306" i="39"/>
  <c r="B306" i="39"/>
  <c r="A307" i="39"/>
  <c r="B307" i="39"/>
  <c r="A308" i="39"/>
  <c r="B308" i="39"/>
  <c r="A309" i="39"/>
  <c r="B309" i="39"/>
  <c r="A310" i="39"/>
  <c r="B310" i="39"/>
  <c r="A311" i="39"/>
  <c r="B311" i="39"/>
  <c r="A312" i="39"/>
  <c r="B312" i="39"/>
  <c r="A313" i="39"/>
  <c r="B313" i="39"/>
  <c r="A7" i="12"/>
  <c r="B7" i="12"/>
  <c r="A8" i="12"/>
  <c r="B8" i="12"/>
  <c r="A9" i="12"/>
  <c r="B9" i="12"/>
  <c r="A10" i="12"/>
  <c r="B10" i="12"/>
  <c r="A11" i="12"/>
  <c r="B11" i="12"/>
  <c r="A12" i="12"/>
  <c r="B12" i="12"/>
  <c r="A13" i="12"/>
  <c r="B13" i="12"/>
  <c r="A14" i="12"/>
  <c r="B14" i="12"/>
  <c r="A15" i="12"/>
  <c r="B15" i="12"/>
  <c r="A16" i="12"/>
  <c r="B16" i="12"/>
  <c r="A17" i="12"/>
  <c r="B17" i="12"/>
  <c r="A18" i="12"/>
  <c r="B18" i="12"/>
  <c r="A19" i="12"/>
  <c r="B19" i="12"/>
  <c r="A20" i="12"/>
  <c r="B20" i="12"/>
  <c r="A21" i="12"/>
  <c r="B21" i="12"/>
  <c r="A22" i="12"/>
  <c r="B22" i="12"/>
  <c r="A23" i="12"/>
  <c r="B23" i="12"/>
  <c r="A24" i="12"/>
  <c r="B24" i="12"/>
  <c r="A25" i="12"/>
  <c r="B25" i="12"/>
  <c r="A26" i="12"/>
  <c r="B26" i="12"/>
  <c r="A27" i="12"/>
  <c r="B27" i="12"/>
  <c r="A28" i="12"/>
  <c r="B28" i="12"/>
  <c r="A29" i="12"/>
  <c r="B29" i="12"/>
  <c r="A30" i="12"/>
  <c r="B30" i="12"/>
  <c r="A31" i="12"/>
  <c r="B31" i="12"/>
  <c r="A32" i="12"/>
  <c r="B32" i="12"/>
  <c r="A33" i="12"/>
  <c r="B33" i="12"/>
  <c r="A34" i="12"/>
  <c r="B34" i="12"/>
  <c r="A35" i="12"/>
  <c r="B35" i="12"/>
  <c r="A36" i="12"/>
  <c r="B36" i="12"/>
  <c r="A37" i="12"/>
  <c r="B37" i="12"/>
  <c r="A38" i="12"/>
  <c r="B38" i="12"/>
  <c r="A39" i="12"/>
  <c r="B39" i="12"/>
  <c r="A40" i="12"/>
  <c r="B40" i="12"/>
  <c r="A41" i="12"/>
  <c r="B41" i="12"/>
  <c r="A42" i="12"/>
  <c r="B42" i="12"/>
  <c r="A43" i="12"/>
  <c r="B43" i="12"/>
  <c r="A44" i="12"/>
  <c r="B44" i="12"/>
  <c r="A45" i="12"/>
  <c r="B45" i="12"/>
  <c r="A46" i="12"/>
  <c r="B46" i="12"/>
  <c r="A47" i="12"/>
  <c r="B47" i="12"/>
  <c r="A48" i="12"/>
  <c r="B48" i="12"/>
  <c r="A49" i="12"/>
  <c r="B49" i="12"/>
  <c r="A50" i="12"/>
  <c r="B50" i="12"/>
  <c r="A51" i="12"/>
  <c r="B51" i="12"/>
  <c r="A52" i="12"/>
  <c r="B52" i="12"/>
  <c r="A53" i="12"/>
  <c r="B53" i="12"/>
  <c r="A54" i="12"/>
  <c r="B54" i="12"/>
  <c r="A55" i="12"/>
  <c r="B55" i="12"/>
  <c r="A56" i="12"/>
  <c r="B56" i="12"/>
  <c r="A57" i="12"/>
  <c r="B57" i="12"/>
  <c r="A58" i="12"/>
  <c r="B58" i="12"/>
  <c r="A59" i="12"/>
  <c r="B59" i="12"/>
  <c r="A60" i="12"/>
  <c r="B60" i="12"/>
  <c r="A61" i="12"/>
  <c r="B61" i="12"/>
  <c r="A62" i="12"/>
  <c r="B62" i="12"/>
  <c r="A63" i="12"/>
  <c r="B63" i="12"/>
  <c r="A64" i="12"/>
  <c r="B64" i="12"/>
  <c r="A65" i="12"/>
  <c r="B65" i="12"/>
  <c r="A66" i="12"/>
  <c r="B66" i="12"/>
  <c r="A67" i="12"/>
  <c r="B67" i="12"/>
  <c r="A68" i="12"/>
  <c r="B68" i="12"/>
  <c r="A69" i="12"/>
  <c r="B69" i="12"/>
  <c r="A70" i="12"/>
  <c r="B70" i="12"/>
  <c r="A71" i="12"/>
  <c r="B71" i="12"/>
  <c r="A72" i="12"/>
  <c r="B72" i="12"/>
  <c r="A73" i="12"/>
  <c r="B73" i="12"/>
  <c r="A74" i="12"/>
  <c r="B74" i="12"/>
  <c r="A75" i="12"/>
  <c r="B75" i="12"/>
  <c r="A76" i="12"/>
  <c r="B76" i="12"/>
  <c r="A77" i="12"/>
  <c r="B77" i="12"/>
  <c r="A78" i="12"/>
  <c r="B78" i="12"/>
  <c r="A79" i="12"/>
  <c r="B79" i="12"/>
  <c r="A80" i="12"/>
  <c r="B80" i="12"/>
  <c r="A81" i="12"/>
  <c r="B81" i="12"/>
  <c r="A82" i="12"/>
  <c r="B82" i="12"/>
  <c r="A83" i="12"/>
  <c r="B83" i="12"/>
  <c r="A84" i="12"/>
  <c r="B84" i="12"/>
  <c r="A85" i="12"/>
  <c r="B85" i="12"/>
  <c r="A86" i="12"/>
  <c r="B86" i="12"/>
  <c r="A87" i="12"/>
  <c r="B87" i="12"/>
  <c r="A88" i="12"/>
  <c r="B88" i="12"/>
  <c r="A89" i="12"/>
  <c r="B89" i="12"/>
  <c r="A90" i="12"/>
  <c r="B90" i="12"/>
  <c r="A91" i="12"/>
  <c r="B91" i="12"/>
  <c r="A92" i="12"/>
  <c r="B92" i="12"/>
  <c r="A93" i="12"/>
  <c r="B93" i="12"/>
  <c r="A94" i="12"/>
  <c r="B94" i="12"/>
  <c r="A95" i="12"/>
  <c r="B95" i="12"/>
  <c r="A96" i="12"/>
  <c r="B96" i="12"/>
  <c r="A97" i="12"/>
  <c r="B97" i="12"/>
  <c r="A98" i="12"/>
  <c r="B98" i="12"/>
  <c r="A99" i="12"/>
  <c r="B99" i="12"/>
  <c r="A100" i="12"/>
  <c r="B100" i="12"/>
  <c r="A101" i="12"/>
  <c r="B101" i="12"/>
  <c r="A102" i="12"/>
  <c r="B102" i="12"/>
  <c r="A103" i="12"/>
  <c r="B103" i="12"/>
  <c r="A104" i="12"/>
  <c r="B104" i="12"/>
  <c r="A105" i="12"/>
  <c r="B105" i="12"/>
  <c r="A106" i="12"/>
  <c r="B106" i="12"/>
  <c r="A107" i="12"/>
  <c r="B107" i="12"/>
  <c r="A108" i="12"/>
  <c r="B108" i="12"/>
  <c r="A109" i="12"/>
  <c r="B109" i="12"/>
  <c r="A110" i="12"/>
  <c r="B110" i="12"/>
  <c r="A111" i="12"/>
  <c r="B111" i="12"/>
  <c r="A112" i="12"/>
  <c r="B112" i="12"/>
  <c r="A113" i="12"/>
  <c r="B113" i="12"/>
  <c r="A114" i="12"/>
  <c r="B114" i="12"/>
  <c r="A115" i="12"/>
  <c r="B115" i="12"/>
  <c r="A116" i="12"/>
  <c r="B116" i="12"/>
  <c r="A117" i="12"/>
  <c r="B117" i="12"/>
  <c r="A118" i="12"/>
  <c r="B118" i="12"/>
  <c r="A119" i="12"/>
  <c r="B119" i="12"/>
  <c r="A120" i="12"/>
  <c r="B120" i="12"/>
  <c r="A121" i="12"/>
  <c r="B121" i="12"/>
  <c r="A122" i="12"/>
  <c r="B122" i="12"/>
  <c r="A123" i="12"/>
  <c r="B123" i="12"/>
  <c r="A124" i="12"/>
  <c r="B124" i="12"/>
  <c r="A125" i="12"/>
  <c r="B125" i="12"/>
  <c r="A126" i="12"/>
  <c r="B126" i="12"/>
  <c r="A127" i="12"/>
  <c r="B127" i="12"/>
  <c r="A128" i="12"/>
  <c r="B128" i="12"/>
  <c r="A129" i="12"/>
  <c r="B129" i="12"/>
  <c r="A130" i="12"/>
  <c r="B130" i="12"/>
  <c r="A131" i="12"/>
  <c r="B131" i="12"/>
  <c r="A132" i="12"/>
  <c r="B132" i="12"/>
  <c r="A133" i="12"/>
  <c r="B133" i="12"/>
  <c r="A134" i="12"/>
  <c r="B134" i="12"/>
  <c r="A135" i="12"/>
  <c r="B135" i="12"/>
  <c r="A136" i="12"/>
  <c r="B136" i="12"/>
  <c r="A137" i="12"/>
  <c r="B137" i="12"/>
  <c r="A138" i="12"/>
  <c r="B138" i="12"/>
  <c r="A139" i="12"/>
  <c r="B139" i="12"/>
  <c r="A140" i="12"/>
  <c r="B140" i="12"/>
  <c r="A141" i="12"/>
  <c r="B141" i="12"/>
  <c r="A142" i="12"/>
  <c r="B142" i="12"/>
  <c r="A143" i="12"/>
  <c r="B143" i="12"/>
  <c r="A144" i="12"/>
  <c r="B144" i="12"/>
  <c r="A145" i="12"/>
  <c r="B145" i="12"/>
  <c r="A146" i="12"/>
  <c r="B146" i="12"/>
  <c r="A147" i="12"/>
  <c r="B147" i="12"/>
  <c r="A148" i="12"/>
  <c r="B148" i="12"/>
  <c r="A149" i="12"/>
  <c r="B149" i="12"/>
  <c r="A150" i="12"/>
  <c r="B150" i="12"/>
  <c r="A151" i="12"/>
  <c r="B151" i="12"/>
  <c r="A152" i="12"/>
  <c r="B152" i="12"/>
  <c r="A153" i="12"/>
  <c r="B153" i="12"/>
  <c r="A154" i="12"/>
  <c r="B154" i="12"/>
  <c r="A155" i="12"/>
  <c r="B155" i="12"/>
  <c r="A156" i="12"/>
  <c r="B156" i="12"/>
  <c r="A157" i="12"/>
  <c r="B157" i="12"/>
  <c r="A158" i="12"/>
  <c r="B158" i="12"/>
  <c r="A159" i="12"/>
  <c r="B159" i="12"/>
  <c r="A160" i="12"/>
  <c r="B160" i="12"/>
  <c r="A161" i="12"/>
  <c r="B161" i="12"/>
  <c r="A162" i="12"/>
  <c r="B162" i="12"/>
  <c r="A163" i="12"/>
  <c r="B163" i="12"/>
  <c r="A164" i="12"/>
  <c r="B164" i="12"/>
  <c r="A165" i="12"/>
  <c r="B165" i="12"/>
  <c r="A166" i="12"/>
  <c r="B166" i="12"/>
  <c r="A167" i="12"/>
  <c r="B167" i="12"/>
  <c r="A168" i="12"/>
  <c r="B168" i="12"/>
  <c r="A169" i="12"/>
  <c r="B169" i="12"/>
  <c r="A170" i="12"/>
  <c r="B170" i="12"/>
  <c r="A171" i="12"/>
  <c r="B171" i="12"/>
  <c r="A172" i="12"/>
  <c r="B172" i="12"/>
  <c r="A173" i="12"/>
  <c r="B173" i="12"/>
  <c r="A174" i="12"/>
  <c r="B174" i="12"/>
  <c r="A175" i="12"/>
  <c r="B175" i="12"/>
  <c r="A176" i="12"/>
  <c r="B176" i="12"/>
  <c r="A177" i="12"/>
  <c r="B177" i="12"/>
  <c r="A178" i="12"/>
  <c r="B178" i="12"/>
  <c r="A179" i="12"/>
  <c r="B179" i="12"/>
  <c r="A180" i="12"/>
  <c r="B180" i="12"/>
  <c r="A181" i="12"/>
  <c r="B181" i="12"/>
  <c r="A182" i="12"/>
  <c r="B182" i="12"/>
  <c r="A183" i="12"/>
  <c r="B183" i="12"/>
  <c r="A184" i="12"/>
  <c r="B184" i="12"/>
  <c r="A185" i="12"/>
  <c r="B185" i="12"/>
  <c r="A186" i="12"/>
  <c r="B186" i="12"/>
  <c r="A187" i="12"/>
  <c r="B187" i="12"/>
  <c r="A188" i="12"/>
  <c r="B188" i="12"/>
  <c r="A189" i="12"/>
  <c r="B189" i="12"/>
  <c r="A190" i="12"/>
  <c r="B190" i="12"/>
  <c r="A191" i="12"/>
  <c r="B191" i="12"/>
  <c r="A192" i="12"/>
  <c r="B192" i="12"/>
  <c r="A193" i="12"/>
  <c r="B193" i="12"/>
  <c r="A194" i="12"/>
  <c r="B194" i="12"/>
  <c r="A195" i="12"/>
  <c r="B195" i="12"/>
  <c r="A196" i="12"/>
  <c r="B196" i="12"/>
  <c r="A197" i="12"/>
  <c r="B197" i="12"/>
  <c r="A198" i="12"/>
  <c r="B198" i="12"/>
  <c r="A199" i="12"/>
  <c r="B199" i="12"/>
  <c r="A200" i="12"/>
  <c r="B200" i="12"/>
  <c r="A201" i="12"/>
  <c r="B201" i="12"/>
  <c r="A202" i="12"/>
  <c r="B202" i="12"/>
  <c r="A203" i="12"/>
  <c r="B203" i="12"/>
  <c r="A204" i="12"/>
  <c r="B204" i="12"/>
  <c r="A205" i="12"/>
  <c r="B205" i="12"/>
  <c r="A206" i="12"/>
  <c r="B206" i="12"/>
  <c r="A207" i="12"/>
  <c r="B207" i="12"/>
  <c r="A208" i="12"/>
  <c r="B208" i="12"/>
  <c r="A209" i="12"/>
  <c r="B209" i="12"/>
  <c r="A210" i="12"/>
  <c r="B210" i="12"/>
  <c r="A211" i="12"/>
  <c r="B211" i="12"/>
  <c r="A212" i="12"/>
  <c r="B212" i="12"/>
  <c r="A213" i="12"/>
  <c r="B213" i="12"/>
  <c r="A214" i="12"/>
  <c r="B214" i="12"/>
  <c r="A215" i="12"/>
  <c r="B215" i="12"/>
  <c r="A216" i="12"/>
  <c r="B216" i="12"/>
  <c r="A217" i="12"/>
  <c r="B217" i="12"/>
  <c r="A218" i="12"/>
  <c r="B218" i="12"/>
  <c r="A219" i="12"/>
  <c r="B219" i="12"/>
  <c r="A220" i="12"/>
  <c r="B220" i="12"/>
  <c r="A221" i="12"/>
  <c r="B221" i="12"/>
  <c r="A222" i="12"/>
  <c r="B222" i="12"/>
  <c r="A223" i="12"/>
  <c r="B223" i="12"/>
  <c r="A224" i="12"/>
  <c r="B224" i="12"/>
  <c r="A225" i="12"/>
  <c r="B225" i="12"/>
  <c r="A226" i="12"/>
  <c r="B226" i="12"/>
  <c r="A227" i="12"/>
  <c r="B227" i="12"/>
  <c r="A228" i="12"/>
  <c r="B228" i="12"/>
  <c r="A229" i="12"/>
  <c r="B229" i="12"/>
  <c r="A230" i="12"/>
  <c r="B230" i="12"/>
  <c r="A231" i="12"/>
  <c r="B231" i="12"/>
  <c r="A232" i="12"/>
  <c r="B232" i="12"/>
  <c r="A233" i="12"/>
  <c r="B233" i="12"/>
  <c r="A234" i="12"/>
  <c r="B234" i="12"/>
  <c r="A235" i="12"/>
  <c r="B235" i="12"/>
  <c r="A236" i="12"/>
  <c r="B236" i="12"/>
  <c r="A237" i="12"/>
  <c r="B237" i="12"/>
  <c r="A238" i="12"/>
  <c r="B238" i="12"/>
  <c r="A239" i="12"/>
  <c r="B239" i="12"/>
  <c r="A240" i="12"/>
  <c r="B240" i="12"/>
  <c r="A241" i="12"/>
  <c r="B241" i="12"/>
  <c r="A242" i="12"/>
  <c r="B242" i="12"/>
  <c r="A243" i="12"/>
  <c r="B243" i="12"/>
  <c r="A244" i="12"/>
  <c r="B244" i="12"/>
  <c r="A245" i="12"/>
  <c r="B245" i="12"/>
  <c r="A246" i="12"/>
  <c r="B246" i="12"/>
  <c r="A247" i="12"/>
  <c r="B247" i="12"/>
  <c r="A248" i="12"/>
  <c r="B248" i="12"/>
  <c r="A249" i="12"/>
  <c r="B249" i="12"/>
  <c r="A250" i="12"/>
  <c r="B250" i="12"/>
  <c r="A251" i="12"/>
  <c r="B251" i="12"/>
  <c r="A252" i="12"/>
  <c r="B252" i="12"/>
  <c r="A253" i="12"/>
  <c r="B253" i="12"/>
  <c r="A254" i="12"/>
  <c r="B254" i="12"/>
  <c r="A255" i="12"/>
  <c r="B255" i="12"/>
  <c r="A256" i="12"/>
  <c r="B256" i="12"/>
  <c r="A257" i="12"/>
  <c r="B257" i="12"/>
  <c r="A258" i="12"/>
  <c r="B258" i="12"/>
  <c r="A259" i="12"/>
  <c r="B259" i="12"/>
  <c r="A260" i="12"/>
  <c r="B260" i="12"/>
  <c r="A261" i="12"/>
  <c r="B261" i="12"/>
  <c r="A262" i="12"/>
  <c r="B262" i="12"/>
  <c r="A263" i="12"/>
  <c r="B263" i="12"/>
  <c r="A264" i="12"/>
  <c r="B264" i="12"/>
  <c r="A265" i="12"/>
  <c r="B265" i="12"/>
  <c r="A266" i="12"/>
  <c r="B266" i="12"/>
  <c r="A267" i="12"/>
  <c r="B267" i="12"/>
  <c r="A268" i="12"/>
  <c r="B268" i="12"/>
  <c r="A269" i="12"/>
  <c r="B269" i="12"/>
  <c r="A270" i="12"/>
  <c r="B270" i="12"/>
  <c r="A271" i="12"/>
  <c r="B271" i="12"/>
  <c r="A272" i="12"/>
  <c r="B272" i="12"/>
  <c r="A273" i="12"/>
  <c r="B273" i="12"/>
  <c r="A274" i="12"/>
  <c r="B274" i="12"/>
  <c r="A275" i="12"/>
  <c r="B275" i="12"/>
  <c r="A276" i="12"/>
  <c r="B276" i="12"/>
  <c r="A277" i="12"/>
  <c r="B277" i="12"/>
  <c r="A278" i="12"/>
  <c r="B278" i="12"/>
  <c r="A279" i="12"/>
  <c r="B279" i="12"/>
  <c r="A280" i="12"/>
  <c r="B280" i="12"/>
  <c r="A281" i="12"/>
  <c r="B281" i="12"/>
  <c r="A282" i="12"/>
  <c r="B282" i="12"/>
  <c r="A283" i="12"/>
  <c r="B283" i="12"/>
  <c r="A284" i="12"/>
  <c r="B284" i="12"/>
  <c r="A285" i="12"/>
  <c r="B285" i="12"/>
  <c r="A286" i="12"/>
  <c r="B286" i="12"/>
  <c r="A287" i="12"/>
  <c r="B287" i="12"/>
  <c r="A288" i="12"/>
  <c r="B288" i="12"/>
  <c r="A289" i="12"/>
  <c r="B289" i="12"/>
  <c r="A290" i="12"/>
  <c r="B290" i="12"/>
  <c r="A291" i="12"/>
  <c r="B291" i="12"/>
  <c r="A292" i="12"/>
  <c r="B292" i="12"/>
  <c r="A293" i="12"/>
  <c r="B293" i="12"/>
  <c r="A294" i="12"/>
  <c r="B294" i="12"/>
  <c r="A295" i="12"/>
  <c r="B295" i="12"/>
  <c r="A296" i="12"/>
  <c r="B296" i="12"/>
  <c r="A297" i="12"/>
  <c r="B297" i="12"/>
  <c r="A298" i="12"/>
  <c r="B298" i="12"/>
  <c r="A299" i="12"/>
  <c r="B299" i="12"/>
  <c r="A300" i="12"/>
  <c r="B300" i="12"/>
  <c r="A301" i="12"/>
  <c r="B301" i="12"/>
  <c r="A302" i="12"/>
  <c r="B302" i="12"/>
  <c r="A303" i="12"/>
  <c r="B303" i="12"/>
  <c r="A304" i="12"/>
  <c r="B304" i="12"/>
  <c r="A305" i="12"/>
  <c r="B305" i="12"/>
  <c r="A306" i="12"/>
  <c r="B306" i="12"/>
  <c r="A307" i="12"/>
  <c r="B307" i="12"/>
  <c r="A308" i="12"/>
  <c r="B308" i="12"/>
  <c r="A309" i="12"/>
  <c r="B309" i="12"/>
  <c r="A310" i="12"/>
  <c r="B310" i="12"/>
  <c r="A311" i="12"/>
  <c r="B311" i="12"/>
  <c r="A312" i="12"/>
  <c r="B312" i="12"/>
  <c r="A313" i="12"/>
  <c r="B313" i="12"/>
  <c r="A17" i="34"/>
  <c r="B17" i="34"/>
  <c r="D17" i="34"/>
  <c r="A18" i="34"/>
  <c r="B18" i="34"/>
  <c r="D18" i="34"/>
  <c r="A19" i="34"/>
  <c r="B19" i="34"/>
  <c r="D19" i="34"/>
  <c r="A20" i="34"/>
  <c r="B20" i="34"/>
  <c r="D20" i="34"/>
  <c r="A21" i="34"/>
  <c r="B21" i="34"/>
  <c r="D21" i="34"/>
  <c r="A22" i="34"/>
  <c r="B22" i="34"/>
  <c r="D22" i="34"/>
  <c r="A23" i="34"/>
  <c r="B23" i="34"/>
  <c r="D23" i="34"/>
  <c r="A24" i="34"/>
  <c r="B24" i="34"/>
  <c r="D24" i="34"/>
  <c r="A25" i="34"/>
  <c r="B25" i="34"/>
  <c r="D25" i="34"/>
  <c r="A26" i="34"/>
  <c r="B26" i="34"/>
  <c r="D26" i="34"/>
  <c r="A27" i="34"/>
  <c r="B27" i="34"/>
  <c r="D27" i="34"/>
  <c r="A28" i="34"/>
  <c r="B28" i="34"/>
  <c r="D28" i="34"/>
  <c r="A29" i="34"/>
  <c r="B29" i="34"/>
  <c r="D29" i="34"/>
  <c r="A30" i="34"/>
  <c r="B30" i="34"/>
  <c r="D30" i="34"/>
  <c r="A31" i="34"/>
  <c r="B31" i="34"/>
  <c r="D31" i="34"/>
  <c r="A32" i="34"/>
  <c r="B32" i="34"/>
  <c r="D32" i="34"/>
  <c r="A33" i="34"/>
  <c r="B33" i="34"/>
  <c r="D33" i="34"/>
  <c r="A34" i="34"/>
  <c r="B34" i="34"/>
  <c r="D34" i="34"/>
  <c r="A35" i="34"/>
  <c r="B35" i="34"/>
  <c r="D35" i="34"/>
  <c r="A36" i="34"/>
  <c r="B36" i="34"/>
  <c r="D36" i="34"/>
  <c r="A37" i="34"/>
  <c r="B37" i="34"/>
  <c r="D37" i="34"/>
  <c r="A38" i="34"/>
  <c r="B38" i="34"/>
  <c r="D38" i="34"/>
  <c r="A39" i="34"/>
  <c r="B39" i="34"/>
  <c r="D39" i="34"/>
  <c r="A40" i="34"/>
  <c r="B40" i="34"/>
  <c r="D40" i="34"/>
  <c r="A41" i="34"/>
  <c r="B41" i="34"/>
  <c r="D41" i="34"/>
  <c r="A42" i="34"/>
  <c r="B42" i="34"/>
  <c r="D42" i="34"/>
  <c r="A43" i="34"/>
  <c r="B43" i="34"/>
  <c r="D43" i="34"/>
  <c r="A44" i="34"/>
  <c r="B44" i="34"/>
  <c r="D44" i="34"/>
  <c r="A45" i="34"/>
  <c r="B45" i="34"/>
  <c r="D45" i="34"/>
  <c r="A46" i="34"/>
  <c r="B46" i="34"/>
  <c r="D46" i="34"/>
  <c r="A47" i="34"/>
  <c r="B47" i="34"/>
  <c r="D47" i="34"/>
  <c r="A48" i="34"/>
  <c r="B48" i="34"/>
  <c r="D48" i="34"/>
  <c r="A49" i="34"/>
  <c r="B49" i="34"/>
  <c r="D49" i="34"/>
  <c r="A50" i="34"/>
  <c r="B50" i="34"/>
  <c r="D50" i="34"/>
  <c r="A51" i="34"/>
  <c r="B51" i="34"/>
  <c r="D51" i="34"/>
  <c r="A52" i="34"/>
  <c r="B52" i="34"/>
  <c r="D52" i="34"/>
  <c r="A53" i="34"/>
  <c r="B53" i="34"/>
  <c r="D53" i="34"/>
  <c r="A54" i="34"/>
  <c r="B54" i="34"/>
  <c r="D54" i="34"/>
  <c r="A55" i="34"/>
  <c r="B55" i="34"/>
  <c r="D55" i="34"/>
  <c r="A56" i="34"/>
  <c r="B56" i="34"/>
  <c r="D56" i="34"/>
  <c r="A57" i="34"/>
  <c r="B57" i="34"/>
  <c r="D57" i="34"/>
  <c r="A58" i="34"/>
  <c r="B58" i="34"/>
  <c r="D58" i="34"/>
  <c r="A59" i="34"/>
  <c r="B59" i="34"/>
  <c r="D59" i="34"/>
  <c r="A60" i="34"/>
  <c r="B60" i="34"/>
  <c r="D60" i="34"/>
  <c r="A61" i="34"/>
  <c r="B61" i="34"/>
  <c r="D61" i="34"/>
  <c r="A62" i="34"/>
  <c r="B62" i="34"/>
  <c r="D62" i="34"/>
  <c r="A63" i="34"/>
  <c r="B63" i="34"/>
  <c r="D63" i="34"/>
  <c r="A64" i="34"/>
  <c r="B64" i="34"/>
  <c r="D64" i="34"/>
  <c r="A65" i="34"/>
  <c r="B65" i="34"/>
  <c r="D65" i="34"/>
  <c r="A66" i="34"/>
  <c r="B66" i="34"/>
  <c r="D66" i="34"/>
  <c r="A67" i="34"/>
  <c r="B67" i="34"/>
  <c r="D67" i="34"/>
  <c r="A68" i="34"/>
  <c r="B68" i="34"/>
  <c r="D68" i="34"/>
  <c r="A69" i="34"/>
  <c r="B69" i="34"/>
  <c r="D69" i="34"/>
  <c r="A70" i="34"/>
  <c r="B70" i="34"/>
  <c r="D70" i="34"/>
  <c r="A71" i="34"/>
  <c r="B71" i="34"/>
  <c r="D71" i="34"/>
  <c r="A72" i="34"/>
  <c r="B72" i="34"/>
  <c r="D72" i="34"/>
  <c r="A73" i="34"/>
  <c r="B73" i="34"/>
  <c r="D73" i="34"/>
  <c r="A74" i="34"/>
  <c r="B74" i="34"/>
  <c r="D74" i="34"/>
  <c r="A75" i="34"/>
  <c r="B75" i="34"/>
  <c r="D75" i="34"/>
  <c r="A76" i="34"/>
  <c r="B76" i="34"/>
  <c r="D76" i="34"/>
  <c r="A77" i="34"/>
  <c r="B77" i="34"/>
  <c r="D77" i="34"/>
  <c r="A78" i="34"/>
  <c r="B78" i="34"/>
  <c r="D78" i="34"/>
  <c r="A79" i="34"/>
  <c r="B79" i="34"/>
  <c r="D79" i="34"/>
  <c r="A80" i="34"/>
  <c r="B80" i="34"/>
  <c r="D80" i="34"/>
  <c r="A81" i="34"/>
  <c r="B81" i="34"/>
  <c r="D81" i="34"/>
  <c r="A82" i="34"/>
  <c r="B82" i="34"/>
  <c r="D82" i="34"/>
  <c r="A83" i="34"/>
  <c r="B83" i="34"/>
  <c r="D83" i="34"/>
  <c r="A84" i="34"/>
  <c r="B84" i="34"/>
  <c r="D84" i="34"/>
  <c r="A85" i="34"/>
  <c r="B85" i="34"/>
  <c r="D85" i="34"/>
  <c r="A86" i="34"/>
  <c r="B86" i="34"/>
  <c r="D86" i="34"/>
  <c r="A87" i="34"/>
  <c r="B87" i="34"/>
  <c r="D87" i="34"/>
  <c r="A88" i="34"/>
  <c r="B88" i="34"/>
  <c r="D88" i="34"/>
  <c r="A89" i="34"/>
  <c r="B89" i="34"/>
  <c r="D89" i="34"/>
  <c r="A90" i="34"/>
  <c r="B90" i="34"/>
  <c r="D90" i="34"/>
  <c r="A91" i="34"/>
  <c r="B91" i="34"/>
  <c r="D91" i="34"/>
  <c r="A92" i="34"/>
  <c r="B92" i="34"/>
  <c r="D92" i="34"/>
  <c r="A93" i="34"/>
  <c r="B93" i="34"/>
  <c r="D93" i="34"/>
  <c r="A94" i="34"/>
  <c r="B94" i="34"/>
  <c r="D94" i="34"/>
  <c r="A95" i="34"/>
  <c r="B95" i="34"/>
  <c r="D95" i="34"/>
  <c r="A96" i="34"/>
  <c r="B96" i="34"/>
  <c r="D96" i="34"/>
  <c r="A97" i="34"/>
  <c r="B97" i="34"/>
  <c r="D97" i="34"/>
  <c r="A98" i="34"/>
  <c r="B98" i="34"/>
  <c r="D98" i="34"/>
  <c r="A99" i="34"/>
  <c r="B99" i="34"/>
  <c r="D99" i="34"/>
  <c r="A100" i="34"/>
  <c r="B100" i="34"/>
  <c r="D100" i="34"/>
  <c r="A101" i="34"/>
  <c r="B101" i="34"/>
  <c r="D101" i="34"/>
  <c r="A102" i="34"/>
  <c r="B102" i="34"/>
  <c r="D102" i="34"/>
  <c r="A103" i="34"/>
  <c r="B103" i="34"/>
  <c r="D103" i="34"/>
  <c r="A104" i="34"/>
  <c r="B104" i="34"/>
  <c r="D104" i="34"/>
  <c r="A105" i="34"/>
  <c r="B105" i="34"/>
  <c r="D105" i="34"/>
  <c r="A106" i="34"/>
  <c r="B106" i="34"/>
  <c r="D106" i="34"/>
  <c r="A107" i="34"/>
  <c r="B107" i="34"/>
  <c r="D107" i="34"/>
  <c r="A108" i="34"/>
  <c r="B108" i="34"/>
  <c r="D108" i="34"/>
  <c r="A109" i="34"/>
  <c r="B109" i="34"/>
  <c r="D109" i="34"/>
  <c r="A110" i="34"/>
  <c r="B110" i="34"/>
  <c r="D110" i="34"/>
  <c r="A111" i="34"/>
  <c r="B111" i="34"/>
  <c r="D111" i="34"/>
  <c r="A112" i="34"/>
  <c r="B112" i="34"/>
  <c r="D112" i="34"/>
  <c r="A113" i="34"/>
  <c r="B113" i="34"/>
  <c r="D113" i="34"/>
  <c r="A114" i="34"/>
  <c r="B114" i="34"/>
  <c r="D114" i="34"/>
  <c r="A115" i="34"/>
  <c r="B115" i="34"/>
  <c r="D115" i="34"/>
  <c r="A116" i="34"/>
  <c r="B116" i="34"/>
  <c r="D116" i="34"/>
  <c r="A117" i="34"/>
  <c r="B117" i="34"/>
  <c r="D117" i="34"/>
  <c r="A118" i="34"/>
  <c r="B118" i="34"/>
  <c r="D118" i="34"/>
  <c r="A119" i="34"/>
  <c r="B119" i="34"/>
  <c r="D119" i="34"/>
  <c r="A120" i="34"/>
  <c r="B120" i="34"/>
  <c r="D120" i="34"/>
  <c r="A121" i="34"/>
  <c r="B121" i="34"/>
  <c r="D121" i="34"/>
  <c r="A122" i="34"/>
  <c r="B122" i="34"/>
  <c r="D122" i="34"/>
  <c r="A123" i="34"/>
  <c r="B123" i="34"/>
  <c r="D123" i="34"/>
  <c r="A124" i="34"/>
  <c r="B124" i="34"/>
  <c r="D124" i="34"/>
  <c r="A125" i="34"/>
  <c r="B125" i="34"/>
  <c r="D125" i="34"/>
  <c r="A126" i="34"/>
  <c r="B126" i="34"/>
  <c r="D126" i="34"/>
  <c r="A127" i="34"/>
  <c r="B127" i="34"/>
  <c r="D127" i="34"/>
  <c r="A128" i="34"/>
  <c r="B128" i="34"/>
  <c r="D128" i="34"/>
  <c r="A129" i="34"/>
  <c r="B129" i="34"/>
  <c r="D129" i="34"/>
  <c r="A130" i="34"/>
  <c r="B130" i="34"/>
  <c r="D130" i="34"/>
  <c r="A131" i="34"/>
  <c r="B131" i="34"/>
  <c r="D131" i="34"/>
  <c r="A132" i="34"/>
  <c r="B132" i="34"/>
  <c r="D132" i="34"/>
  <c r="A133" i="34"/>
  <c r="B133" i="34"/>
  <c r="D133" i="34"/>
  <c r="A134" i="34"/>
  <c r="B134" i="34"/>
  <c r="D134" i="34"/>
  <c r="A135" i="34"/>
  <c r="B135" i="34"/>
  <c r="D135" i="34"/>
  <c r="A136" i="34"/>
  <c r="B136" i="34"/>
  <c r="D136" i="34"/>
  <c r="A137" i="34"/>
  <c r="B137" i="34"/>
  <c r="D137" i="34"/>
  <c r="A138" i="34"/>
  <c r="B138" i="34"/>
  <c r="D138" i="34"/>
  <c r="A139" i="34"/>
  <c r="B139" i="34"/>
  <c r="D139" i="34"/>
  <c r="A140" i="34"/>
  <c r="B140" i="34"/>
  <c r="D140" i="34"/>
  <c r="A141" i="34"/>
  <c r="B141" i="34"/>
  <c r="D141" i="34"/>
  <c r="A142" i="34"/>
  <c r="B142" i="34"/>
  <c r="D142" i="34"/>
  <c r="A143" i="34"/>
  <c r="B143" i="34"/>
  <c r="D143" i="34"/>
  <c r="A144" i="34"/>
  <c r="B144" i="34"/>
  <c r="D144" i="34"/>
  <c r="A145" i="34"/>
  <c r="B145" i="34"/>
  <c r="D145" i="34"/>
  <c r="A146" i="34"/>
  <c r="B146" i="34"/>
  <c r="D146" i="34"/>
  <c r="A147" i="34"/>
  <c r="B147" i="34"/>
  <c r="D147" i="34"/>
  <c r="A148" i="34"/>
  <c r="B148" i="34"/>
  <c r="D148" i="34"/>
  <c r="A149" i="34"/>
  <c r="B149" i="34"/>
  <c r="D149" i="34"/>
  <c r="A150" i="34"/>
  <c r="B150" i="34"/>
  <c r="D150" i="34"/>
  <c r="A151" i="34"/>
  <c r="B151" i="34"/>
  <c r="D151" i="34"/>
  <c r="A152" i="34"/>
  <c r="B152" i="34"/>
  <c r="D152" i="34"/>
  <c r="A153" i="34"/>
  <c r="B153" i="34"/>
  <c r="D153" i="34"/>
  <c r="A154" i="34"/>
  <c r="B154" i="34"/>
  <c r="D154" i="34"/>
  <c r="A155" i="34"/>
  <c r="B155" i="34"/>
  <c r="D155" i="34"/>
  <c r="A156" i="34"/>
  <c r="B156" i="34"/>
  <c r="D156" i="34"/>
  <c r="A157" i="34"/>
  <c r="B157" i="34"/>
  <c r="D157" i="34"/>
  <c r="A158" i="34"/>
  <c r="B158" i="34"/>
  <c r="D158" i="34"/>
  <c r="A159" i="34"/>
  <c r="B159" i="34"/>
  <c r="D159" i="34"/>
  <c r="A160" i="34"/>
  <c r="B160" i="34"/>
  <c r="D160" i="34"/>
  <c r="A161" i="34"/>
  <c r="B161" i="34"/>
  <c r="D161" i="34"/>
  <c r="A162" i="34"/>
  <c r="B162" i="34"/>
  <c r="D162" i="34"/>
  <c r="A163" i="34"/>
  <c r="B163" i="34"/>
  <c r="D163" i="34"/>
  <c r="A164" i="34"/>
  <c r="B164" i="34"/>
  <c r="D164" i="34"/>
  <c r="A165" i="34"/>
  <c r="B165" i="34"/>
  <c r="D165" i="34"/>
  <c r="A166" i="34"/>
  <c r="B166" i="34"/>
  <c r="D166" i="34"/>
  <c r="A167" i="34"/>
  <c r="B167" i="34"/>
  <c r="D167" i="34"/>
  <c r="A168" i="34"/>
  <c r="B168" i="34"/>
  <c r="D168" i="34"/>
  <c r="A169" i="34"/>
  <c r="B169" i="34"/>
  <c r="D169" i="34"/>
  <c r="A170" i="34"/>
  <c r="B170" i="34"/>
  <c r="D170" i="34"/>
  <c r="A171" i="34"/>
  <c r="B171" i="34"/>
  <c r="D171" i="34"/>
  <c r="A172" i="34"/>
  <c r="B172" i="34"/>
  <c r="D172" i="34"/>
  <c r="A173" i="34"/>
  <c r="B173" i="34"/>
  <c r="D173" i="34"/>
  <c r="A174" i="34"/>
  <c r="B174" i="34"/>
  <c r="D174" i="34"/>
  <c r="A175" i="34"/>
  <c r="B175" i="34"/>
  <c r="D175" i="34"/>
  <c r="A176" i="34"/>
  <c r="B176" i="34"/>
  <c r="D176" i="34"/>
  <c r="A177" i="34"/>
  <c r="B177" i="34"/>
  <c r="D177" i="34"/>
  <c r="A178" i="34"/>
  <c r="B178" i="34"/>
  <c r="D178" i="34"/>
  <c r="A179" i="34"/>
  <c r="B179" i="34"/>
  <c r="D179" i="34"/>
  <c r="A180" i="34"/>
  <c r="B180" i="34"/>
  <c r="D180" i="34"/>
  <c r="A181" i="34"/>
  <c r="B181" i="34"/>
  <c r="D181" i="34"/>
  <c r="A182" i="34"/>
  <c r="B182" i="34"/>
  <c r="D182" i="34"/>
  <c r="A183" i="34"/>
  <c r="B183" i="34"/>
  <c r="D183" i="34"/>
  <c r="A184" i="34"/>
  <c r="B184" i="34"/>
  <c r="D184" i="34"/>
  <c r="A185" i="34"/>
  <c r="B185" i="34"/>
  <c r="D185" i="34"/>
  <c r="A186" i="34"/>
  <c r="B186" i="34"/>
  <c r="D186" i="34"/>
  <c r="A187" i="34"/>
  <c r="B187" i="34"/>
  <c r="D187" i="34"/>
  <c r="A188" i="34"/>
  <c r="B188" i="34"/>
  <c r="D188" i="34"/>
  <c r="A189" i="34"/>
  <c r="B189" i="34"/>
  <c r="D189" i="34"/>
  <c r="A190" i="34"/>
  <c r="B190" i="34"/>
  <c r="D190" i="34"/>
  <c r="A191" i="34"/>
  <c r="B191" i="34"/>
  <c r="D191" i="34"/>
  <c r="A192" i="34"/>
  <c r="B192" i="34"/>
  <c r="D192" i="34"/>
  <c r="A193" i="34"/>
  <c r="B193" i="34"/>
  <c r="D193" i="34"/>
  <c r="A194" i="34"/>
  <c r="B194" i="34"/>
  <c r="D194" i="34"/>
  <c r="A195" i="34"/>
  <c r="B195" i="34"/>
  <c r="D195" i="34"/>
  <c r="A196" i="34"/>
  <c r="B196" i="34"/>
  <c r="D196" i="34"/>
  <c r="A197" i="34"/>
  <c r="B197" i="34"/>
  <c r="D197" i="34"/>
  <c r="A198" i="34"/>
  <c r="B198" i="34"/>
  <c r="D198" i="34"/>
  <c r="A199" i="34"/>
  <c r="B199" i="34"/>
  <c r="D199" i="34"/>
  <c r="A200" i="34"/>
  <c r="B200" i="34"/>
  <c r="D200" i="34"/>
  <c r="A201" i="34"/>
  <c r="B201" i="34"/>
  <c r="D201" i="34"/>
  <c r="A202" i="34"/>
  <c r="B202" i="34"/>
  <c r="D202" i="34"/>
  <c r="A203" i="34"/>
  <c r="B203" i="34"/>
  <c r="D203" i="34"/>
  <c r="A204" i="34"/>
  <c r="B204" i="34"/>
  <c r="D204" i="34"/>
  <c r="A205" i="34"/>
  <c r="B205" i="34"/>
  <c r="D205" i="34"/>
  <c r="A206" i="34"/>
  <c r="B206" i="34"/>
  <c r="D206" i="34"/>
  <c r="A207" i="34"/>
  <c r="B207" i="34"/>
  <c r="D207" i="34"/>
  <c r="A208" i="34"/>
  <c r="B208" i="34"/>
  <c r="D208" i="34"/>
  <c r="A209" i="34"/>
  <c r="B209" i="34"/>
  <c r="D209" i="34"/>
  <c r="A210" i="34"/>
  <c r="B210" i="34"/>
  <c r="D210" i="34"/>
  <c r="A211" i="34"/>
  <c r="B211" i="34"/>
  <c r="D211" i="34"/>
  <c r="A212" i="34"/>
  <c r="B212" i="34"/>
  <c r="D212" i="34"/>
  <c r="A213" i="34"/>
  <c r="B213" i="34"/>
  <c r="D213" i="34"/>
  <c r="A214" i="34"/>
  <c r="B214" i="34"/>
  <c r="D214" i="34"/>
  <c r="A215" i="34"/>
  <c r="B215" i="34"/>
  <c r="D215" i="34"/>
  <c r="A216" i="34"/>
  <c r="B216" i="34"/>
  <c r="D216" i="34"/>
  <c r="A217" i="34"/>
  <c r="B217" i="34"/>
  <c r="D217" i="34"/>
  <c r="A218" i="34"/>
  <c r="B218" i="34"/>
  <c r="D218" i="34"/>
  <c r="A219" i="34"/>
  <c r="B219" i="34"/>
  <c r="D219" i="34"/>
  <c r="A220" i="34"/>
  <c r="B220" i="34"/>
  <c r="D220" i="34"/>
  <c r="A221" i="34"/>
  <c r="B221" i="34"/>
  <c r="D221" i="34"/>
  <c r="A222" i="34"/>
  <c r="B222" i="34"/>
  <c r="D222" i="34"/>
  <c r="A223" i="34"/>
  <c r="B223" i="34"/>
  <c r="D223" i="34"/>
  <c r="A224" i="34"/>
  <c r="B224" i="34"/>
  <c r="D224" i="34"/>
  <c r="A225" i="34"/>
  <c r="B225" i="34"/>
  <c r="D225" i="34"/>
  <c r="A226" i="34"/>
  <c r="B226" i="34"/>
  <c r="D226" i="34"/>
  <c r="A227" i="34"/>
  <c r="B227" i="34"/>
  <c r="D227" i="34"/>
  <c r="A228" i="34"/>
  <c r="B228" i="34"/>
  <c r="D228" i="34"/>
  <c r="A229" i="34"/>
  <c r="B229" i="34"/>
  <c r="D229" i="34"/>
  <c r="A230" i="34"/>
  <c r="B230" i="34"/>
  <c r="D230" i="34"/>
  <c r="A231" i="34"/>
  <c r="B231" i="34"/>
  <c r="D231" i="34"/>
  <c r="A232" i="34"/>
  <c r="B232" i="34"/>
  <c r="D232" i="34"/>
  <c r="A233" i="34"/>
  <c r="B233" i="34"/>
  <c r="D233" i="34"/>
  <c r="A234" i="34"/>
  <c r="B234" i="34"/>
  <c r="D234" i="34"/>
  <c r="A235" i="34"/>
  <c r="B235" i="34"/>
  <c r="D235" i="34"/>
  <c r="A236" i="34"/>
  <c r="B236" i="34"/>
  <c r="D236" i="34"/>
  <c r="A237" i="34"/>
  <c r="B237" i="34"/>
  <c r="D237" i="34"/>
  <c r="A238" i="34"/>
  <c r="B238" i="34"/>
  <c r="D238" i="34"/>
  <c r="A239" i="34"/>
  <c r="B239" i="34"/>
  <c r="D239" i="34"/>
  <c r="A240" i="34"/>
  <c r="B240" i="34"/>
  <c r="D240" i="34"/>
  <c r="A241" i="34"/>
  <c r="B241" i="34"/>
  <c r="D241" i="34"/>
  <c r="A242" i="34"/>
  <c r="B242" i="34"/>
  <c r="D242" i="34"/>
  <c r="A243" i="34"/>
  <c r="B243" i="34"/>
  <c r="D243" i="34"/>
  <c r="A244" i="34"/>
  <c r="B244" i="34"/>
  <c r="D244" i="34"/>
  <c r="A245" i="34"/>
  <c r="B245" i="34"/>
  <c r="D245" i="34"/>
  <c r="A246" i="34"/>
  <c r="B246" i="34"/>
  <c r="D246" i="34"/>
  <c r="A247" i="34"/>
  <c r="B247" i="34"/>
  <c r="D247" i="34"/>
  <c r="A248" i="34"/>
  <c r="B248" i="34"/>
  <c r="D248" i="34"/>
  <c r="A249" i="34"/>
  <c r="B249" i="34"/>
  <c r="D249" i="34"/>
  <c r="A250" i="34"/>
  <c r="B250" i="34"/>
  <c r="D250" i="34"/>
  <c r="A251" i="34"/>
  <c r="B251" i="34"/>
  <c r="D251" i="34"/>
  <c r="A252" i="34"/>
  <c r="B252" i="34"/>
  <c r="D252" i="34"/>
  <c r="A253" i="34"/>
  <c r="B253" i="34"/>
  <c r="D253" i="34"/>
  <c r="A254" i="34"/>
  <c r="B254" i="34"/>
  <c r="D254" i="34"/>
  <c r="A255" i="34"/>
  <c r="B255" i="34"/>
  <c r="D255" i="34"/>
  <c r="A256" i="34"/>
  <c r="B256" i="34"/>
  <c r="D256" i="34"/>
  <c r="A257" i="34"/>
  <c r="B257" i="34"/>
  <c r="D257" i="34"/>
  <c r="A258" i="34"/>
  <c r="B258" i="34"/>
  <c r="D258" i="34"/>
  <c r="A259" i="34"/>
  <c r="B259" i="34"/>
  <c r="D259" i="34"/>
  <c r="A260" i="34"/>
  <c r="B260" i="34"/>
  <c r="D260" i="34"/>
  <c r="A261" i="34"/>
  <c r="B261" i="34"/>
  <c r="D261" i="34"/>
  <c r="A262" i="34"/>
  <c r="B262" i="34"/>
  <c r="D262" i="34"/>
  <c r="A263" i="34"/>
  <c r="B263" i="34"/>
  <c r="D263" i="34"/>
  <c r="A264" i="34"/>
  <c r="B264" i="34"/>
  <c r="D264" i="34"/>
  <c r="A265" i="34"/>
  <c r="B265" i="34"/>
  <c r="D265" i="34"/>
  <c r="A266" i="34"/>
  <c r="B266" i="34"/>
  <c r="D266" i="34"/>
  <c r="A267" i="34"/>
  <c r="B267" i="34"/>
  <c r="D267" i="34"/>
  <c r="A268" i="34"/>
  <c r="B268" i="34"/>
  <c r="D268" i="34"/>
  <c r="A269" i="34"/>
  <c r="B269" i="34"/>
  <c r="D269" i="34"/>
  <c r="A270" i="34"/>
  <c r="B270" i="34"/>
  <c r="D270" i="34"/>
  <c r="A271" i="34"/>
  <c r="B271" i="34"/>
  <c r="D271" i="34"/>
  <c r="A272" i="34"/>
  <c r="B272" i="34"/>
  <c r="D272" i="34"/>
  <c r="A273" i="34"/>
  <c r="B273" i="34"/>
  <c r="D273" i="34"/>
  <c r="A274" i="34"/>
  <c r="B274" i="34"/>
  <c r="D274" i="34"/>
  <c r="A275" i="34"/>
  <c r="B275" i="34"/>
  <c r="D275" i="34"/>
  <c r="A276" i="34"/>
  <c r="B276" i="34"/>
  <c r="D276" i="34"/>
  <c r="A277" i="34"/>
  <c r="B277" i="34"/>
  <c r="D277" i="34"/>
  <c r="A278" i="34"/>
  <c r="B278" i="34"/>
  <c r="D278" i="34"/>
  <c r="A279" i="34"/>
  <c r="B279" i="34"/>
  <c r="D279" i="34"/>
  <c r="A280" i="34"/>
  <c r="B280" i="34"/>
  <c r="D280" i="34"/>
  <c r="A281" i="34"/>
  <c r="B281" i="34"/>
  <c r="D281" i="34"/>
  <c r="A282" i="34"/>
  <c r="B282" i="34"/>
  <c r="D282" i="34"/>
  <c r="A283" i="34"/>
  <c r="B283" i="34"/>
  <c r="D283" i="34"/>
  <c r="A284" i="34"/>
  <c r="B284" i="34"/>
  <c r="D284" i="34"/>
  <c r="A285" i="34"/>
  <c r="B285" i="34"/>
  <c r="D285" i="34"/>
  <c r="A286" i="34"/>
  <c r="B286" i="34"/>
  <c r="D286" i="34"/>
  <c r="A287" i="34"/>
  <c r="B287" i="34"/>
  <c r="D287" i="34"/>
  <c r="A288" i="34"/>
  <c r="B288" i="34"/>
  <c r="D288" i="34"/>
  <c r="A289" i="34"/>
  <c r="B289" i="34"/>
  <c r="D289" i="34"/>
  <c r="A290" i="34"/>
  <c r="B290" i="34"/>
  <c r="D290" i="34"/>
  <c r="A291" i="34"/>
  <c r="B291" i="34"/>
  <c r="D291" i="34"/>
  <c r="A292" i="34"/>
  <c r="B292" i="34"/>
  <c r="D292" i="34"/>
  <c r="A293" i="34"/>
  <c r="B293" i="34"/>
  <c r="D293" i="34"/>
  <c r="A294" i="34"/>
  <c r="B294" i="34"/>
  <c r="D294" i="34"/>
  <c r="A295" i="34"/>
  <c r="B295" i="34"/>
  <c r="D295" i="34"/>
  <c r="A296" i="34"/>
  <c r="B296" i="34"/>
  <c r="D296" i="34"/>
  <c r="A297" i="34"/>
  <c r="B297" i="34"/>
  <c r="D297" i="34"/>
  <c r="A298" i="34"/>
  <c r="B298" i="34"/>
  <c r="D298" i="34"/>
  <c r="A299" i="34"/>
  <c r="B299" i="34"/>
  <c r="D299" i="34"/>
  <c r="A300" i="34"/>
  <c r="B300" i="34"/>
  <c r="D300" i="34"/>
  <c r="A301" i="34"/>
  <c r="B301" i="34"/>
  <c r="D301" i="34"/>
  <c r="A302" i="34"/>
  <c r="B302" i="34"/>
  <c r="D302" i="34"/>
  <c r="A303" i="34"/>
  <c r="B303" i="34"/>
  <c r="D303" i="34"/>
  <c r="A304" i="34"/>
  <c r="B304" i="34"/>
  <c r="D304" i="34"/>
  <c r="A305" i="34"/>
  <c r="B305" i="34"/>
  <c r="D305" i="34"/>
  <c r="A306" i="34"/>
  <c r="B306" i="34"/>
  <c r="D306" i="34"/>
  <c r="A307" i="34"/>
  <c r="B307" i="34"/>
  <c r="D307" i="34"/>
  <c r="A308" i="34"/>
  <c r="B308" i="34"/>
  <c r="D308" i="34"/>
  <c r="A309" i="34"/>
  <c r="B309" i="34"/>
  <c r="D309" i="34"/>
  <c r="A310" i="34"/>
  <c r="B310" i="34"/>
  <c r="D310" i="34"/>
  <c r="A311" i="34"/>
  <c r="B311" i="34"/>
  <c r="D311" i="34"/>
  <c r="A312" i="34"/>
  <c r="B312" i="34"/>
  <c r="D312" i="34"/>
  <c r="A313" i="34"/>
  <c r="B313" i="34"/>
  <c r="D313" i="34"/>
  <c r="A314" i="34"/>
  <c r="B314" i="34"/>
  <c r="D314" i="34"/>
  <c r="A315" i="34"/>
  <c r="B315" i="34"/>
  <c r="D315" i="34"/>
  <c r="A316" i="34"/>
  <c r="B316" i="34"/>
  <c r="D316" i="34"/>
  <c r="A317" i="34"/>
  <c r="B317" i="34"/>
  <c r="D317" i="34"/>
  <c r="A318" i="34"/>
  <c r="B318" i="34"/>
  <c r="D318" i="34"/>
  <c r="A319" i="34"/>
  <c r="B319" i="34"/>
  <c r="D319" i="34"/>
  <c r="A320" i="34"/>
  <c r="B320" i="34"/>
  <c r="D320" i="34"/>
  <c r="A321" i="34"/>
  <c r="B321" i="34"/>
  <c r="D321" i="34"/>
  <c r="A322" i="34"/>
  <c r="B322" i="34"/>
  <c r="D322" i="34"/>
  <c r="A323" i="34"/>
  <c r="B323" i="34"/>
  <c r="D323" i="34"/>
  <c r="A7" i="37"/>
  <c r="B7" i="37"/>
  <c r="C7" i="37"/>
  <c r="G7" i="37"/>
  <c r="A8" i="37"/>
  <c r="B8" i="37"/>
  <c r="C8" i="37"/>
  <c r="G8" i="37"/>
  <c r="A9" i="37"/>
  <c r="B9" i="37"/>
  <c r="C9" i="37"/>
  <c r="G9" i="37"/>
  <c r="A10" i="37"/>
  <c r="B10" i="37"/>
  <c r="C10" i="37"/>
  <c r="G10" i="37"/>
  <c r="A11" i="37"/>
  <c r="B11" i="37"/>
  <c r="C11" i="37"/>
  <c r="G11" i="37"/>
  <c r="A12" i="37"/>
  <c r="B12" i="37"/>
  <c r="C12" i="37"/>
  <c r="G12" i="37"/>
  <c r="A13" i="37"/>
  <c r="B13" i="37"/>
  <c r="C13" i="37"/>
  <c r="G13" i="37"/>
  <c r="A14" i="37"/>
  <c r="B14" i="37"/>
  <c r="C14" i="37"/>
  <c r="G14" i="37"/>
  <c r="A15" i="37"/>
  <c r="B15" i="37"/>
  <c r="C15" i="37"/>
  <c r="G15" i="37"/>
  <c r="A16" i="37"/>
  <c r="B16" i="37"/>
  <c r="C16" i="37"/>
  <c r="G16" i="37"/>
  <c r="A17" i="37"/>
  <c r="B17" i="37"/>
  <c r="C17" i="37"/>
  <c r="G17" i="37"/>
  <c r="A18" i="37"/>
  <c r="B18" i="37"/>
  <c r="C18" i="37"/>
  <c r="G18" i="37"/>
  <c r="A19" i="37"/>
  <c r="B19" i="37"/>
  <c r="C19" i="37"/>
  <c r="G19" i="37"/>
  <c r="A20" i="37"/>
  <c r="B20" i="37"/>
  <c r="C20" i="37"/>
  <c r="G20" i="37"/>
  <c r="A21" i="37"/>
  <c r="B21" i="37"/>
  <c r="C21" i="37"/>
  <c r="G21" i="37"/>
  <c r="A22" i="37"/>
  <c r="B22" i="37"/>
  <c r="C22" i="37"/>
  <c r="G22" i="37"/>
  <c r="A23" i="37"/>
  <c r="B23" i="37"/>
  <c r="C23" i="37"/>
  <c r="G23" i="37"/>
  <c r="A24" i="37"/>
  <c r="B24" i="37"/>
  <c r="C24" i="37"/>
  <c r="G24" i="37"/>
  <c r="A25" i="37"/>
  <c r="B25" i="37"/>
  <c r="C25" i="37"/>
  <c r="G25" i="37"/>
  <c r="A26" i="37"/>
  <c r="B26" i="37"/>
  <c r="C26" i="37"/>
  <c r="G26" i="37"/>
  <c r="A27" i="37"/>
  <c r="B27" i="37"/>
  <c r="C27" i="37"/>
  <c r="G27" i="37"/>
  <c r="A28" i="37"/>
  <c r="B28" i="37"/>
  <c r="C28" i="37"/>
  <c r="G28" i="37"/>
  <c r="A29" i="37"/>
  <c r="B29" i="37"/>
  <c r="C29" i="37"/>
  <c r="G29" i="37"/>
  <c r="A30" i="37"/>
  <c r="B30" i="37"/>
  <c r="C30" i="37"/>
  <c r="G30" i="37"/>
  <c r="A31" i="37"/>
  <c r="B31" i="37"/>
  <c r="C31" i="37"/>
  <c r="G31" i="37"/>
  <c r="A32" i="37"/>
  <c r="B32" i="37"/>
  <c r="C32" i="37"/>
  <c r="G32" i="37"/>
  <c r="A33" i="37"/>
  <c r="B33" i="37"/>
  <c r="C33" i="37"/>
  <c r="G33" i="37"/>
  <c r="A34" i="37"/>
  <c r="B34" i="37"/>
  <c r="C34" i="37"/>
  <c r="G34" i="37"/>
  <c r="A35" i="37"/>
  <c r="B35" i="37"/>
  <c r="C35" i="37"/>
  <c r="G35" i="37"/>
  <c r="A36" i="37"/>
  <c r="B36" i="37"/>
  <c r="C36" i="37"/>
  <c r="G36" i="37"/>
  <c r="A37" i="37"/>
  <c r="B37" i="37"/>
  <c r="C37" i="37"/>
  <c r="G37" i="37"/>
  <c r="A38" i="37"/>
  <c r="B38" i="37"/>
  <c r="C38" i="37"/>
  <c r="G38" i="37"/>
  <c r="A39" i="37"/>
  <c r="B39" i="37"/>
  <c r="C39" i="37"/>
  <c r="G39" i="37"/>
  <c r="A40" i="37"/>
  <c r="B40" i="37"/>
  <c r="C40" i="37"/>
  <c r="G40" i="37"/>
  <c r="A41" i="37"/>
  <c r="B41" i="37"/>
  <c r="C41" i="37"/>
  <c r="G41" i="37"/>
  <c r="A42" i="37"/>
  <c r="B42" i="37"/>
  <c r="C42" i="37"/>
  <c r="G42" i="37"/>
  <c r="A43" i="37"/>
  <c r="B43" i="37"/>
  <c r="C43" i="37"/>
  <c r="G43" i="37"/>
  <c r="A44" i="37"/>
  <c r="B44" i="37"/>
  <c r="C44" i="37"/>
  <c r="G44" i="37"/>
  <c r="A45" i="37"/>
  <c r="B45" i="37"/>
  <c r="C45" i="37"/>
  <c r="G45" i="37"/>
  <c r="A46" i="37"/>
  <c r="B46" i="37"/>
  <c r="C46" i="37"/>
  <c r="G46" i="37"/>
  <c r="A47" i="37"/>
  <c r="B47" i="37"/>
  <c r="C47" i="37"/>
  <c r="G47" i="37"/>
  <c r="A48" i="37"/>
  <c r="B48" i="37"/>
  <c r="C48" i="37"/>
  <c r="G48" i="37"/>
  <c r="A49" i="37"/>
  <c r="B49" i="37"/>
  <c r="C49" i="37"/>
  <c r="G49" i="37"/>
  <c r="A50" i="37"/>
  <c r="B50" i="37"/>
  <c r="C50" i="37"/>
  <c r="G50" i="37"/>
  <c r="A51" i="37"/>
  <c r="B51" i="37"/>
  <c r="C51" i="37"/>
  <c r="G51" i="37"/>
  <c r="A52" i="37"/>
  <c r="B52" i="37"/>
  <c r="C52" i="37"/>
  <c r="G52" i="37"/>
  <c r="A53" i="37"/>
  <c r="B53" i="37"/>
  <c r="C53" i="37"/>
  <c r="G53" i="37"/>
  <c r="A54" i="37"/>
  <c r="B54" i="37"/>
  <c r="C54" i="37"/>
  <c r="G54" i="37"/>
  <c r="A55" i="37"/>
  <c r="B55" i="37"/>
  <c r="C55" i="37"/>
  <c r="G55" i="37"/>
  <c r="A56" i="37"/>
  <c r="B56" i="37"/>
  <c r="C56" i="37"/>
  <c r="G56" i="37"/>
  <c r="A57" i="37"/>
  <c r="B57" i="37"/>
  <c r="C57" i="37"/>
  <c r="G57" i="37"/>
  <c r="A58" i="37"/>
  <c r="B58" i="37"/>
  <c r="C58" i="37"/>
  <c r="G58" i="37"/>
  <c r="A59" i="37"/>
  <c r="B59" i="37"/>
  <c r="C59" i="37"/>
  <c r="G59" i="37"/>
  <c r="A60" i="37"/>
  <c r="B60" i="37"/>
  <c r="C60" i="37"/>
  <c r="G60" i="37"/>
  <c r="A61" i="37"/>
  <c r="B61" i="37"/>
  <c r="C61" i="37"/>
  <c r="G61" i="37"/>
  <c r="A62" i="37"/>
  <c r="B62" i="37"/>
  <c r="C62" i="37"/>
  <c r="G62" i="37"/>
  <c r="A63" i="37"/>
  <c r="B63" i="37"/>
  <c r="C63" i="37"/>
  <c r="G63" i="37"/>
  <c r="A64" i="37"/>
  <c r="B64" i="37"/>
  <c r="C64" i="37"/>
  <c r="G64" i="37"/>
  <c r="A65" i="37"/>
  <c r="B65" i="37"/>
  <c r="C65" i="37"/>
  <c r="G65" i="37"/>
  <c r="A66" i="37"/>
  <c r="B66" i="37"/>
  <c r="C66" i="37"/>
  <c r="G66" i="37"/>
  <c r="A67" i="37"/>
  <c r="B67" i="37"/>
  <c r="C67" i="37"/>
  <c r="G67" i="37"/>
  <c r="A68" i="37"/>
  <c r="B68" i="37"/>
  <c r="C68" i="37"/>
  <c r="G68" i="37"/>
  <c r="A69" i="37"/>
  <c r="B69" i="37"/>
  <c r="C69" i="37"/>
  <c r="G69" i="37"/>
  <c r="A70" i="37"/>
  <c r="B70" i="37"/>
  <c r="C70" i="37"/>
  <c r="G70" i="37"/>
  <c r="A71" i="37"/>
  <c r="B71" i="37"/>
  <c r="C71" i="37"/>
  <c r="G71" i="37"/>
  <c r="A72" i="37"/>
  <c r="B72" i="37"/>
  <c r="C72" i="37"/>
  <c r="G72" i="37"/>
  <c r="A73" i="37"/>
  <c r="B73" i="37"/>
  <c r="C73" i="37"/>
  <c r="G73" i="37"/>
  <c r="A74" i="37"/>
  <c r="B74" i="37"/>
  <c r="C74" i="37"/>
  <c r="G74" i="37"/>
  <c r="A75" i="37"/>
  <c r="B75" i="37"/>
  <c r="C75" i="37"/>
  <c r="G75" i="37"/>
  <c r="A76" i="37"/>
  <c r="B76" i="37"/>
  <c r="C76" i="37"/>
  <c r="G76" i="37"/>
  <c r="A77" i="37"/>
  <c r="B77" i="37"/>
  <c r="C77" i="37"/>
  <c r="G77" i="37"/>
  <c r="A78" i="37"/>
  <c r="B78" i="37"/>
  <c r="C78" i="37"/>
  <c r="G78" i="37"/>
  <c r="A79" i="37"/>
  <c r="B79" i="37"/>
  <c r="C79" i="37"/>
  <c r="G79" i="37"/>
  <c r="A80" i="37"/>
  <c r="B80" i="37"/>
  <c r="C80" i="37"/>
  <c r="G80" i="37"/>
  <c r="A81" i="37"/>
  <c r="B81" i="37"/>
  <c r="C81" i="37"/>
  <c r="G81" i="37"/>
  <c r="A82" i="37"/>
  <c r="B82" i="37"/>
  <c r="C82" i="37"/>
  <c r="G82" i="37"/>
  <c r="A83" i="37"/>
  <c r="B83" i="37"/>
  <c r="C83" i="37"/>
  <c r="G83" i="37"/>
  <c r="A84" i="37"/>
  <c r="B84" i="37"/>
  <c r="C84" i="37"/>
  <c r="G84" i="37"/>
  <c r="A85" i="37"/>
  <c r="B85" i="37"/>
  <c r="C85" i="37"/>
  <c r="G85" i="37"/>
  <c r="A86" i="37"/>
  <c r="B86" i="37"/>
  <c r="C86" i="37"/>
  <c r="G86" i="37"/>
  <c r="A87" i="37"/>
  <c r="B87" i="37"/>
  <c r="C87" i="37"/>
  <c r="G87" i="37"/>
  <c r="A88" i="37"/>
  <c r="B88" i="37"/>
  <c r="C88" i="37"/>
  <c r="G88" i="37"/>
  <c r="A89" i="37"/>
  <c r="B89" i="37"/>
  <c r="C89" i="37"/>
  <c r="G89" i="37"/>
  <c r="A90" i="37"/>
  <c r="B90" i="37"/>
  <c r="C90" i="37"/>
  <c r="G90" i="37"/>
  <c r="A91" i="37"/>
  <c r="B91" i="37"/>
  <c r="C91" i="37"/>
  <c r="G91" i="37"/>
  <c r="A92" i="37"/>
  <c r="B92" i="37"/>
  <c r="C92" i="37"/>
  <c r="G92" i="37"/>
  <c r="A93" i="37"/>
  <c r="B93" i="37"/>
  <c r="C93" i="37"/>
  <c r="G93" i="37"/>
  <c r="A94" i="37"/>
  <c r="B94" i="37"/>
  <c r="C94" i="37"/>
  <c r="G94" i="37"/>
  <c r="A95" i="37"/>
  <c r="B95" i="37"/>
  <c r="C95" i="37"/>
  <c r="G95" i="37"/>
  <c r="A96" i="37"/>
  <c r="B96" i="37"/>
  <c r="C96" i="37"/>
  <c r="G96" i="37"/>
  <c r="A97" i="37"/>
  <c r="B97" i="37"/>
  <c r="C97" i="37"/>
  <c r="G97" i="37"/>
  <c r="A98" i="37"/>
  <c r="B98" i="37"/>
  <c r="C98" i="37"/>
  <c r="G98" i="37"/>
  <c r="A99" i="37"/>
  <c r="B99" i="37"/>
  <c r="C99" i="37"/>
  <c r="G99" i="37"/>
  <c r="A100" i="37"/>
  <c r="B100" i="37"/>
  <c r="C100" i="37"/>
  <c r="G100" i="37"/>
  <c r="A101" i="37"/>
  <c r="B101" i="37"/>
  <c r="C101" i="37"/>
  <c r="G101" i="37"/>
  <c r="A102" i="37"/>
  <c r="B102" i="37"/>
  <c r="C102" i="37"/>
  <c r="G102" i="37"/>
  <c r="A103" i="37"/>
  <c r="B103" i="37"/>
  <c r="C103" i="37"/>
  <c r="G103" i="37"/>
  <c r="A104" i="37"/>
  <c r="B104" i="37"/>
  <c r="C104" i="37"/>
  <c r="G104" i="37"/>
  <c r="A105" i="37"/>
  <c r="B105" i="37"/>
  <c r="C105" i="37"/>
  <c r="G105" i="37"/>
  <c r="A106" i="37"/>
  <c r="B106" i="37"/>
  <c r="C106" i="37"/>
  <c r="G106" i="37"/>
  <c r="A107" i="37"/>
  <c r="B107" i="37"/>
  <c r="C107" i="37"/>
  <c r="G107" i="37"/>
  <c r="A108" i="37"/>
  <c r="B108" i="37"/>
  <c r="C108" i="37"/>
  <c r="G108" i="37"/>
  <c r="A109" i="37"/>
  <c r="B109" i="37"/>
  <c r="C109" i="37"/>
  <c r="G109" i="37"/>
  <c r="A110" i="37"/>
  <c r="B110" i="37"/>
  <c r="C110" i="37"/>
  <c r="G110" i="37"/>
  <c r="A111" i="37"/>
  <c r="B111" i="37"/>
  <c r="C111" i="37"/>
  <c r="G111" i="37"/>
  <c r="A112" i="37"/>
  <c r="B112" i="37"/>
  <c r="C112" i="37"/>
  <c r="G112" i="37"/>
  <c r="A113" i="37"/>
  <c r="B113" i="37"/>
  <c r="C113" i="37"/>
  <c r="G113" i="37"/>
  <c r="A114" i="37"/>
  <c r="B114" i="37"/>
  <c r="C114" i="37"/>
  <c r="G114" i="37"/>
  <c r="A115" i="37"/>
  <c r="B115" i="37"/>
  <c r="C115" i="37"/>
  <c r="G115" i="37"/>
  <c r="A116" i="37"/>
  <c r="B116" i="37"/>
  <c r="C116" i="37"/>
  <c r="G116" i="37"/>
  <c r="A117" i="37"/>
  <c r="B117" i="37"/>
  <c r="C117" i="37"/>
  <c r="G117" i="37"/>
  <c r="A118" i="37"/>
  <c r="B118" i="37"/>
  <c r="C118" i="37"/>
  <c r="G118" i="37"/>
  <c r="A119" i="37"/>
  <c r="B119" i="37"/>
  <c r="C119" i="37"/>
  <c r="G119" i="37"/>
  <c r="A120" i="37"/>
  <c r="B120" i="37"/>
  <c r="C120" i="37"/>
  <c r="G120" i="37"/>
  <c r="A121" i="37"/>
  <c r="B121" i="37"/>
  <c r="C121" i="37"/>
  <c r="G121" i="37"/>
  <c r="A122" i="37"/>
  <c r="B122" i="37"/>
  <c r="C122" i="37"/>
  <c r="G122" i="37"/>
  <c r="A123" i="37"/>
  <c r="B123" i="37"/>
  <c r="C123" i="37"/>
  <c r="G123" i="37"/>
  <c r="A124" i="37"/>
  <c r="B124" i="37"/>
  <c r="C124" i="37"/>
  <c r="G124" i="37"/>
  <c r="A125" i="37"/>
  <c r="B125" i="37"/>
  <c r="C125" i="37"/>
  <c r="G125" i="37"/>
  <c r="A126" i="37"/>
  <c r="B126" i="37"/>
  <c r="C126" i="37"/>
  <c r="G126" i="37"/>
  <c r="A127" i="37"/>
  <c r="B127" i="37"/>
  <c r="C127" i="37"/>
  <c r="G127" i="37"/>
  <c r="A128" i="37"/>
  <c r="B128" i="37"/>
  <c r="C128" i="37"/>
  <c r="G128" i="37"/>
  <c r="A129" i="37"/>
  <c r="B129" i="37"/>
  <c r="C129" i="37"/>
  <c r="G129" i="37"/>
  <c r="A130" i="37"/>
  <c r="B130" i="37"/>
  <c r="C130" i="37"/>
  <c r="G130" i="37"/>
  <c r="A131" i="37"/>
  <c r="B131" i="37"/>
  <c r="C131" i="37"/>
  <c r="G131" i="37"/>
  <c r="A132" i="37"/>
  <c r="B132" i="37"/>
  <c r="C132" i="37"/>
  <c r="G132" i="37"/>
  <c r="A133" i="37"/>
  <c r="B133" i="37"/>
  <c r="C133" i="37"/>
  <c r="G133" i="37"/>
  <c r="A134" i="37"/>
  <c r="B134" i="37"/>
  <c r="C134" i="37"/>
  <c r="G134" i="37"/>
  <c r="A135" i="37"/>
  <c r="B135" i="37"/>
  <c r="C135" i="37"/>
  <c r="G135" i="37"/>
  <c r="A136" i="37"/>
  <c r="B136" i="37"/>
  <c r="C136" i="37"/>
  <c r="G136" i="37"/>
  <c r="A137" i="37"/>
  <c r="B137" i="37"/>
  <c r="C137" i="37"/>
  <c r="G137" i="37"/>
  <c r="A138" i="37"/>
  <c r="B138" i="37"/>
  <c r="C138" i="37"/>
  <c r="G138" i="37"/>
  <c r="A139" i="37"/>
  <c r="B139" i="37"/>
  <c r="C139" i="37"/>
  <c r="G139" i="37"/>
  <c r="A140" i="37"/>
  <c r="B140" i="37"/>
  <c r="C140" i="37"/>
  <c r="G140" i="37"/>
  <c r="A141" i="37"/>
  <c r="B141" i="37"/>
  <c r="C141" i="37"/>
  <c r="G141" i="37"/>
  <c r="A142" i="37"/>
  <c r="B142" i="37"/>
  <c r="C142" i="37"/>
  <c r="G142" i="37"/>
  <c r="A143" i="37"/>
  <c r="B143" i="37"/>
  <c r="C143" i="37"/>
  <c r="G143" i="37"/>
  <c r="A144" i="37"/>
  <c r="B144" i="37"/>
  <c r="C144" i="37"/>
  <c r="G144" i="37"/>
  <c r="A145" i="37"/>
  <c r="B145" i="37"/>
  <c r="C145" i="37"/>
  <c r="G145" i="37"/>
  <c r="A146" i="37"/>
  <c r="B146" i="37"/>
  <c r="C146" i="37"/>
  <c r="G146" i="37"/>
  <c r="A147" i="37"/>
  <c r="B147" i="37"/>
  <c r="C147" i="37"/>
  <c r="G147" i="37"/>
  <c r="A148" i="37"/>
  <c r="B148" i="37"/>
  <c r="C148" i="37"/>
  <c r="G148" i="37"/>
  <c r="A149" i="37"/>
  <c r="B149" i="37"/>
  <c r="C149" i="37"/>
  <c r="G149" i="37"/>
  <c r="A150" i="37"/>
  <c r="B150" i="37"/>
  <c r="C150" i="37"/>
  <c r="G150" i="37"/>
  <c r="A151" i="37"/>
  <c r="B151" i="37"/>
  <c r="C151" i="37"/>
  <c r="G151" i="37"/>
  <c r="A152" i="37"/>
  <c r="B152" i="37"/>
  <c r="C152" i="37"/>
  <c r="G152" i="37"/>
  <c r="A153" i="37"/>
  <c r="B153" i="37"/>
  <c r="C153" i="37"/>
  <c r="G153" i="37"/>
  <c r="A154" i="37"/>
  <c r="B154" i="37"/>
  <c r="C154" i="37"/>
  <c r="G154" i="37"/>
  <c r="A155" i="37"/>
  <c r="B155" i="37"/>
  <c r="C155" i="37"/>
  <c r="G155" i="37"/>
  <c r="A156" i="37"/>
  <c r="B156" i="37"/>
  <c r="C156" i="37"/>
  <c r="G156" i="37"/>
  <c r="A157" i="37"/>
  <c r="B157" i="37"/>
  <c r="C157" i="37"/>
  <c r="G157" i="37"/>
  <c r="A158" i="37"/>
  <c r="B158" i="37"/>
  <c r="C158" i="37"/>
  <c r="G158" i="37"/>
  <c r="A159" i="37"/>
  <c r="B159" i="37"/>
  <c r="C159" i="37"/>
  <c r="G159" i="37"/>
  <c r="A160" i="37"/>
  <c r="B160" i="37"/>
  <c r="C160" i="37"/>
  <c r="G160" i="37"/>
  <c r="A161" i="37"/>
  <c r="B161" i="37"/>
  <c r="C161" i="37"/>
  <c r="G161" i="37"/>
  <c r="A162" i="37"/>
  <c r="B162" i="37"/>
  <c r="C162" i="37"/>
  <c r="G162" i="37"/>
  <c r="A163" i="37"/>
  <c r="B163" i="37"/>
  <c r="C163" i="37"/>
  <c r="G163" i="37"/>
  <c r="A164" i="37"/>
  <c r="B164" i="37"/>
  <c r="C164" i="37"/>
  <c r="G164" i="37"/>
  <c r="A165" i="37"/>
  <c r="B165" i="37"/>
  <c r="C165" i="37"/>
  <c r="G165" i="37"/>
  <c r="A166" i="37"/>
  <c r="B166" i="37"/>
  <c r="C166" i="37"/>
  <c r="G166" i="37"/>
  <c r="A167" i="37"/>
  <c r="B167" i="37"/>
  <c r="C167" i="37"/>
  <c r="G167" i="37"/>
  <c r="A168" i="37"/>
  <c r="B168" i="37"/>
  <c r="C168" i="37"/>
  <c r="G168" i="37"/>
  <c r="A169" i="37"/>
  <c r="B169" i="37"/>
  <c r="C169" i="37"/>
  <c r="G169" i="37"/>
  <c r="A170" i="37"/>
  <c r="B170" i="37"/>
  <c r="C170" i="37"/>
  <c r="G170" i="37"/>
  <c r="A171" i="37"/>
  <c r="B171" i="37"/>
  <c r="C171" i="37"/>
  <c r="G171" i="37"/>
  <c r="A172" i="37"/>
  <c r="B172" i="37"/>
  <c r="C172" i="37"/>
  <c r="G172" i="37"/>
  <c r="A173" i="37"/>
  <c r="B173" i="37"/>
  <c r="C173" i="37"/>
  <c r="G173" i="37"/>
  <c r="A174" i="37"/>
  <c r="B174" i="37"/>
  <c r="C174" i="37"/>
  <c r="G174" i="37"/>
  <c r="A175" i="37"/>
  <c r="B175" i="37"/>
  <c r="C175" i="37"/>
  <c r="G175" i="37"/>
  <c r="A176" i="37"/>
  <c r="B176" i="37"/>
  <c r="C176" i="37"/>
  <c r="G176" i="37"/>
  <c r="A177" i="37"/>
  <c r="B177" i="37"/>
  <c r="C177" i="37"/>
  <c r="G177" i="37"/>
  <c r="A178" i="37"/>
  <c r="B178" i="37"/>
  <c r="C178" i="37"/>
  <c r="G178" i="37"/>
  <c r="A179" i="37"/>
  <c r="B179" i="37"/>
  <c r="C179" i="37"/>
  <c r="G179" i="37"/>
  <c r="A180" i="37"/>
  <c r="B180" i="37"/>
  <c r="C180" i="37"/>
  <c r="G180" i="37"/>
  <c r="A181" i="37"/>
  <c r="B181" i="37"/>
  <c r="C181" i="37"/>
  <c r="G181" i="37"/>
  <c r="A182" i="37"/>
  <c r="B182" i="37"/>
  <c r="C182" i="37"/>
  <c r="G182" i="37"/>
  <c r="A183" i="37"/>
  <c r="B183" i="37"/>
  <c r="C183" i="37"/>
  <c r="G183" i="37"/>
  <c r="A184" i="37"/>
  <c r="B184" i="37"/>
  <c r="C184" i="37"/>
  <c r="G184" i="37"/>
  <c r="A185" i="37"/>
  <c r="B185" i="37"/>
  <c r="C185" i="37"/>
  <c r="G185" i="37"/>
  <c r="A186" i="37"/>
  <c r="B186" i="37"/>
  <c r="C186" i="37"/>
  <c r="G186" i="37"/>
  <c r="A187" i="37"/>
  <c r="B187" i="37"/>
  <c r="C187" i="37"/>
  <c r="G187" i="37"/>
  <c r="A188" i="37"/>
  <c r="B188" i="37"/>
  <c r="C188" i="37"/>
  <c r="G188" i="37"/>
  <c r="A189" i="37"/>
  <c r="B189" i="37"/>
  <c r="C189" i="37"/>
  <c r="G189" i="37"/>
  <c r="A190" i="37"/>
  <c r="B190" i="37"/>
  <c r="C190" i="37"/>
  <c r="G190" i="37"/>
  <c r="A191" i="37"/>
  <c r="B191" i="37"/>
  <c r="C191" i="37"/>
  <c r="G191" i="37"/>
  <c r="A192" i="37"/>
  <c r="B192" i="37"/>
  <c r="C192" i="37"/>
  <c r="G192" i="37"/>
  <c r="A193" i="37"/>
  <c r="B193" i="37"/>
  <c r="C193" i="37"/>
  <c r="G193" i="37"/>
  <c r="A194" i="37"/>
  <c r="B194" i="37"/>
  <c r="C194" i="37"/>
  <c r="G194" i="37"/>
  <c r="A195" i="37"/>
  <c r="B195" i="37"/>
  <c r="C195" i="37"/>
  <c r="G195" i="37"/>
  <c r="A196" i="37"/>
  <c r="B196" i="37"/>
  <c r="C196" i="37"/>
  <c r="G196" i="37"/>
  <c r="A197" i="37"/>
  <c r="B197" i="37"/>
  <c r="C197" i="37"/>
  <c r="G197" i="37"/>
  <c r="A198" i="37"/>
  <c r="B198" i="37"/>
  <c r="C198" i="37"/>
  <c r="G198" i="37"/>
  <c r="A199" i="37"/>
  <c r="B199" i="37"/>
  <c r="C199" i="37"/>
  <c r="G199" i="37"/>
  <c r="A200" i="37"/>
  <c r="B200" i="37"/>
  <c r="C200" i="37"/>
  <c r="G200" i="37"/>
  <c r="A201" i="37"/>
  <c r="B201" i="37"/>
  <c r="C201" i="37"/>
  <c r="G201" i="37"/>
  <c r="A202" i="37"/>
  <c r="B202" i="37"/>
  <c r="C202" i="37"/>
  <c r="G202" i="37"/>
  <c r="A203" i="37"/>
  <c r="B203" i="37"/>
  <c r="C203" i="37"/>
  <c r="G203" i="37"/>
  <c r="A204" i="37"/>
  <c r="B204" i="37"/>
  <c r="C204" i="37"/>
  <c r="G204" i="37"/>
  <c r="A205" i="37"/>
  <c r="B205" i="37"/>
  <c r="C205" i="37"/>
  <c r="G205" i="37"/>
  <c r="A206" i="37"/>
  <c r="B206" i="37"/>
  <c r="C206" i="37"/>
  <c r="G206" i="37"/>
  <c r="A207" i="37"/>
  <c r="B207" i="37"/>
  <c r="C207" i="37"/>
  <c r="G207" i="37"/>
  <c r="A208" i="37"/>
  <c r="B208" i="37"/>
  <c r="C208" i="37"/>
  <c r="G208" i="37"/>
  <c r="A209" i="37"/>
  <c r="B209" i="37"/>
  <c r="C209" i="37"/>
  <c r="G209" i="37"/>
  <c r="A210" i="37"/>
  <c r="B210" i="37"/>
  <c r="C210" i="37"/>
  <c r="G210" i="37"/>
  <c r="A211" i="37"/>
  <c r="B211" i="37"/>
  <c r="C211" i="37"/>
  <c r="G211" i="37"/>
  <c r="A212" i="37"/>
  <c r="B212" i="37"/>
  <c r="C212" i="37"/>
  <c r="G212" i="37"/>
  <c r="A213" i="37"/>
  <c r="B213" i="37"/>
  <c r="C213" i="37"/>
  <c r="G213" i="37"/>
  <c r="A214" i="37"/>
  <c r="B214" i="37"/>
  <c r="C214" i="37"/>
  <c r="G214" i="37"/>
  <c r="A215" i="37"/>
  <c r="B215" i="37"/>
  <c r="C215" i="37"/>
  <c r="G215" i="37"/>
  <c r="A216" i="37"/>
  <c r="B216" i="37"/>
  <c r="C216" i="37"/>
  <c r="G216" i="37"/>
  <c r="A217" i="37"/>
  <c r="B217" i="37"/>
  <c r="C217" i="37"/>
  <c r="G217" i="37"/>
  <c r="A218" i="37"/>
  <c r="B218" i="37"/>
  <c r="C218" i="37"/>
  <c r="G218" i="37"/>
  <c r="A219" i="37"/>
  <c r="B219" i="37"/>
  <c r="C219" i="37"/>
  <c r="G219" i="37"/>
  <c r="A220" i="37"/>
  <c r="B220" i="37"/>
  <c r="C220" i="37"/>
  <c r="G220" i="37"/>
  <c r="A221" i="37"/>
  <c r="B221" i="37"/>
  <c r="C221" i="37"/>
  <c r="G221" i="37"/>
  <c r="A222" i="37"/>
  <c r="B222" i="37"/>
  <c r="C222" i="37"/>
  <c r="G222" i="37"/>
  <c r="A223" i="37"/>
  <c r="B223" i="37"/>
  <c r="C223" i="37"/>
  <c r="G223" i="37"/>
  <c r="A224" i="37"/>
  <c r="B224" i="37"/>
  <c r="C224" i="37"/>
  <c r="G224" i="37"/>
  <c r="A225" i="37"/>
  <c r="B225" i="37"/>
  <c r="C225" i="37"/>
  <c r="G225" i="37"/>
  <c r="A226" i="37"/>
  <c r="B226" i="37"/>
  <c r="C226" i="37"/>
  <c r="G226" i="37"/>
  <c r="A227" i="37"/>
  <c r="B227" i="37"/>
  <c r="C227" i="37"/>
  <c r="G227" i="37"/>
  <c r="A228" i="37"/>
  <c r="B228" i="37"/>
  <c r="C228" i="37"/>
  <c r="G228" i="37"/>
  <c r="A229" i="37"/>
  <c r="B229" i="37"/>
  <c r="C229" i="37"/>
  <c r="G229" i="37"/>
  <c r="A230" i="37"/>
  <c r="B230" i="37"/>
  <c r="C230" i="37"/>
  <c r="G230" i="37"/>
  <c r="A231" i="37"/>
  <c r="B231" i="37"/>
  <c r="C231" i="37"/>
  <c r="G231" i="37"/>
  <c r="A232" i="37"/>
  <c r="B232" i="37"/>
  <c r="C232" i="37"/>
  <c r="G232" i="37"/>
  <c r="A233" i="37"/>
  <c r="B233" i="37"/>
  <c r="C233" i="37"/>
  <c r="G233" i="37"/>
  <c r="A234" i="37"/>
  <c r="B234" i="37"/>
  <c r="C234" i="37"/>
  <c r="G234" i="37"/>
  <c r="A235" i="37"/>
  <c r="B235" i="37"/>
  <c r="C235" i="37"/>
  <c r="G235" i="37"/>
  <c r="A236" i="37"/>
  <c r="B236" i="37"/>
  <c r="C236" i="37"/>
  <c r="G236" i="37"/>
  <c r="A237" i="37"/>
  <c r="B237" i="37"/>
  <c r="C237" i="37"/>
  <c r="G237" i="37"/>
  <c r="A238" i="37"/>
  <c r="B238" i="37"/>
  <c r="C238" i="37"/>
  <c r="G238" i="37"/>
  <c r="A239" i="37"/>
  <c r="B239" i="37"/>
  <c r="C239" i="37"/>
  <c r="G239" i="37"/>
  <c r="A240" i="37"/>
  <c r="B240" i="37"/>
  <c r="C240" i="37"/>
  <c r="G240" i="37"/>
  <c r="A241" i="37"/>
  <c r="B241" i="37"/>
  <c r="C241" i="37"/>
  <c r="G241" i="37"/>
  <c r="A242" i="37"/>
  <c r="B242" i="37"/>
  <c r="C242" i="37"/>
  <c r="G242" i="37"/>
  <c r="A243" i="37"/>
  <c r="B243" i="37"/>
  <c r="C243" i="37"/>
  <c r="G243" i="37"/>
  <c r="A244" i="37"/>
  <c r="B244" i="37"/>
  <c r="C244" i="37"/>
  <c r="G244" i="37"/>
  <c r="A245" i="37"/>
  <c r="B245" i="37"/>
  <c r="C245" i="37"/>
  <c r="G245" i="37"/>
  <c r="A246" i="37"/>
  <c r="B246" i="37"/>
  <c r="C246" i="37"/>
  <c r="G246" i="37"/>
  <c r="A247" i="37"/>
  <c r="B247" i="37"/>
  <c r="C247" i="37"/>
  <c r="G247" i="37"/>
  <c r="A248" i="37"/>
  <c r="B248" i="37"/>
  <c r="C248" i="37"/>
  <c r="G248" i="37"/>
  <c r="A249" i="37"/>
  <c r="B249" i="37"/>
  <c r="C249" i="37"/>
  <c r="G249" i="37"/>
  <c r="A250" i="37"/>
  <c r="B250" i="37"/>
  <c r="C250" i="37"/>
  <c r="G250" i="37"/>
  <c r="A251" i="37"/>
  <c r="B251" i="37"/>
  <c r="C251" i="37"/>
  <c r="G251" i="37"/>
  <c r="A252" i="37"/>
  <c r="B252" i="37"/>
  <c r="C252" i="37"/>
  <c r="G252" i="37"/>
  <c r="A253" i="37"/>
  <c r="B253" i="37"/>
  <c r="C253" i="37"/>
  <c r="G253" i="37"/>
  <c r="A254" i="37"/>
  <c r="B254" i="37"/>
  <c r="C254" i="37"/>
  <c r="G254" i="37"/>
  <c r="A255" i="37"/>
  <c r="B255" i="37"/>
  <c r="C255" i="37"/>
  <c r="G255" i="37"/>
  <c r="A256" i="37"/>
  <c r="B256" i="37"/>
  <c r="C256" i="37"/>
  <c r="G256" i="37"/>
  <c r="A257" i="37"/>
  <c r="B257" i="37"/>
  <c r="C257" i="37"/>
  <c r="G257" i="37"/>
  <c r="A258" i="37"/>
  <c r="B258" i="37"/>
  <c r="C258" i="37"/>
  <c r="G258" i="37"/>
  <c r="A259" i="37"/>
  <c r="B259" i="37"/>
  <c r="C259" i="37"/>
  <c r="G259" i="37"/>
  <c r="A260" i="37"/>
  <c r="B260" i="37"/>
  <c r="C260" i="37"/>
  <c r="G260" i="37"/>
  <c r="A261" i="37"/>
  <c r="B261" i="37"/>
  <c r="C261" i="37"/>
  <c r="G261" i="37"/>
  <c r="A262" i="37"/>
  <c r="B262" i="37"/>
  <c r="C262" i="37"/>
  <c r="G262" i="37"/>
  <c r="A263" i="37"/>
  <c r="B263" i="37"/>
  <c r="C263" i="37"/>
  <c r="G263" i="37"/>
  <c r="A264" i="37"/>
  <c r="B264" i="37"/>
  <c r="C264" i="37"/>
  <c r="G264" i="37"/>
  <c r="A265" i="37"/>
  <c r="B265" i="37"/>
  <c r="C265" i="37"/>
  <c r="G265" i="37"/>
  <c r="A266" i="37"/>
  <c r="B266" i="37"/>
  <c r="C266" i="37"/>
  <c r="G266" i="37"/>
  <c r="A267" i="37"/>
  <c r="B267" i="37"/>
  <c r="C267" i="37"/>
  <c r="G267" i="37"/>
  <c r="A268" i="37"/>
  <c r="B268" i="37"/>
  <c r="C268" i="37"/>
  <c r="G268" i="37"/>
  <c r="A269" i="37"/>
  <c r="B269" i="37"/>
  <c r="C269" i="37"/>
  <c r="G269" i="37"/>
  <c r="A270" i="37"/>
  <c r="B270" i="37"/>
  <c r="C270" i="37"/>
  <c r="G270" i="37"/>
  <c r="A271" i="37"/>
  <c r="B271" i="37"/>
  <c r="C271" i="37"/>
  <c r="G271" i="37"/>
  <c r="A272" i="37"/>
  <c r="B272" i="37"/>
  <c r="C272" i="37"/>
  <c r="G272" i="37"/>
  <c r="A273" i="37"/>
  <c r="B273" i="37"/>
  <c r="C273" i="37"/>
  <c r="G273" i="37"/>
  <c r="A274" i="37"/>
  <c r="B274" i="37"/>
  <c r="C274" i="37"/>
  <c r="G274" i="37"/>
  <c r="A275" i="37"/>
  <c r="B275" i="37"/>
  <c r="C275" i="37"/>
  <c r="G275" i="37"/>
  <c r="A276" i="37"/>
  <c r="B276" i="37"/>
  <c r="C276" i="37"/>
  <c r="G276" i="37"/>
  <c r="A277" i="37"/>
  <c r="B277" i="37"/>
  <c r="C277" i="37"/>
  <c r="G277" i="37"/>
  <c r="A278" i="37"/>
  <c r="B278" i="37"/>
  <c r="C278" i="37"/>
  <c r="G278" i="37"/>
  <c r="A279" i="37"/>
  <c r="B279" i="37"/>
  <c r="C279" i="37"/>
  <c r="G279" i="37"/>
  <c r="A280" i="37"/>
  <c r="B280" i="37"/>
  <c r="C280" i="37"/>
  <c r="G280" i="37"/>
  <c r="A281" i="37"/>
  <c r="B281" i="37"/>
  <c r="C281" i="37"/>
  <c r="G281" i="37"/>
  <c r="A282" i="37"/>
  <c r="B282" i="37"/>
  <c r="C282" i="37"/>
  <c r="G282" i="37"/>
  <c r="A283" i="37"/>
  <c r="B283" i="37"/>
  <c r="C283" i="37"/>
  <c r="G283" i="37"/>
  <c r="A284" i="37"/>
  <c r="B284" i="37"/>
  <c r="C284" i="37"/>
  <c r="G284" i="37"/>
  <c r="A285" i="37"/>
  <c r="B285" i="37"/>
  <c r="C285" i="37"/>
  <c r="G285" i="37"/>
  <c r="A286" i="37"/>
  <c r="B286" i="37"/>
  <c r="C286" i="37"/>
  <c r="G286" i="37"/>
  <c r="A287" i="37"/>
  <c r="B287" i="37"/>
  <c r="C287" i="37"/>
  <c r="G287" i="37"/>
  <c r="A288" i="37"/>
  <c r="B288" i="37"/>
  <c r="C288" i="37"/>
  <c r="G288" i="37"/>
  <c r="A289" i="37"/>
  <c r="B289" i="37"/>
  <c r="C289" i="37"/>
  <c r="G289" i="37"/>
  <c r="A290" i="37"/>
  <c r="B290" i="37"/>
  <c r="C290" i="37"/>
  <c r="G290" i="37"/>
  <c r="A291" i="37"/>
  <c r="B291" i="37"/>
  <c r="C291" i="37"/>
  <c r="G291" i="37"/>
  <c r="A292" i="37"/>
  <c r="B292" i="37"/>
  <c r="C292" i="37"/>
  <c r="G292" i="37"/>
  <c r="A293" i="37"/>
  <c r="B293" i="37"/>
  <c r="C293" i="37"/>
  <c r="G293" i="37"/>
  <c r="A294" i="37"/>
  <c r="B294" i="37"/>
  <c r="C294" i="37"/>
  <c r="G294" i="37"/>
  <c r="A295" i="37"/>
  <c r="B295" i="37"/>
  <c r="C295" i="37"/>
  <c r="G295" i="37"/>
  <c r="A296" i="37"/>
  <c r="B296" i="37"/>
  <c r="C296" i="37"/>
  <c r="G296" i="37"/>
  <c r="A297" i="37"/>
  <c r="B297" i="37"/>
  <c r="C297" i="37"/>
  <c r="G297" i="37"/>
  <c r="A298" i="37"/>
  <c r="B298" i="37"/>
  <c r="C298" i="37"/>
  <c r="G298" i="37"/>
  <c r="A299" i="37"/>
  <c r="B299" i="37"/>
  <c r="C299" i="37"/>
  <c r="G299" i="37"/>
  <c r="A300" i="37"/>
  <c r="B300" i="37"/>
  <c r="C300" i="37"/>
  <c r="G300" i="37"/>
  <c r="A301" i="37"/>
  <c r="B301" i="37"/>
  <c r="C301" i="37"/>
  <c r="G301" i="37"/>
  <c r="A302" i="37"/>
  <c r="B302" i="37"/>
  <c r="C302" i="37"/>
  <c r="G302" i="37"/>
  <c r="A303" i="37"/>
  <c r="B303" i="37"/>
  <c r="C303" i="37"/>
  <c r="G303" i="37"/>
  <c r="A304" i="37"/>
  <c r="B304" i="37"/>
  <c r="C304" i="37"/>
  <c r="G304" i="37"/>
  <c r="A305" i="37"/>
  <c r="B305" i="37"/>
  <c r="C305" i="37"/>
  <c r="G305" i="37"/>
  <c r="A306" i="37"/>
  <c r="B306" i="37"/>
  <c r="C306" i="37"/>
  <c r="G306" i="37"/>
  <c r="A307" i="37"/>
  <c r="B307" i="37"/>
  <c r="C307" i="37"/>
  <c r="G307" i="37"/>
  <c r="A308" i="37"/>
  <c r="B308" i="37"/>
  <c r="C308" i="37"/>
  <c r="G308" i="37"/>
  <c r="A309" i="37"/>
  <c r="B309" i="37"/>
  <c r="C309" i="37"/>
  <c r="G309" i="37"/>
  <c r="A310" i="37"/>
  <c r="B310" i="37"/>
  <c r="C310" i="37"/>
  <c r="G310" i="37"/>
  <c r="A311" i="37"/>
  <c r="B311" i="37"/>
  <c r="C311" i="37"/>
  <c r="G311" i="37"/>
  <c r="A312" i="37"/>
  <c r="B312" i="37"/>
  <c r="C312" i="37"/>
  <c r="G312" i="37"/>
  <c r="A313" i="37"/>
  <c r="B313" i="37"/>
  <c r="C313" i="37"/>
  <c r="G313" i="37"/>
  <c r="A10" i="36"/>
  <c r="B10" i="36"/>
  <c r="C10" i="36"/>
  <c r="A11" i="36"/>
  <c r="B11" i="36"/>
  <c r="C11" i="36"/>
  <c r="A12" i="36"/>
  <c r="B12" i="36"/>
  <c r="C12" i="36"/>
  <c r="A13" i="36"/>
  <c r="B13" i="36"/>
  <c r="C13" i="36"/>
  <c r="A14" i="36"/>
  <c r="B14" i="36"/>
  <c r="C14" i="36"/>
  <c r="A15" i="36"/>
  <c r="B15" i="36"/>
  <c r="C15" i="36"/>
  <c r="A16" i="36"/>
  <c r="B16" i="36"/>
  <c r="C16" i="36"/>
  <c r="A17" i="36"/>
  <c r="B17" i="36"/>
  <c r="C17" i="36"/>
  <c r="A18" i="36"/>
  <c r="B18" i="36"/>
  <c r="C18" i="36"/>
  <c r="A19" i="36"/>
  <c r="B19" i="36"/>
  <c r="C19" i="36"/>
  <c r="A20" i="36"/>
  <c r="B20" i="36"/>
  <c r="C20" i="36"/>
  <c r="A21" i="36"/>
  <c r="B21" i="36"/>
  <c r="C21" i="36"/>
  <c r="A22" i="36"/>
  <c r="B22" i="36"/>
  <c r="C22" i="36"/>
  <c r="A23" i="36"/>
  <c r="B23" i="36"/>
  <c r="C23" i="36"/>
  <c r="A24" i="36"/>
  <c r="B24" i="36"/>
  <c r="C24" i="36"/>
  <c r="A25" i="36"/>
  <c r="B25" i="36"/>
  <c r="C25" i="36"/>
  <c r="A26" i="36"/>
  <c r="B26" i="36"/>
  <c r="C26" i="36"/>
  <c r="A27" i="36"/>
  <c r="B27" i="36"/>
  <c r="C27" i="36"/>
  <c r="A28" i="36"/>
  <c r="B28" i="36"/>
  <c r="C28" i="36"/>
  <c r="A29" i="36"/>
  <c r="B29" i="36"/>
  <c r="C29" i="36"/>
  <c r="A30" i="36"/>
  <c r="B30" i="36"/>
  <c r="C30" i="36"/>
  <c r="A31" i="36"/>
  <c r="B31" i="36"/>
  <c r="C31" i="36"/>
  <c r="A32" i="36"/>
  <c r="B32" i="36"/>
  <c r="C32" i="36"/>
  <c r="A33" i="36"/>
  <c r="B33" i="36"/>
  <c r="C33" i="36"/>
  <c r="A34" i="36"/>
  <c r="B34" i="36"/>
  <c r="C34" i="36"/>
  <c r="A35" i="36"/>
  <c r="B35" i="36"/>
  <c r="C35" i="36"/>
  <c r="A36" i="36"/>
  <c r="B36" i="36"/>
  <c r="C36" i="36"/>
  <c r="A37" i="36"/>
  <c r="B37" i="36"/>
  <c r="C37" i="36"/>
  <c r="A38" i="36"/>
  <c r="B38" i="36"/>
  <c r="C38" i="36"/>
  <c r="A39" i="36"/>
  <c r="B39" i="36"/>
  <c r="C39" i="36"/>
  <c r="A40" i="36"/>
  <c r="B40" i="36"/>
  <c r="C40" i="36"/>
  <c r="A41" i="36"/>
  <c r="B41" i="36"/>
  <c r="C41" i="36"/>
  <c r="A42" i="36"/>
  <c r="B42" i="36"/>
  <c r="C42" i="36"/>
  <c r="A43" i="36"/>
  <c r="B43" i="36"/>
  <c r="C43" i="36"/>
  <c r="A44" i="36"/>
  <c r="B44" i="36"/>
  <c r="C44" i="36"/>
  <c r="A45" i="36"/>
  <c r="B45" i="36"/>
  <c r="C45" i="36"/>
  <c r="A46" i="36"/>
  <c r="B46" i="36"/>
  <c r="C46" i="36"/>
  <c r="A47" i="36"/>
  <c r="B47" i="36"/>
  <c r="C47" i="36"/>
  <c r="A48" i="36"/>
  <c r="B48" i="36"/>
  <c r="C48" i="36"/>
  <c r="A49" i="36"/>
  <c r="B49" i="36"/>
  <c r="C49" i="36"/>
  <c r="A50" i="36"/>
  <c r="B50" i="36"/>
  <c r="C50" i="36"/>
  <c r="A51" i="36"/>
  <c r="B51" i="36"/>
  <c r="C51" i="36"/>
  <c r="A52" i="36"/>
  <c r="B52" i="36"/>
  <c r="C52" i="36"/>
  <c r="A53" i="36"/>
  <c r="B53" i="36"/>
  <c r="C53" i="36"/>
  <c r="A54" i="36"/>
  <c r="B54" i="36"/>
  <c r="C54" i="36"/>
  <c r="A55" i="36"/>
  <c r="B55" i="36"/>
  <c r="C55" i="36"/>
  <c r="A56" i="36"/>
  <c r="B56" i="36"/>
  <c r="C56" i="36"/>
  <c r="A57" i="36"/>
  <c r="B57" i="36"/>
  <c r="C57" i="36"/>
  <c r="A58" i="36"/>
  <c r="B58" i="36"/>
  <c r="C58" i="36"/>
  <c r="A59" i="36"/>
  <c r="B59" i="36"/>
  <c r="C59" i="36"/>
  <c r="A60" i="36"/>
  <c r="B60" i="36"/>
  <c r="C60" i="36"/>
  <c r="A61" i="36"/>
  <c r="B61" i="36"/>
  <c r="C61" i="36"/>
  <c r="A62" i="36"/>
  <c r="B62" i="36"/>
  <c r="C62" i="36"/>
  <c r="A63" i="36"/>
  <c r="B63" i="36"/>
  <c r="C63" i="36"/>
  <c r="A64" i="36"/>
  <c r="B64" i="36"/>
  <c r="C64" i="36"/>
  <c r="A65" i="36"/>
  <c r="B65" i="36"/>
  <c r="C65" i="36"/>
  <c r="A66" i="36"/>
  <c r="B66" i="36"/>
  <c r="C66" i="36"/>
  <c r="A67" i="36"/>
  <c r="B67" i="36"/>
  <c r="C67" i="36"/>
  <c r="A68" i="36"/>
  <c r="B68" i="36"/>
  <c r="C68" i="36"/>
  <c r="A69" i="36"/>
  <c r="B69" i="36"/>
  <c r="C69" i="36"/>
  <c r="A70" i="36"/>
  <c r="B70" i="36"/>
  <c r="C70" i="36"/>
  <c r="A71" i="36"/>
  <c r="B71" i="36"/>
  <c r="C71" i="36"/>
  <c r="A72" i="36"/>
  <c r="B72" i="36"/>
  <c r="C72" i="36"/>
  <c r="A73" i="36"/>
  <c r="B73" i="36"/>
  <c r="C73" i="36"/>
  <c r="A74" i="36"/>
  <c r="B74" i="36"/>
  <c r="C74" i="36"/>
  <c r="A75" i="36"/>
  <c r="B75" i="36"/>
  <c r="C75" i="36"/>
  <c r="A76" i="36"/>
  <c r="B76" i="36"/>
  <c r="C76" i="36"/>
  <c r="A77" i="36"/>
  <c r="B77" i="36"/>
  <c r="C77" i="36"/>
  <c r="A78" i="36"/>
  <c r="B78" i="36"/>
  <c r="C78" i="36"/>
  <c r="A79" i="36"/>
  <c r="B79" i="36"/>
  <c r="C79" i="36"/>
  <c r="A80" i="36"/>
  <c r="B80" i="36"/>
  <c r="C80" i="36"/>
  <c r="A81" i="36"/>
  <c r="B81" i="36"/>
  <c r="C81" i="36"/>
  <c r="A82" i="36"/>
  <c r="B82" i="36"/>
  <c r="C82" i="36"/>
  <c r="A83" i="36"/>
  <c r="B83" i="36"/>
  <c r="C83" i="36"/>
  <c r="A84" i="36"/>
  <c r="B84" i="36"/>
  <c r="C84" i="36"/>
  <c r="A85" i="36"/>
  <c r="B85" i="36"/>
  <c r="C85" i="36"/>
  <c r="A86" i="36"/>
  <c r="B86" i="36"/>
  <c r="C86" i="36"/>
  <c r="A87" i="36"/>
  <c r="B87" i="36"/>
  <c r="C87" i="36"/>
  <c r="A88" i="36"/>
  <c r="B88" i="36"/>
  <c r="C88" i="36"/>
  <c r="A89" i="36"/>
  <c r="B89" i="36"/>
  <c r="C89" i="36"/>
  <c r="A90" i="36"/>
  <c r="B90" i="36"/>
  <c r="C90" i="36"/>
  <c r="A91" i="36"/>
  <c r="B91" i="36"/>
  <c r="C91" i="36"/>
  <c r="A92" i="36"/>
  <c r="B92" i="36"/>
  <c r="C92" i="36"/>
  <c r="A93" i="36"/>
  <c r="B93" i="36"/>
  <c r="C93" i="36"/>
  <c r="A94" i="36"/>
  <c r="B94" i="36"/>
  <c r="C94" i="36"/>
  <c r="A95" i="36"/>
  <c r="B95" i="36"/>
  <c r="C95" i="36"/>
  <c r="A96" i="36"/>
  <c r="B96" i="36"/>
  <c r="C96" i="36"/>
  <c r="A97" i="36"/>
  <c r="B97" i="36"/>
  <c r="C97" i="36"/>
  <c r="A98" i="36"/>
  <c r="B98" i="36"/>
  <c r="C98" i="36"/>
  <c r="A99" i="36"/>
  <c r="B99" i="36"/>
  <c r="C99" i="36"/>
  <c r="A100" i="36"/>
  <c r="B100" i="36"/>
  <c r="C100" i="36"/>
  <c r="A101" i="36"/>
  <c r="B101" i="36"/>
  <c r="C101" i="36"/>
  <c r="A102" i="36"/>
  <c r="B102" i="36"/>
  <c r="C102" i="36"/>
  <c r="A103" i="36"/>
  <c r="B103" i="36"/>
  <c r="C103" i="36"/>
  <c r="A104" i="36"/>
  <c r="B104" i="36"/>
  <c r="C104" i="36"/>
  <c r="A105" i="36"/>
  <c r="B105" i="36"/>
  <c r="C105" i="36"/>
  <c r="A106" i="36"/>
  <c r="B106" i="36"/>
  <c r="C106" i="36"/>
  <c r="A107" i="36"/>
  <c r="B107" i="36"/>
  <c r="C107" i="36"/>
  <c r="A108" i="36"/>
  <c r="B108" i="36"/>
  <c r="C108" i="36"/>
  <c r="A109" i="36"/>
  <c r="B109" i="36"/>
  <c r="C109" i="36"/>
  <c r="A110" i="36"/>
  <c r="B110" i="36"/>
  <c r="C110" i="36"/>
  <c r="A111" i="36"/>
  <c r="B111" i="36"/>
  <c r="C111" i="36"/>
  <c r="A112" i="36"/>
  <c r="B112" i="36"/>
  <c r="C112" i="36"/>
  <c r="A113" i="36"/>
  <c r="B113" i="36"/>
  <c r="C113" i="36"/>
  <c r="A114" i="36"/>
  <c r="B114" i="36"/>
  <c r="C114" i="36"/>
  <c r="A115" i="36"/>
  <c r="B115" i="36"/>
  <c r="C115" i="36"/>
  <c r="A116" i="36"/>
  <c r="B116" i="36"/>
  <c r="C116" i="36"/>
  <c r="A117" i="36"/>
  <c r="B117" i="36"/>
  <c r="C117" i="36"/>
  <c r="A118" i="36"/>
  <c r="B118" i="36"/>
  <c r="C118" i="36"/>
  <c r="A119" i="36"/>
  <c r="B119" i="36"/>
  <c r="C119" i="36"/>
  <c r="A120" i="36"/>
  <c r="B120" i="36"/>
  <c r="C120" i="36"/>
  <c r="A121" i="36"/>
  <c r="B121" i="36"/>
  <c r="C121" i="36"/>
  <c r="A122" i="36"/>
  <c r="B122" i="36"/>
  <c r="C122" i="36"/>
  <c r="A123" i="36"/>
  <c r="B123" i="36"/>
  <c r="C123" i="36"/>
  <c r="A124" i="36"/>
  <c r="B124" i="36"/>
  <c r="C124" i="36"/>
  <c r="A125" i="36"/>
  <c r="B125" i="36"/>
  <c r="C125" i="36"/>
  <c r="A126" i="36"/>
  <c r="B126" i="36"/>
  <c r="C126" i="36"/>
  <c r="A127" i="36"/>
  <c r="B127" i="36"/>
  <c r="C127" i="36"/>
  <c r="A128" i="36"/>
  <c r="B128" i="36"/>
  <c r="C128" i="36"/>
  <c r="A129" i="36"/>
  <c r="B129" i="36"/>
  <c r="C129" i="36"/>
  <c r="A130" i="36"/>
  <c r="B130" i="36"/>
  <c r="C130" i="36"/>
  <c r="A131" i="36"/>
  <c r="B131" i="36"/>
  <c r="C131" i="36"/>
  <c r="A132" i="36"/>
  <c r="B132" i="36"/>
  <c r="C132" i="36"/>
  <c r="A133" i="36"/>
  <c r="B133" i="36"/>
  <c r="C133" i="36"/>
  <c r="A134" i="36"/>
  <c r="B134" i="36"/>
  <c r="C134" i="36"/>
  <c r="A135" i="36"/>
  <c r="B135" i="36"/>
  <c r="C135" i="36"/>
  <c r="A136" i="36"/>
  <c r="B136" i="36"/>
  <c r="C136" i="36"/>
  <c r="A137" i="36"/>
  <c r="B137" i="36"/>
  <c r="C137" i="36"/>
  <c r="A138" i="36"/>
  <c r="B138" i="36"/>
  <c r="C138" i="36"/>
  <c r="A139" i="36"/>
  <c r="B139" i="36"/>
  <c r="C139" i="36"/>
  <c r="A140" i="36"/>
  <c r="B140" i="36"/>
  <c r="C140" i="36"/>
  <c r="A141" i="36"/>
  <c r="B141" i="36"/>
  <c r="C141" i="36"/>
  <c r="A142" i="36"/>
  <c r="B142" i="36"/>
  <c r="C142" i="36"/>
  <c r="A143" i="36"/>
  <c r="B143" i="36"/>
  <c r="C143" i="36"/>
  <c r="A144" i="36"/>
  <c r="B144" i="36"/>
  <c r="C144" i="36"/>
  <c r="A145" i="36"/>
  <c r="B145" i="36"/>
  <c r="C145" i="36"/>
  <c r="A146" i="36"/>
  <c r="B146" i="36"/>
  <c r="C146" i="36"/>
  <c r="A147" i="36"/>
  <c r="B147" i="36"/>
  <c r="C147" i="36"/>
  <c r="A148" i="36"/>
  <c r="B148" i="36"/>
  <c r="C148" i="36"/>
  <c r="A149" i="36"/>
  <c r="B149" i="36"/>
  <c r="C149" i="36"/>
  <c r="A150" i="36"/>
  <c r="B150" i="36"/>
  <c r="C150" i="36"/>
  <c r="A151" i="36"/>
  <c r="B151" i="36"/>
  <c r="C151" i="36"/>
  <c r="A152" i="36"/>
  <c r="B152" i="36"/>
  <c r="C152" i="36"/>
  <c r="A153" i="36"/>
  <c r="B153" i="36"/>
  <c r="C153" i="36"/>
  <c r="A154" i="36"/>
  <c r="B154" i="36"/>
  <c r="C154" i="36"/>
  <c r="A155" i="36"/>
  <c r="B155" i="36"/>
  <c r="C155" i="36"/>
  <c r="A156" i="36"/>
  <c r="B156" i="36"/>
  <c r="C156" i="36"/>
  <c r="A157" i="36"/>
  <c r="B157" i="36"/>
  <c r="C157" i="36"/>
  <c r="A158" i="36"/>
  <c r="B158" i="36"/>
  <c r="C158" i="36"/>
  <c r="A159" i="36"/>
  <c r="B159" i="36"/>
  <c r="C159" i="36"/>
  <c r="A160" i="36"/>
  <c r="B160" i="36"/>
  <c r="C160" i="36"/>
  <c r="A161" i="36"/>
  <c r="B161" i="36"/>
  <c r="C161" i="36"/>
  <c r="A162" i="36"/>
  <c r="B162" i="36"/>
  <c r="C162" i="36"/>
  <c r="A163" i="36"/>
  <c r="B163" i="36"/>
  <c r="C163" i="36"/>
  <c r="A164" i="36"/>
  <c r="B164" i="36"/>
  <c r="C164" i="36"/>
  <c r="A165" i="36"/>
  <c r="B165" i="36"/>
  <c r="C165" i="36"/>
  <c r="A166" i="36"/>
  <c r="B166" i="36"/>
  <c r="C166" i="36"/>
  <c r="A167" i="36"/>
  <c r="B167" i="36"/>
  <c r="C167" i="36"/>
  <c r="A168" i="36"/>
  <c r="B168" i="36"/>
  <c r="C168" i="36"/>
  <c r="A169" i="36"/>
  <c r="B169" i="36"/>
  <c r="C169" i="36"/>
  <c r="A170" i="36"/>
  <c r="B170" i="36"/>
  <c r="C170" i="36"/>
  <c r="A171" i="36"/>
  <c r="B171" i="36"/>
  <c r="C171" i="36"/>
  <c r="A172" i="36"/>
  <c r="B172" i="36"/>
  <c r="C172" i="36"/>
  <c r="A173" i="36"/>
  <c r="B173" i="36"/>
  <c r="C173" i="36"/>
  <c r="A174" i="36"/>
  <c r="B174" i="36"/>
  <c r="C174" i="36"/>
  <c r="A175" i="36"/>
  <c r="B175" i="36"/>
  <c r="C175" i="36"/>
  <c r="A176" i="36"/>
  <c r="B176" i="36"/>
  <c r="C176" i="36"/>
  <c r="A177" i="36"/>
  <c r="B177" i="36"/>
  <c r="C177" i="36"/>
  <c r="A178" i="36"/>
  <c r="B178" i="36"/>
  <c r="C178" i="36"/>
  <c r="A179" i="36"/>
  <c r="B179" i="36"/>
  <c r="C179" i="36"/>
  <c r="A180" i="36"/>
  <c r="B180" i="36"/>
  <c r="C180" i="36"/>
  <c r="A181" i="36"/>
  <c r="B181" i="36"/>
  <c r="C181" i="36"/>
  <c r="A182" i="36"/>
  <c r="B182" i="36"/>
  <c r="C182" i="36"/>
  <c r="A183" i="36"/>
  <c r="B183" i="36"/>
  <c r="C183" i="36"/>
  <c r="A184" i="36"/>
  <c r="B184" i="36"/>
  <c r="C184" i="36"/>
  <c r="A185" i="36"/>
  <c r="B185" i="36"/>
  <c r="C185" i="36"/>
  <c r="A186" i="36"/>
  <c r="B186" i="36"/>
  <c r="C186" i="36"/>
  <c r="A187" i="36"/>
  <c r="B187" i="36"/>
  <c r="C187" i="36"/>
  <c r="A188" i="36"/>
  <c r="B188" i="36"/>
  <c r="C188" i="36"/>
  <c r="A189" i="36"/>
  <c r="B189" i="36"/>
  <c r="C189" i="36"/>
  <c r="A190" i="36"/>
  <c r="B190" i="36"/>
  <c r="C190" i="36"/>
  <c r="A191" i="36"/>
  <c r="B191" i="36"/>
  <c r="C191" i="36"/>
  <c r="A192" i="36"/>
  <c r="B192" i="36"/>
  <c r="C192" i="36"/>
  <c r="A193" i="36"/>
  <c r="B193" i="36"/>
  <c r="C193" i="36"/>
  <c r="A194" i="36"/>
  <c r="B194" i="36"/>
  <c r="C194" i="36"/>
  <c r="A195" i="36"/>
  <c r="B195" i="36"/>
  <c r="C195" i="36"/>
  <c r="A196" i="36"/>
  <c r="B196" i="36"/>
  <c r="C196" i="36"/>
  <c r="A197" i="36"/>
  <c r="B197" i="36"/>
  <c r="C197" i="36"/>
  <c r="A198" i="36"/>
  <c r="B198" i="36"/>
  <c r="C198" i="36"/>
  <c r="A199" i="36"/>
  <c r="B199" i="36"/>
  <c r="C199" i="36"/>
  <c r="A200" i="36"/>
  <c r="B200" i="36"/>
  <c r="C200" i="36"/>
  <c r="A201" i="36"/>
  <c r="B201" i="36"/>
  <c r="C201" i="36"/>
  <c r="A202" i="36"/>
  <c r="B202" i="36"/>
  <c r="C202" i="36"/>
  <c r="A203" i="36"/>
  <c r="B203" i="36"/>
  <c r="C203" i="36"/>
  <c r="A204" i="36"/>
  <c r="B204" i="36"/>
  <c r="C204" i="36"/>
  <c r="A205" i="36"/>
  <c r="B205" i="36"/>
  <c r="C205" i="36"/>
  <c r="A206" i="36"/>
  <c r="B206" i="36"/>
  <c r="C206" i="36"/>
  <c r="A207" i="36"/>
  <c r="B207" i="36"/>
  <c r="C207" i="36"/>
  <c r="A208" i="36"/>
  <c r="B208" i="36"/>
  <c r="C208" i="36"/>
  <c r="A209" i="36"/>
  <c r="B209" i="36"/>
  <c r="C209" i="36"/>
  <c r="A210" i="36"/>
  <c r="B210" i="36"/>
  <c r="C210" i="36"/>
  <c r="A211" i="36"/>
  <c r="B211" i="36"/>
  <c r="C211" i="36"/>
  <c r="A212" i="36"/>
  <c r="B212" i="36"/>
  <c r="C212" i="36"/>
  <c r="A213" i="36"/>
  <c r="B213" i="36"/>
  <c r="C213" i="36"/>
  <c r="A214" i="36"/>
  <c r="B214" i="36"/>
  <c r="C214" i="36"/>
  <c r="A215" i="36"/>
  <c r="B215" i="36"/>
  <c r="C215" i="36"/>
  <c r="A216" i="36"/>
  <c r="B216" i="36"/>
  <c r="C216" i="36"/>
  <c r="A217" i="36"/>
  <c r="B217" i="36"/>
  <c r="C217" i="36"/>
  <c r="A218" i="36"/>
  <c r="B218" i="36"/>
  <c r="C218" i="36"/>
  <c r="A219" i="36"/>
  <c r="B219" i="36"/>
  <c r="C219" i="36"/>
  <c r="A220" i="36"/>
  <c r="B220" i="36"/>
  <c r="C220" i="36"/>
  <c r="A221" i="36"/>
  <c r="B221" i="36"/>
  <c r="C221" i="36"/>
  <c r="A222" i="36"/>
  <c r="B222" i="36"/>
  <c r="C222" i="36"/>
  <c r="A223" i="36"/>
  <c r="B223" i="36"/>
  <c r="C223" i="36"/>
  <c r="A224" i="36"/>
  <c r="B224" i="36"/>
  <c r="C224" i="36"/>
  <c r="A225" i="36"/>
  <c r="B225" i="36"/>
  <c r="C225" i="36"/>
  <c r="A226" i="36"/>
  <c r="B226" i="36"/>
  <c r="C226" i="36"/>
  <c r="A227" i="36"/>
  <c r="B227" i="36"/>
  <c r="C227" i="36"/>
  <c r="A228" i="36"/>
  <c r="B228" i="36"/>
  <c r="C228" i="36"/>
  <c r="A229" i="36"/>
  <c r="B229" i="36"/>
  <c r="C229" i="36"/>
  <c r="A230" i="36"/>
  <c r="B230" i="36"/>
  <c r="C230" i="36"/>
  <c r="A231" i="36"/>
  <c r="B231" i="36"/>
  <c r="C231" i="36"/>
  <c r="A232" i="36"/>
  <c r="B232" i="36"/>
  <c r="C232" i="36"/>
  <c r="A233" i="36"/>
  <c r="B233" i="36"/>
  <c r="C233" i="36"/>
  <c r="A234" i="36"/>
  <c r="B234" i="36"/>
  <c r="C234" i="36"/>
  <c r="A235" i="36"/>
  <c r="B235" i="36"/>
  <c r="C235" i="36"/>
  <c r="A236" i="36"/>
  <c r="B236" i="36"/>
  <c r="C236" i="36"/>
  <c r="A237" i="36"/>
  <c r="B237" i="36"/>
  <c r="C237" i="36"/>
  <c r="A238" i="36"/>
  <c r="B238" i="36"/>
  <c r="C238" i="36"/>
  <c r="A239" i="36"/>
  <c r="B239" i="36"/>
  <c r="C239" i="36"/>
  <c r="A240" i="36"/>
  <c r="B240" i="36"/>
  <c r="C240" i="36"/>
  <c r="A241" i="36"/>
  <c r="B241" i="36"/>
  <c r="C241" i="36"/>
  <c r="A242" i="36"/>
  <c r="B242" i="36"/>
  <c r="C242" i="36"/>
  <c r="A243" i="36"/>
  <c r="B243" i="36"/>
  <c r="C243" i="36"/>
  <c r="A244" i="36"/>
  <c r="B244" i="36"/>
  <c r="C244" i="36"/>
  <c r="A245" i="36"/>
  <c r="B245" i="36"/>
  <c r="C245" i="36"/>
  <c r="A246" i="36"/>
  <c r="B246" i="36"/>
  <c r="C246" i="36"/>
  <c r="A247" i="36"/>
  <c r="B247" i="36"/>
  <c r="C247" i="36"/>
  <c r="A248" i="36"/>
  <c r="B248" i="36"/>
  <c r="C248" i="36"/>
  <c r="A249" i="36"/>
  <c r="B249" i="36"/>
  <c r="C249" i="36"/>
  <c r="A250" i="36"/>
  <c r="B250" i="36"/>
  <c r="C250" i="36"/>
  <c r="A251" i="36"/>
  <c r="B251" i="36"/>
  <c r="C251" i="36"/>
  <c r="A252" i="36"/>
  <c r="B252" i="36"/>
  <c r="C252" i="36"/>
  <c r="A253" i="36"/>
  <c r="B253" i="36"/>
  <c r="C253" i="36"/>
  <c r="A254" i="36"/>
  <c r="B254" i="36"/>
  <c r="C254" i="36"/>
  <c r="A255" i="36"/>
  <c r="B255" i="36"/>
  <c r="C255" i="36"/>
  <c r="A256" i="36"/>
  <c r="B256" i="36"/>
  <c r="C256" i="36"/>
  <c r="A257" i="36"/>
  <c r="B257" i="36"/>
  <c r="C257" i="36"/>
  <c r="A258" i="36"/>
  <c r="B258" i="36"/>
  <c r="C258" i="36"/>
  <c r="A259" i="36"/>
  <c r="B259" i="36"/>
  <c r="C259" i="36"/>
  <c r="A260" i="36"/>
  <c r="B260" i="36"/>
  <c r="C260" i="36"/>
  <c r="A261" i="36"/>
  <c r="B261" i="36"/>
  <c r="C261" i="36"/>
  <c r="A262" i="36"/>
  <c r="B262" i="36"/>
  <c r="C262" i="36"/>
  <c r="A263" i="36"/>
  <c r="B263" i="36"/>
  <c r="C263" i="36"/>
  <c r="A264" i="36"/>
  <c r="B264" i="36"/>
  <c r="C264" i="36"/>
  <c r="A265" i="36"/>
  <c r="B265" i="36"/>
  <c r="C265" i="36"/>
  <c r="A266" i="36"/>
  <c r="B266" i="36"/>
  <c r="C266" i="36"/>
  <c r="A267" i="36"/>
  <c r="B267" i="36"/>
  <c r="C267" i="36"/>
  <c r="A268" i="36"/>
  <c r="B268" i="36"/>
  <c r="C268" i="36"/>
  <c r="A269" i="36"/>
  <c r="B269" i="36"/>
  <c r="C269" i="36"/>
  <c r="A270" i="36"/>
  <c r="B270" i="36"/>
  <c r="C270" i="36"/>
  <c r="A271" i="36"/>
  <c r="B271" i="36"/>
  <c r="C271" i="36"/>
  <c r="A272" i="36"/>
  <c r="B272" i="36"/>
  <c r="C272" i="36"/>
  <c r="A273" i="36"/>
  <c r="B273" i="36"/>
  <c r="C273" i="36"/>
  <c r="A274" i="36"/>
  <c r="B274" i="36"/>
  <c r="C274" i="36"/>
  <c r="A275" i="36"/>
  <c r="B275" i="36"/>
  <c r="C275" i="36"/>
  <c r="A276" i="36"/>
  <c r="B276" i="36"/>
  <c r="C276" i="36"/>
  <c r="A277" i="36"/>
  <c r="B277" i="36"/>
  <c r="C277" i="36"/>
  <c r="A278" i="36"/>
  <c r="B278" i="36"/>
  <c r="C278" i="36"/>
  <c r="A279" i="36"/>
  <c r="B279" i="36"/>
  <c r="C279" i="36"/>
  <c r="A280" i="36"/>
  <c r="B280" i="36"/>
  <c r="C280" i="36"/>
  <c r="A281" i="36"/>
  <c r="B281" i="36"/>
  <c r="C281" i="36"/>
  <c r="A282" i="36"/>
  <c r="B282" i="36"/>
  <c r="C282" i="36"/>
  <c r="A283" i="36"/>
  <c r="B283" i="36"/>
  <c r="C283" i="36"/>
  <c r="A284" i="36"/>
  <c r="B284" i="36"/>
  <c r="C284" i="36"/>
  <c r="A285" i="36"/>
  <c r="B285" i="36"/>
  <c r="C285" i="36"/>
  <c r="A286" i="36"/>
  <c r="B286" i="36"/>
  <c r="C286" i="36"/>
  <c r="A287" i="36"/>
  <c r="B287" i="36"/>
  <c r="C287" i="36"/>
  <c r="A288" i="36"/>
  <c r="B288" i="36"/>
  <c r="C288" i="36"/>
  <c r="A289" i="36"/>
  <c r="B289" i="36"/>
  <c r="C289" i="36"/>
  <c r="A290" i="36"/>
  <c r="B290" i="36"/>
  <c r="C290" i="36"/>
  <c r="A291" i="36"/>
  <c r="B291" i="36"/>
  <c r="C291" i="36"/>
  <c r="A292" i="36"/>
  <c r="B292" i="36"/>
  <c r="C292" i="36"/>
  <c r="A293" i="36"/>
  <c r="B293" i="36"/>
  <c r="C293" i="36"/>
  <c r="A294" i="36"/>
  <c r="B294" i="36"/>
  <c r="C294" i="36"/>
  <c r="A295" i="36"/>
  <c r="B295" i="36"/>
  <c r="C295" i="36"/>
  <c r="A296" i="36"/>
  <c r="B296" i="36"/>
  <c r="C296" i="36"/>
  <c r="A297" i="36"/>
  <c r="B297" i="36"/>
  <c r="C297" i="36"/>
  <c r="A298" i="36"/>
  <c r="B298" i="36"/>
  <c r="C298" i="36"/>
  <c r="A299" i="36"/>
  <c r="B299" i="36"/>
  <c r="C299" i="36"/>
  <c r="A300" i="36"/>
  <c r="B300" i="36"/>
  <c r="C300" i="36"/>
  <c r="A301" i="36"/>
  <c r="B301" i="36"/>
  <c r="C301" i="36"/>
  <c r="A302" i="36"/>
  <c r="B302" i="36"/>
  <c r="C302" i="36"/>
  <c r="A303" i="36"/>
  <c r="B303" i="36"/>
  <c r="C303" i="36"/>
  <c r="A304" i="36"/>
  <c r="B304" i="36"/>
  <c r="C304" i="36"/>
  <c r="A305" i="36"/>
  <c r="B305" i="36"/>
  <c r="C305" i="36"/>
  <c r="A306" i="36"/>
  <c r="B306" i="36"/>
  <c r="C306" i="36"/>
  <c r="A307" i="36"/>
  <c r="B307" i="36"/>
  <c r="C307" i="36"/>
  <c r="A308" i="36"/>
  <c r="B308" i="36"/>
  <c r="C308" i="36"/>
  <c r="A309" i="36"/>
  <c r="B309" i="36"/>
  <c r="C309" i="36"/>
  <c r="A310" i="36"/>
  <c r="B310" i="36"/>
  <c r="C310" i="36"/>
  <c r="A311" i="36"/>
  <c r="B311" i="36"/>
  <c r="C311" i="36"/>
  <c r="A312" i="36"/>
  <c r="B312" i="36"/>
  <c r="C312" i="36"/>
  <c r="A313" i="36"/>
  <c r="B313" i="36"/>
  <c r="C313" i="36"/>
  <c r="A314" i="36"/>
  <c r="B314" i="36"/>
  <c r="C314" i="36"/>
  <c r="A315" i="36"/>
  <c r="B315" i="36"/>
  <c r="C315" i="36"/>
  <c r="A316" i="36"/>
  <c r="B316" i="36"/>
  <c r="C316" i="36"/>
  <c r="A13" i="9"/>
  <c r="B13" i="9"/>
  <c r="C13" i="9"/>
  <c r="A14" i="9"/>
  <c r="B14" i="9"/>
  <c r="C14" i="9"/>
  <c r="A15" i="9"/>
  <c r="B15" i="9"/>
  <c r="C15" i="9"/>
  <c r="A16" i="9"/>
  <c r="B16" i="9"/>
  <c r="C16" i="9"/>
  <c r="A17" i="9"/>
  <c r="B17" i="9"/>
  <c r="C17" i="9"/>
  <c r="A18" i="9"/>
  <c r="B18" i="9"/>
  <c r="C18" i="9"/>
  <c r="A19" i="9"/>
  <c r="B19" i="9"/>
  <c r="C19" i="9"/>
  <c r="A20" i="9"/>
  <c r="B20" i="9"/>
  <c r="C20" i="9"/>
  <c r="A21" i="9"/>
  <c r="B21" i="9"/>
  <c r="C21" i="9"/>
  <c r="A22" i="9"/>
  <c r="B22" i="9"/>
  <c r="C22" i="9"/>
  <c r="A23" i="9"/>
  <c r="B23" i="9"/>
  <c r="C23" i="9"/>
  <c r="A24" i="9"/>
  <c r="B24" i="9"/>
  <c r="C24" i="9"/>
  <c r="A25" i="9"/>
  <c r="B25" i="9"/>
  <c r="C25" i="9"/>
  <c r="A26" i="9"/>
  <c r="B26" i="9"/>
  <c r="C26" i="9"/>
  <c r="A27" i="9"/>
  <c r="B27" i="9"/>
  <c r="C27" i="9"/>
  <c r="A28" i="9"/>
  <c r="B28" i="9"/>
  <c r="C28" i="9"/>
  <c r="A29" i="9"/>
  <c r="B29" i="9"/>
  <c r="C29" i="9"/>
  <c r="A30" i="9"/>
  <c r="B30" i="9"/>
  <c r="C30" i="9"/>
  <c r="A31" i="9"/>
  <c r="B31" i="9"/>
  <c r="C31" i="9"/>
  <c r="A32" i="9"/>
  <c r="B32" i="9"/>
  <c r="C32" i="9"/>
  <c r="A33" i="9"/>
  <c r="B33" i="9"/>
  <c r="C33" i="9"/>
  <c r="A34" i="9"/>
  <c r="B34" i="9"/>
  <c r="C34" i="9"/>
  <c r="A35" i="9"/>
  <c r="B35" i="9"/>
  <c r="C35" i="9"/>
  <c r="A36" i="9"/>
  <c r="B36" i="9"/>
  <c r="C36" i="9"/>
  <c r="A37" i="9"/>
  <c r="B37" i="9"/>
  <c r="C37" i="9"/>
  <c r="A38" i="9"/>
  <c r="B38" i="9"/>
  <c r="C38" i="9"/>
  <c r="A39" i="9"/>
  <c r="B39" i="9"/>
  <c r="C39" i="9"/>
  <c r="A40" i="9"/>
  <c r="B40" i="9"/>
  <c r="C40" i="9"/>
  <c r="A41" i="9"/>
  <c r="B41" i="9"/>
  <c r="C41" i="9"/>
  <c r="A42" i="9"/>
  <c r="B42" i="9"/>
  <c r="C42" i="9"/>
  <c r="A43" i="9"/>
  <c r="B43" i="9"/>
  <c r="C43" i="9"/>
  <c r="A44" i="9"/>
  <c r="B44" i="9"/>
  <c r="C44" i="9"/>
  <c r="A45" i="9"/>
  <c r="B45" i="9"/>
  <c r="C45" i="9"/>
  <c r="A46" i="9"/>
  <c r="B46" i="9"/>
  <c r="C46" i="9"/>
  <c r="A47" i="9"/>
  <c r="B47" i="9"/>
  <c r="C47" i="9"/>
  <c r="A48" i="9"/>
  <c r="B48" i="9"/>
  <c r="C48" i="9"/>
  <c r="A49" i="9"/>
  <c r="B49" i="9"/>
  <c r="C49" i="9"/>
  <c r="A50" i="9"/>
  <c r="B50" i="9"/>
  <c r="C50" i="9"/>
  <c r="A51" i="9"/>
  <c r="B51" i="9"/>
  <c r="C51" i="9"/>
  <c r="A52" i="9"/>
  <c r="B52" i="9"/>
  <c r="C52" i="9"/>
  <c r="A53" i="9"/>
  <c r="B53" i="9"/>
  <c r="C53" i="9"/>
  <c r="A54" i="9"/>
  <c r="B54" i="9"/>
  <c r="C54" i="9"/>
  <c r="A55" i="9"/>
  <c r="B55" i="9"/>
  <c r="C55" i="9"/>
  <c r="A56" i="9"/>
  <c r="B56" i="9"/>
  <c r="C56" i="9"/>
  <c r="A57" i="9"/>
  <c r="B57" i="9"/>
  <c r="C57" i="9"/>
  <c r="A58" i="9"/>
  <c r="B58" i="9"/>
  <c r="C58" i="9"/>
  <c r="A59" i="9"/>
  <c r="B59" i="9"/>
  <c r="C59" i="9"/>
  <c r="A60" i="9"/>
  <c r="B60" i="9"/>
  <c r="C60" i="9"/>
  <c r="A61" i="9"/>
  <c r="B61" i="9"/>
  <c r="C61" i="9"/>
  <c r="A62" i="9"/>
  <c r="B62" i="9"/>
  <c r="C62" i="9"/>
  <c r="A63" i="9"/>
  <c r="B63" i="9"/>
  <c r="C63" i="9"/>
  <c r="A64" i="9"/>
  <c r="B64" i="9"/>
  <c r="C64" i="9"/>
  <c r="A65" i="9"/>
  <c r="B65" i="9"/>
  <c r="C65" i="9"/>
  <c r="A66" i="9"/>
  <c r="B66" i="9"/>
  <c r="C66" i="9"/>
  <c r="A67" i="9"/>
  <c r="B67" i="9"/>
  <c r="C67" i="9"/>
  <c r="A68" i="9"/>
  <c r="B68" i="9"/>
  <c r="C68" i="9"/>
  <c r="A69" i="9"/>
  <c r="B69" i="9"/>
  <c r="C69" i="9"/>
  <c r="A70" i="9"/>
  <c r="B70" i="9"/>
  <c r="C70" i="9"/>
  <c r="A71" i="9"/>
  <c r="B71" i="9"/>
  <c r="C71" i="9"/>
  <c r="A72" i="9"/>
  <c r="B72" i="9"/>
  <c r="C72" i="9"/>
  <c r="A73" i="9"/>
  <c r="B73" i="9"/>
  <c r="C73" i="9"/>
  <c r="A74" i="9"/>
  <c r="B74" i="9"/>
  <c r="C74" i="9"/>
  <c r="A75" i="9"/>
  <c r="B75" i="9"/>
  <c r="C75" i="9"/>
  <c r="A76" i="9"/>
  <c r="B76" i="9"/>
  <c r="C76" i="9"/>
  <c r="A77" i="9"/>
  <c r="B77" i="9"/>
  <c r="C77" i="9"/>
  <c r="A78" i="9"/>
  <c r="B78" i="9"/>
  <c r="C78" i="9"/>
  <c r="A79" i="9"/>
  <c r="B79" i="9"/>
  <c r="C79" i="9"/>
  <c r="A80" i="9"/>
  <c r="B80" i="9"/>
  <c r="C80" i="9"/>
  <c r="A81" i="9"/>
  <c r="B81" i="9"/>
  <c r="C81" i="9"/>
  <c r="A82" i="9"/>
  <c r="B82" i="9"/>
  <c r="C82" i="9"/>
  <c r="A83" i="9"/>
  <c r="B83" i="9"/>
  <c r="C83" i="9"/>
  <c r="A84" i="9"/>
  <c r="B84" i="9"/>
  <c r="C84" i="9"/>
  <c r="A85" i="9"/>
  <c r="B85" i="9"/>
  <c r="C85" i="9"/>
  <c r="A86" i="9"/>
  <c r="B86" i="9"/>
  <c r="C86" i="9"/>
  <c r="A87" i="9"/>
  <c r="B87" i="9"/>
  <c r="C87" i="9"/>
  <c r="A88" i="9"/>
  <c r="B88" i="9"/>
  <c r="C88" i="9"/>
  <c r="A89" i="9"/>
  <c r="B89" i="9"/>
  <c r="C89" i="9"/>
  <c r="A90" i="9"/>
  <c r="B90" i="9"/>
  <c r="C90" i="9"/>
  <c r="A91" i="9"/>
  <c r="B91" i="9"/>
  <c r="C91" i="9"/>
  <c r="A92" i="9"/>
  <c r="B92" i="9"/>
  <c r="C92" i="9"/>
  <c r="A93" i="9"/>
  <c r="B93" i="9"/>
  <c r="C93" i="9"/>
  <c r="A94" i="9"/>
  <c r="B94" i="9"/>
  <c r="C94" i="9"/>
  <c r="A95" i="9"/>
  <c r="B95" i="9"/>
  <c r="C95" i="9"/>
  <c r="A96" i="9"/>
  <c r="B96" i="9"/>
  <c r="C96" i="9"/>
  <c r="A97" i="9"/>
  <c r="B97" i="9"/>
  <c r="C97" i="9"/>
  <c r="A98" i="9"/>
  <c r="B98" i="9"/>
  <c r="C98" i="9"/>
  <c r="A99" i="9"/>
  <c r="B99" i="9"/>
  <c r="C99" i="9"/>
  <c r="A100" i="9"/>
  <c r="B100" i="9"/>
  <c r="C100" i="9"/>
  <c r="A101" i="9"/>
  <c r="B101" i="9"/>
  <c r="C101" i="9"/>
  <c r="A102" i="9"/>
  <c r="B102" i="9"/>
  <c r="C102" i="9"/>
  <c r="A103" i="9"/>
  <c r="B103" i="9"/>
  <c r="C103" i="9"/>
  <c r="A104" i="9"/>
  <c r="B104" i="9"/>
  <c r="C104" i="9"/>
  <c r="A105" i="9"/>
  <c r="B105" i="9"/>
  <c r="C105" i="9"/>
  <c r="A106" i="9"/>
  <c r="B106" i="9"/>
  <c r="C106" i="9"/>
  <c r="A107" i="9"/>
  <c r="B107" i="9"/>
  <c r="C107" i="9"/>
  <c r="A108" i="9"/>
  <c r="B108" i="9"/>
  <c r="C108" i="9"/>
  <c r="A109" i="9"/>
  <c r="B109" i="9"/>
  <c r="C109" i="9"/>
  <c r="A110" i="9"/>
  <c r="B110" i="9"/>
  <c r="C110" i="9"/>
  <c r="A111" i="9"/>
  <c r="B111" i="9"/>
  <c r="C111" i="9"/>
  <c r="A112" i="9"/>
  <c r="B112" i="9"/>
  <c r="C112" i="9"/>
  <c r="A113" i="9"/>
  <c r="B113" i="9"/>
  <c r="C113" i="9"/>
  <c r="A114" i="9"/>
  <c r="B114" i="9"/>
  <c r="C114" i="9"/>
  <c r="A115" i="9"/>
  <c r="B115" i="9"/>
  <c r="C115" i="9"/>
  <c r="A116" i="9"/>
  <c r="B116" i="9"/>
  <c r="C116" i="9"/>
  <c r="A117" i="9"/>
  <c r="B117" i="9"/>
  <c r="C117" i="9"/>
  <c r="A118" i="9"/>
  <c r="B118" i="9"/>
  <c r="C118" i="9"/>
  <c r="A119" i="9"/>
  <c r="B119" i="9"/>
  <c r="C119" i="9"/>
  <c r="A120" i="9"/>
  <c r="B120" i="9"/>
  <c r="C120" i="9"/>
  <c r="A121" i="9"/>
  <c r="B121" i="9"/>
  <c r="C121" i="9"/>
  <c r="A122" i="9"/>
  <c r="B122" i="9"/>
  <c r="C122" i="9"/>
  <c r="A123" i="9"/>
  <c r="B123" i="9"/>
  <c r="C123" i="9"/>
  <c r="A124" i="9"/>
  <c r="B124" i="9"/>
  <c r="C124" i="9"/>
  <c r="A125" i="9"/>
  <c r="B125" i="9"/>
  <c r="C125" i="9"/>
  <c r="A126" i="9"/>
  <c r="B126" i="9"/>
  <c r="C126" i="9"/>
  <c r="A127" i="9"/>
  <c r="B127" i="9"/>
  <c r="C127" i="9"/>
  <c r="A128" i="9"/>
  <c r="B128" i="9"/>
  <c r="C128" i="9"/>
  <c r="A129" i="9"/>
  <c r="B129" i="9"/>
  <c r="C129" i="9"/>
  <c r="A130" i="9"/>
  <c r="B130" i="9"/>
  <c r="C130" i="9"/>
  <c r="A131" i="9"/>
  <c r="B131" i="9"/>
  <c r="C131" i="9"/>
  <c r="A132" i="9"/>
  <c r="B132" i="9"/>
  <c r="C132" i="9"/>
  <c r="A133" i="9"/>
  <c r="B133" i="9"/>
  <c r="C133" i="9"/>
  <c r="A134" i="9"/>
  <c r="B134" i="9"/>
  <c r="C134" i="9"/>
  <c r="A135" i="9"/>
  <c r="B135" i="9"/>
  <c r="C135" i="9"/>
  <c r="A136" i="9"/>
  <c r="B136" i="9"/>
  <c r="C136" i="9"/>
  <c r="A137" i="9"/>
  <c r="B137" i="9"/>
  <c r="C137" i="9"/>
  <c r="A138" i="9"/>
  <c r="B138" i="9"/>
  <c r="C138" i="9"/>
  <c r="A139" i="9"/>
  <c r="B139" i="9"/>
  <c r="C139" i="9"/>
  <c r="A140" i="9"/>
  <c r="B140" i="9"/>
  <c r="C140" i="9"/>
  <c r="A141" i="9"/>
  <c r="B141" i="9"/>
  <c r="C141" i="9"/>
  <c r="A142" i="9"/>
  <c r="B142" i="9"/>
  <c r="C142" i="9"/>
  <c r="A143" i="9"/>
  <c r="B143" i="9"/>
  <c r="C143" i="9"/>
  <c r="A144" i="9"/>
  <c r="B144" i="9"/>
  <c r="C144" i="9"/>
  <c r="A145" i="9"/>
  <c r="B145" i="9"/>
  <c r="C145" i="9"/>
  <c r="A146" i="9"/>
  <c r="B146" i="9"/>
  <c r="C146" i="9"/>
  <c r="A147" i="9"/>
  <c r="B147" i="9"/>
  <c r="C147" i="9"/>
  <c r="A148" i="9"/>
  <c r="B148" i="9"/>
  <c r="C148" i="9"/>
  <c r="A149" i="9"/>
  <c r="B149" i="9"/>
  <c r="C149" i="9"/>
  <c r="A150" i="9"/>
  <c r="B150" i="9"/>
  <c r="C150" i="9"/>
  <c r="A151" i="9"/>
  <c r="B151" i="9"/>
  <c r="C151" i="9"/>
  <c r="A152" i="9"/>
  <c r="B152" i="9"/>
  <c r="C152" i="9"/>
  <c r="A153" i="9"/>
  <c r="B153" i="9"/>
  <c r="C153" i="9"/>
  <c r="A154" i="9"/>
  <c r="B154" i="9"/>
  <c r="C154" i="9"/>
  <c r="A155" i="9"/>
  <c r="B155" i="9"/>
  <c r="C155" i="9"/>
  <c r="A156" i="9"/>
  <c r="B156" i="9"/>
  <c r="C156" i="9"/>
  <c r="A157" i="9"/>
  <c r="B157" i="9"/>
  <c r="C157" i="9"/>
  <c r="A158" i="9"/>
  <c r="B158" i="9"/>
  <c r="C158" i="9"/>
  <c r="A159" i="9"/>
  <c r="B159" i="9"/>
  <c r="C159" i="9"/>
  <c r="A160" i="9"/>
  <c r="B160" i="9"/>
  <c r="C160" i="9"/>
  <c r="A161" i="9"/>
  <c r="B161" i="9"/>
  <c r="C161" i="9"/>
  <c r="A162" i="9"/>
  <c r="B162" i="9"/>
  <c r="C162" i="9"/>
  <c r="A163" i="9"/>
  <c r="B163" i="9"/>
  <c r="C163" i="9"/>
  <c r="A164" i="9"/>
  <c r="B164" i="9"/>
  <c r="C164" i="9"/>
  <c r="A165" i="9"/>
  <c r="B165" i="9"/>
  <c r="C165" i="9"/>
  <c r="A166" i="9"/>
  <c r="B166" i="9"/>
  <c r="C166" i="9"/>
  <c r="A167" i="9"/>
  <c r="B167" i="9"/>
  <c r="C167" i="9"/>
  <c r="A168" i="9"/>
  <c r="B168" i="9"/>
  <c r="C168" i="9"/>
  <c r="A169" i="9"/>
  <c r="B169" i="9"/>
  <c r="C169" i="9"/>
  <c r="A170" i="9"/>
  <c r="B170" i="9"/>
  <c r="C170" i="9"/>
  <c r="A171" i="9"/>
  <c r="B171" i="9"/>
  <c r="C171" i="9"/>
  <c r="A172" i="9"/>
  <c r="B172" i="9"/>
  <c r="C172" i="9"/>
  <c r="A173" i="9"/>
  <c r="B173" i="9"/>
  <c r="C173" i="9"/>
  <c r="A174" i="9"/>
  <c r="B174" i="9"/>
  <c r="C174" i="9"/>
  <c r="A175" i="9"/>
  <c r="B175" i="9"/>
  <c r="C175" i="9"/>
  <c r="A176" i="9"/>
  <c r="B176" i="9"/>
  <c r="C176" i="9"/>
  <c r="A177" i="9"/>
  <c r="B177" i="9"/>
  <c r="C177" i="9"/>
  <c r="A178" i="9"/>
  <c r="B178" i="9"/>
  <c r="C178" i="9"/>
  <c r="A179" i="9"/>
  <c r="B179" i="9"/>
  <c r="C179" i="9"/>
  <c r="A180" i="9"/>
  <c r="B180" i="9"/>
  <c r="C180" i="9"/>
  <c r="A181" i="9"/>
  <c r="B181" i="9"/>
  <c r="C181" i="9"/>
  <c r="A182" i="9"/>
  <c r="B182" i="9"/>
  <c r="C182" i="9"/>
  <c r="A183" i="9"/>
  <c r="B183" i="9"/>
  <c r="C183" i="9"/>
  <c r="A184" i="9"/>
  <c r="B184" i="9"/>
  <c r="C184" i="9"/>
  <c r="A185" i="9"/>
  <c r="B185" i="9"/>
  <c r="C185" i="9"/>
  <c r="A186" i="9"/>
  <c r="B186" i="9"/>
  <c r="C186" i="9"/>
  <c r="A187" i="9"/>
  <c r="B187" i="9"/>
  <c r="C187" i="9"/>
  <c r="A188" i="9"/>
  <c r="B188" i="9"/>
  <c r="C188" i="9"/>
  <c r="A189" i="9"/>
  <c r="B189" i="9"/>
  <c r="C189" i="9"/>
  <c r="A190" i="9"/>
  <c r="B190" i="9"/>
  <c r="C190" i="9"/>
  <c r="A191" i="9"/>
  <c r="B191" i="9"/>
  <c r="C191" i="9"/>
  <c r="A192" i="9"/>
  <c r="B192" i="9"/>
  <c r="C192" i="9"/>
  <c r="A193" i="9"/>
  <c r="B193" i="9"/>
  <c r="C193" i="9"/>
  <c r="A194" i="9"/>
  <c r="B194" i="9"/>
  <c r="C194" i="9"/>
  <c r="A195" i="9"/>
  <c r="B195" i="9"/>
  <c r="C195" i="9"/>
  <c r="A196" i="9"/>
  <c r="B196" i="9"/>
  <c r="C196" i="9"/>
  <c r="A197" i="9"/>
  <c r="B197" i="9"/>
  <c r="C197" i="9"/>
  <c r="A198" i="9"/>
  <c r="B198" i="9"/>
  <c r="C198" i="9"/>
  <c r="A199" i="9"/>
  <c r="B199" i="9"/>
  <c r="C199" i="9"/>
  <c r="A200" i="9"/>
  <c r="B200" i="9"/>
  <c r="C200" i="9"/>
  <c r="A201" i="9"/>
  <c r="B201" i="9"/>
  <c r="C201" i="9"/>
  <c r="A202" i="9"/>
  <c r="B202" i="9"/>
  <c r="C202" i="9"/>
  <c r="A203" i="9"/>
  <c r="B203" i="9"/>
  <c r="C203" i="9"/>
  <c r="A204" i="9"/>
  <c r="B204" i="9"/>
  <c r="C204" i="9"/>
  <c r="A205" i="9"/>
  <c r="B205" i="9"/>
  <c r="C205" i="9"/>
  <c r="A206" i="9"/>
  <c r="B206" i="9"/>
  <c r="C206" i="9"/>
  <c r="A207" i="9"/>
  <c r="B207" i="9"/>
  <c r="C207" i="9"/>
  <c r="A208" i="9"/>
  <c r="B208" i="9"/>
  <c r="C208" i="9"/>
  <c r="A209" i="9"/>
  <c r="B209" i="9"/>
  <c r="C209" i="9"/>
  <c r="A210" i="9"/>
  <c r="B210" i="9"/>
  <c r="C210" i="9"/>
  <c r="A211" i="9"/>
  <c r="B211" i="9"/>
  <c r="C211" i="9"/>
  <c r="A212" i="9"/>
  <c r="B212" i="9"/>
  <c r="C212" i="9"/>
  <c r="A213" i="9"/>
  <c r="B213" i="9"/>
  <c r="C213" i="9"/>
  <c r="A214" i="9"/>
  <c r="B214" i="9"/>
  <c r="C214" i="9"/>
  <c r="A215" i="9"/>
  <c r="B215" i="9"/>
  <c r="C215" i="9"/>
  <c r="A216" i="9"/>
  <c r="B216" i="9"/>
  <c r="C216" i="9"/>
  <c r="A217" i="9"/>
  <c r="B217" i="9"/>
  <c r="C217" i="9"/>
  <c r="A218" i="9"/>
  <c r="B218" i="9"/>
  <c r="C218" i="9"/>
  <c r="A219" i="9"/>
  <c r="B219" i="9"/>
  <c r="C219" i="9"/>
  <c r="A220" i="9"/>
  <c r="B220" i="9"/>
  <c r="C220" i="9"/>
  <c r="A221" i="9"/>
  <c r="B221" i="9"/>
  <c r="C221" i="9"/>
  <c r="A222" i="9"/>
  <c r="B222" i="9"/>
  <c r="C222" i="9"/>
  <c r="A223" i="9"/>
  <c r="B223" i="9"/>
  <c r="C223" i="9"/>
  <c r="A224" i="9"/>
  <c r="B224" i="9"/>
  <c r="C224" i="9"/>
  <c r="A225" i="9"/>
  <c r="B225" i="9"/>
  <c r="C225" i="9"/>
  <c r="A226" i="9"/>
  <c r="B226" i="9"/>
  <c r="C226" i="9"/>
  <c r="A227" i="9"/>
  <c r="B227" i="9"/>
  <c r="C227" i="9"/>
  <c r="A228" i="9"/>
  <c r="B228" i="9"/>
  <c r="C228" i="9"/>
  <c r="A229" i="9"/>
  <c r="B229" i="9"/>
  <c r="C229" i="9"/>
  <c r="A230" i="9"/>
  <c r="B230" i="9"/>
  <c r="C230" i="9"/>
  <c r="A231" i="9"/>
  <c r="B231" i="9"/>
  <c r="C231" i="9"/>
  <c r="A232" i="9"/>
  <c r="B232" i="9"/>
  <c r="C232" i="9"/>
  <c r="A233" i="9"/>
  <c r="B233" i="9"/>
  <c r="C233" i="9"/>
  <c r="A234" i="9"/>
  <c r="B234" i="9"/>
  <c r="C234" i="9"/>
  <c r="A235" i="9"/>
  <c r="B235" i="9"/>
  <c r="C235" i="9"/>
  <c r="A236" i="9"/>
  <c r="B236" i="9"/>
  <c r="C236" i="9"/>
  <c r="A237" i="9"/>
  <c r="B237" i="9"/>
  <c r="C237" i="9"/>
  <c r="A238" i="9"/>
  <c r="B238" i="9"/>
  <c r="C238" i="9"/>
  <c r="A239" i="9"/>
  <c r="B239" i="9"/>
  <c r="C239" i="9"/>
  <c r="A240" i="9"/>
  <c r="B240" i="9"/>
  <c r="C240" i="9"/>
  <c r="A241" i="9"/>
  <c r="B241" i="9"/>
  <c r="C241" i="9"/>
  <c r="A242" i="9"/>
  <c r="B242" i="9"/>
  <c r="C242" i="9"/>
  <c r="A243" i="9"/>
  <c r="B243" i="9"/>
  <c r="C243" i="9"/>
  <c r="A244" i="9"/>
  <c r="B244" i="9"/>
  <c r="C244" i="9"/>
  <c r="A245" i="9"/>
  <c r="B245" i="9"/>
  <c r="C245" i="9"/>
  <c r="A246" i="9"/>
  <c r="B246" i="9"/>
  <c r="C246" i="9"/>
  <c r="A247" i="9"/>
  <c r="B247" i="9"/>
  <c r="C247" i="9"/>
  <c r="A248" i="9"/>
  <c r="B248" i="9"/>
  <c r="C248" i="9"/>
  <c r="A249" i="9"/>
  <c r="B249" i="9"/>
  <c r="C249" i="9"/>
  <c r="A250" i="9"/>
  <c r="B250" i="9"/>
  <c r="C250" i="9"/>
  <c r="A251" i="9"/>
  <c r="B251" i="9"/>
  <c r="C251" i="9"/>
  <c r="A252" i="9"/>
  <c r="B252" i="9"/>
  <c r="C252" i="9"/>
  <c r="A253" i="9"/>
  <c r="B253" i="9"/>
  <c r="C253" i="9"/>
  <c r="A254" i="9"/>
  <c r="B254" i="9"/>
  <c r="C254" i="9"/>
  <c r="A255" i="9"/>
  <c r="B255" i="9"/>
  <c r="C255" i="9"/>
  <c r="A256" i="9"/>
  <c r="B256" i="9"/>
  <c r="C256" i="9"/>
  <c r="A257" i="9"/>
  <c r="B257" i="9"/>
  <c r="C257" i="9"/>
  <c r="A258" i="9"/>
  <c r="B258" i="9"/>
  <c r="C258" i="9"/>
  <c r="A259" i="9"/>
  <c r="B259" i="9"/>
  <c r="C259" i="9"/>
  <c r="A260" i="9"/>
  <c r="B260" i="9"/>
  <c r="C260" i="9"/>
  <c r="A261" i="9"/>
  <c r="B261" i="9"/>
  <c r="C261" i="9"/>
  <c r="A262" i="9"/>
  <c r="B262" i="9"/>
  <c r="C262" i="9"/>
  <c r="A263" i="9"/>
  <c r="B263" i="9"/>
  <c r="C263" i="9"/>
  <c r="A264" i="9"/>
  <c r="B264" i="9"/>
  <c r="C264" i="9"/>
  <c r="A265" i="9"/>
  <c r="B265" i="9"/>
  <c r="C265" i="9"/>
  <c r="A266" i="9"/>
  <c r="B266" i="9"/>
  <c r="C266" i="9"/>
  <c r="A267" i="9"/>
  <c r="B267" i="9"/>
  <c r="C267" i="9"/>
  <c r="A268" i="9"/>
  <c r="B268" i="9"/>
  <c r="C268" i="9"/>
  <c r="A269" i="9"/>
  <c r="B269" i="9"/>
  <c r="C269" i="9"/>
  <c r="A270" i="9"/>
  <c r="B270" i="9"/>
  <c r="C270" i="9"/>
  <c r="A271" i="9"/>
  <c r="B271" i="9"/>
  <c r="C271" i="9"/>
  <c r="A272" i="9"/>
  <c r="B272" i="9"/>
  <c r="C272" i="9"/>
  <c r="A273" i="9"/>
  <c r="B273" i="9"/>
  <c r="C273" i="9"/>
  <c r="A274" i="9"/>
  <c r="B274" i="9"/>
  <c r="C274" i="9"/>
  <c r="A275" i="9"/>
  <c r="B275" i="9"/>
  <c r="C275" i="9"/>
  <c r="A276" i="9"/>
  <c r="B276" i="9"/>
  <c r="C276" i="9"/>
  <c r="A277" i="9"/>
  <c r="B277" i="9"/>
  <c r="C277" i="9"/>
  <c r="A278" i="9"/>
  <c r="B278" i="9"/>
  <c r="C278" i="9"/>
  <c r="A279" i="9"/>
  <c r="B279" i="9"/>
  <c r="C279" i="9"/>
  <c r="A280" i="9"/>
  <c r="B280" i="9"/>
  <c r="C280" i="9"/>
  <c r="A281" i="9"/>
  <c r="B281" i="9"/>
  <c r="C281" i="9"/>
  <c r="A282" i="9"/>
  <c r="B282" i="9"/>
  <c r="C282" i="9"/>
  <c r="A283" i="9"/>
  <c r="B283" i="9"/>
  <c r="C283" i="9"/>
  <c r="A284" i="9"/>
  <c r="B284" i="9"/>
  <c r="C284" i="9"/>
  <c r="A285" i="9"/>
  <c r="B285" i="9"/>
  <c r="C285" i="9"/>
  <c r="A286" i="9"/>
  <c r="B286" i="9"/>
  <c r="C286" i="9"/>
  <c r="A287" i="9"/>
  <c r="B287" i="9"/>
  <c r="C287" i="9"/>
  <c r="A288" i="9"/>
  <c r="B288" i="9"/>
  <c r="C288" i="9"/>
  <c r="A289" i="9"/>
  <c r="B289" i="9"/>
  <c r="C289" i="9"/>
  <c r="A290" i="9"/>
  <c r="B290" i="9"/>
  <c r="C290" i="9"/>
  <c r="A291" i="9"/>
  <c r="B291" i="9"/>
  <c r="C291" i="9"/>
  <c r="A292" i="9"/>
  <c r="B292" i="9"/>
  <c r="C292" i="9"/>
  <c r="A293" i="9"/>
  <c r="B293" i="9"/>
  <c r="C293" i="9"/>
  <c r="A294" i="9"/>
  <c r="B294" i="9"/>
  <c r="C294" i="9"/>
  <c r="A295" i="9"/>
  <c r="B295" i="9"/>
  <c r="C295" i="9"/>
  <c r="A296" i="9"/>
  <c r="B296" i="9"/>
  <c r="C296" i="9"/>
  <c r="A297" i="9"/>
  <c r="B297" i="9"/>
  <c r="C297" i="9"/>
  <c r="A298" i="9"/>
  <c r="B298" i="9"/>
  <c r="C298" i="9"/>
  <c r="A299" i="9"/>
  <c r="B299" i="9"/>
  <c r="C299" i="9"/>
  <c r="A300" i="9"/>
  <c r="B300" i="9"/>
  <c r="C300" i="9"/>
  <c r="A301" i="9"/>
  <c r="B301" i="9"/>
  <c r="C301" i="9"/>
  <c r="A302" i="9"/>
  <c r="B302" i="9"/>
  <c r="C302" i="9"/>
  <c r="A303" i="9"/>
  <c r="B303" i="9"/>
  <c r="C303" i="9"/>
  <c r="A304" i="9"/>
  <c r="B304" i="9"/>
  <c r="C304" i="9"/>
  <c r="A305" i="9"/>
  <c r="B305" i="9"/>
  <c r="C305" i="9"/>
  <c r="A306" i="9"/>
  <c r="B306" i="9"/>
  <c r="C306" i="9"/>
  <c r="A307" i="9"/>
  <c r="B307" i="9"/>
  <c r="C307" i="9"/>
  <c r="A308" i="9"/>
  <c r="B308" i="9"/>
  <c r="C308" i="9"/>
  <c r="A309" i="9"/>
  <c r="B309" i="9"/>
  <c r="C309" i="9"/>
  <c r="A310" i="9"/>
  <c r="B310" i="9"/>
  <c r="C310" i="9"/>
  <c r="A311" i="9"/>
  <c r="B311" i="9"/>
  <c r="C311" i="9"/>
  <c r="A312" i="9"/>
  <c r="B312" i="9"/>
  <c r="C312" i="9"/>
  <c r="A313" i="9"/>
  <c r="B313" i="9"/>
  <c r="C313" i="9"/>
  <c r="A314" i="9"/>
  <c r="B314" i="9"/>
  <c r="C314" i="9"/>
  <c r="A315" i="9"/>
  <c r="B315" i="9"/>
  <c r="C315" i="9"/>
  <c r="A316" i="9"/>
  <c r="B316" i="9"/>
  <c r="C316" i="9"/>
  <c r="A317" i="9"/>
  <c r="B317" i="9"/>
  <c r="C317" i="9"/>
  <c r="A318" i="9"/>
  <c r="B318" i="9"/>
  <c r="C318" i="9"/>
  <c r="A319" i="9"/>
  <c r="B319" i="9"/>
  <c r="C319" i="9"/>
  <c r="A7" i="33"/>
  <c r="B7" i="33"/>
  <c r="A8" i="33"/>
  <c r="B8" i="33"/>
  <c r="A9" i="33"/>
  <c r="B9" i="33"/>
  <c r="A10" i="33"/>
  <c r="B10" i="33"/>
  <c r="A11" i="33"/>
  <c r="B11" i="33"/>
  <c r="A12" i="33"/>
  <c r="B12" i="33"/>
  <c r="A13" i="33"/>
  <c r="B13" i="33"/>
  <c r="A14" i="33"/>
  <c r="B14" i="33"/>
  <c r="A15" i="33"/>
  <c r="B15" i="33"/>
  <c r="A16" i="33"/>
  <c r="B16" i="33"/>
  <c r="A17" i="33"/>
  <c r="B17" i="33"/>
  <c r="A18" i="33"/>
  <c r="B18" i="33"/>
  <c r="A19" i="33"/>
  <c r="B19" i="33"/>
  <c r="A20" i="33"/>
  <c r="B20" i="33"/>
  <c r="A21" i="33"/>
  <c r="B21" i="33"/>
  <c r="A22" i="33"/>
  <c r="B22" i="33"/>
  <c r="A23" i="33"/>
  <c r="B23" i="33"/>
  <c r="A24" i="33"/>
  <c r="B24" i="33"/>
  <c r="A25" i="33"/>
  <c r="B25" i="33"/>
  <c r="A26" i="33"/>
  <c r="B26" i="33"/>
  <c r="A27" i="33"/>
  <c r="B27" i="33"/>
  <c r="A28" i="33"/>
  <c r="B28" i="33"/>
  <c r="A29" i="33"/>
  <c r="B29" i="33"/>
  <c r="A30" i="33"/>
  <c r="B30" i="33"/>
  <c r="A31" i="33"/>
  <c r="B31" i="33"/>
  <c r="A32" i="33"/>
  <c r="B32" i="33"/>
  <c r="A33" i="33"/>
  <c r="B33" i="33"/>
  <c r="A34" i="33"/>
  <c r="B34" i="33"/>
  <c r="A35" i="33"/>
  <c r="B35" i="33"/>
  <c r="A36" i="33"/>
  <c r="B36" i="33"/>
  <c r="A37" i="33"/>
  <c r="B37" i="33"/>
  <c r="A38" i="33"/>
  <c r="B38" i="33"/>
  <c r="A39" i="33"/>
  <c r="B39" i="33"/>
  <c r="A40" i="33"/>
  <c r="B40" i="33"/>
  <c r="A41" i="33"/>
  <c r="B41" i="33"/>
  <c r="A42" i="33"/>
  <c r="B42" i="33"/>
  <c r="A43" i="33"/>
  <c r="B43" i="33"/>
  <c r="A44" i="33"/>
  <c r="B44" i="33"/>
  <c r="A45" i="33"/>
  <c r="B45" i="33"/>
  <c r="A46" i="33"/>
  <c r="B46" i="33"/>
  <c r="A47" i="33"/>
  <c r="B47" i="33"/>
  <c r="A48" i="33"/>
  <c r="B48" i="33"/>
  <c r="A49" i="33"/>
  <c r="B49" i="33"/>
  <c r="A50" i="33"/>
  <c r="B50" i="33"/>
  <c r="A51" i="33"/>
  <c r="B51" i="33"/>
  <c r="A52" i="33"/>
  <c r="B52" i="33"/>
  <c r="A53" i="33"/>
  <c r="B53" i="33"/>
  <c r="A54" i="33"/>
  <c r="B54" i="33"/>
  <c r="A55" i="33"/>
  <c r="B55" i="33"/>
  <c r="A56" i="33"/>
  <c r="B56" i="33"/>
  <c r="A57" i="33"/>
  <c r="B57" i="33"/>
  <c r="A58" i="33"/>
  <c r="B58" i="33"/>
  <c r="A59" i="33"/>
  <c r="B59" i="33"/>
  <c r="A60" i="33"/>
  <c r="B60" i="33"/>
  <c r="A61" i="33"/>
  <c r="B61" i="33"/>
  <c r="A62" i="33"/>
  <c r="B62" i="33"/>
  <c r="A63" i="33"/>
  <c r="B63" i="33"/>
  <c r="A64" i="33"/>
  <c r="B64" i="33"/>
  <c r="A65" i="33"/>
  <c r="B65" i="33"/>
  <c r="A66" i="33"/>
  <c r="B66" i="33"/>
  <c r="A67" i="33"/>
  <c r="B67" i="33"/>
  <c r="A68" i="33"/>
  <c r="B68" i="33"/>
  <c r="A69" i="33"/>
  <c r="B69" i="33"/>
  <c r="A70" i="33"/>
  <c r="B70" i="33"/>
  <c r="A71" i="33"/>
  <c r="B71" i="33"/>
  <c r="A72" i="33"/>
  <c r="B72" i="33"/>
  <c r="A73" i="33"/>
  <c r="B73" i="33"/>
  <c r="A74" i="33"/>
  <c r="B74" i="33"/>
  <c r="A75" i="33"/>
  <c r="B75" i="33"/>
  <c r="A76" i="33"/>
  <c r="B76" i="33"/>
  <c r="A77" i="33"/>
  <c r="B77" i="33"/>
  <c r="A78" i="33"/>
  <c r="B78" i="33"/>
  <c r="A79" i="33"/>
  <c r="B79" i="33"/>
  <c r="A80" i="33"/>
  <c r="B80" i="33"/>
  <c r="A81" i="33"/>
  <c r="B81" i="33"/>
  <c r="A82" i="33"/>
  <c r="B82" i="33"/>
  <c r="A83" i="33"/>
  <c r="B83" i="33"/>
  <c r="A84" i="33"/>
  <c r="B84" i="33"/>
  <c r="A85" i="33"/>
  <c r="B85" i="33"/>
  <c r="A86" i="33"/>
  <c r="B86" i="33"/>
  <c r="A87" i="33"/>
  <c r="B87" i="33"/>
  <c r="A88" i="33"/>
  <c r="B88" i="33"/>
  <c r="A89" i="33"/>
  <c r="B89" i="33"/>
  <c r="A90" i="33"/>
  <c r="B90" i="33"/>
  <c r="A91" i="33"/>
  <c r="B91" i="33"/>
  <c r="A92" i="33"/>
  <c r="B92" i="33"/>
  <c r="A93" i="33"/>
  <c r="B93" i="33"/>
  <c r="A94" i="33"/>
  <c r="B94" i="33"/>
  <c r="A95" i="33"/>
  <c r="B95" i="33"/>
  <c r="A96" i="33"/>
  <c r="B96" i="33"/>
  <c r="A97" i="33"/>
  <c r="B97" i="33"/>
  <c r="A98" i="33"/>
  <c r="B98" i="33"/>
  <c r="A99" i="33"/>
  <c r="B99" i="33"/>
  <c r="A100" i="33"/>
  <c r="B100" i="33"/>
  <c r="A101" i="33"/>
  <c r="B101" i="33"/>
  <c r="A102" i="33"/>
  <c r="B102" i="33"/>
  <c r="A103" i="33"/>
  <c r="B103" i="33"/>
  <c r="A104" i="33"/>
  <c r="B104" i="33"/>
  <c r="A105" i="33"/>
  <c r="B105" i="33"/>
  <c r="A106" i="33"/>
  <c r="B106" i="33"/>
  <c r="A107" i="33"/>
  <c r="B107" i="33"/>
  <c r="A108" i="33"/>
  <c r="B108" i="33"/>
  <c r="A109" i="33"/>
  <c r="B109" i="33"/>
  <c r="A110" i="33"/>
  <c r="B110" i="33"/>
  <c r="A111" i="33"/>
  <c r="B111" i="33"/>
  <c r="A112" i="33"/>
  <c r="B112" i="33"/>
  <c r="A113" i="33"/>
  <c r="B113" i="33"/>
  <c r="A114" i="33"/>
  <c r="B114" i="33"/>
  <c r="A115" i="33"/>
  <c r="B115" i="33"/>
  <c r="A116" i="33"/>
  <c r="B116" i="33"/>
  <c r="A117" i="33"/>
  <c r="B117" i="33"/>
  <c r="A118" i="33"/>
  <c r="B118" i="33"/>
  <c r="A119" i="33"/>
  <c r="B119" i="33"/>
  <c r="A120" i="33"/>
  <c r="B120" i="33"/>
  <c r="A121" i="33"/>
  <c r="B121" i="33"/>
  <c r="A122" i="33"/>
  <c r="B122" i="33"/>
  <c r="A123" i="33"/>
  <c r="B123" i="33"/>
  <c r="A124" i="33"/>
  <c r="B124" i="33"/>
  <c r="A125" i="33"/>
  <c r="B125" i="33"/>
  <c r="A126" i="33"/>
  <c r="B126" i="33"/>
  <c r="A127" i="33"/>
  <c r="B127" i="33"/>
  <c r="A128" i="33"/>
  <c r="B128" i="33"/>
  <c r="A129" i="33"/>
  <c r="B129" i="33"/>
  <c r="A130" i="33"/>
  <c r="B130" i="33"/>
  <c r="A131" i="33"/>
  <c r="B131" i="33"/>
  <c r="A132" i="33"/>
  <c r="B132" i="33"/>
  <c r="A133" i="33"/>
  <c r="B133" i="33"/>
  <c r="A134" i="33"/>
  <c r="B134" i="33"/>
  <c r="A135" i="33"/>
  <c r="B135" i="33"/>
  <c r="A136" i="33"/>
  <c r="B136" i="33"/>
  <c r="A137" i="33"/>
  <c r="B137" i="33"/>
  <c r="A138" i="33"/>
  <c r="B138" i="33"/>
  <c r="A139" i="33"/>
  <c r="B139" i="33"/>
  <c r="A140" i="33"/>
  <c r="B140" i="33"/>
  <c r="A141" i="33"/>
  <c r="B141" i="33"/>
  <c r="A142" i="33"/>
  <c r="B142" i="33"/>
  <c r="A143" i="33"/>
  <c r="B143" i="33"/>
  <c r="A144" i="33"/>
  <c r="B144" i="33"/>
  <c r="A145" i="33"/>
  <c r="B145" i="33"/>
  <c r="A146" i="33"/>
  <c r="B146" i="33"/>
  <c r="A147" i="33"/>
  <c r="B147" i="33"/>
  <c r="A148" i="33"/>
  <c r="B148" i="33"/>
  <c r="A149" i="33"/>
  <c r="B149" i="33"/>
  <c r="A150" i="33"/>
  <c r="B150" i="33"/>
  <c r="A151" i="33"/>
  <c r="B151" i="33"/>
  <c r="A152" i="33"/>
  <c r="B152" i="33"/>
  <c r="A153" i="33"/>
  <c r="B153" i="33"/>
  <c r="A154" i="33"/>
  <c r="B154" i="33"/>
  <c r="A155" i="33"/>
  <c r="B155" i="33"/>
  <c r="A156" i="33"/>
  <c r="B156" i="33"/>
  <c r="A157" i="33"/>
  <c r="B157" i="33"/>
  <c r="A158" i="33"/>
  <c r="B158" i="33"/>
  <c r="A159" i="33"/>
  <c r="B159" i="33"/>
  <c r="A160" i="33"/>
  <c r="B160" i="33"/>
  <c r="A161" i="33"/>
  <c r="B161" i="33"/>
  <c r="A162" i="33"/>
  <c r="B162" i="33"/>
  <c r="A163" i="33"/>
  <c r="B163" i="33"/>
  <c r="A164" i="33"/>
  <c r="B164" i="33"/>
  <c r="A165" i="33"/>
  <c r="B165" i="33"/>
  <c r="A166" i="33"/>
  <c r="B166" i="33"/>
  <c r="A167" i="33"/>
  <c r="B167" i="33"/>
  <c r="A168" i="33"/>
  <c r="B168" i="33"/>
  <c r="A169" i="33"/>
  <c r="B169" i="33"/>
  <c r="A170" i="33"/>
  <c r="B170" i="33"/>
  <c r="A171" i="33"/>
  <c r="B171" i="33"/>
  <c r="A172" i="33"/>
  <c r="B172" i="33"/>
  <c r="A173" i="33"/>
  <c r="B173" i="33"/>
  <c r="A174" i="33"/>
  <c r="B174" i="33"/>
  <c r="A175" i="33"/>
  <c r="B175" i="33"/>
  <c r="A176" i="33"/>
  <c r="B176" i="33"/>
  <c r="A177" i="33"/>
  <c r="B177" i="33"/>
  <c r="A178" i="33"/>
  <c r="B178" i="33"/>
  <c r="A179" i="33"/>
  <c r="B179" i="33"/>
  <c r="A180" i="33"/>
  <c r="B180" i="33"/>
  <c r="A181" i="33"/>
  <c r="B181" i="33"/>
  <c r="A182" i="33"/>
  <c r="B182" i="33"/>
  <c r="A183" i="33"/>
  <c r="B183" i="33"/>
  <c r="A184" i="33"/>
  <c r="B184" i="33"/>
  <c r="A185" i="33"/>
  <c r="B185" i="33"/>
  <c r="A186" i="33"/>
  <c r="B186" i="33"/>
  <c r="A187" i="33"/>
  <c r="B187" i="33"/>
  <c r="A188" i="33"/>
  <c r="B188" i="33"/>
  <c r="A189" i="33"/>
  <c r="B189" i="33"/>
  <c r="A190" i="33"/>
  <c r="B190" i="33"/>
  <c r="A191" i="33"/>
  <c r="B191" i="33"/>
  <c r="A192" i="33"/>
  <c r="B192" i="33"/>
  <c r="A193" i="33"/>
  <c r="B193" i="33"/>
  <c r="A194" i="33"/>
  <c r="B194" i="33"/>
  <c r="A195" i="33"/>
  <c r="B195" i="33"/>
  <c r="A196" i="33"/>
  <c r="B196" i="33"/>
  <c r="A197" i="33"/>
  <c r="B197" i="33"/>
  <c r="A198" i="33"/>
  <c r="B198" i="33"/>
  <c r="A199" i="33"/>
  <c r="B199" i="33"/>
  <c r="A200" i="33"/>
  <c r="B200" i="33"/>
  <c r="A201" i="33"/>
  <c r="B201" i="33"/>
  <c r="A202" i="33"/>
  <c r="B202" i="33"/>
  <c r="A203" i="33"/>
  <c r="B203" i="33"/>
  <c r="A204" i="33"/>
  <c r="B204" i="33"/>
  <c r="A205" i="33"/>
  <c r="B205" i="33"/>
  <c r="A206" i="33"/>
  <c r="B206" i="33"/>
  <c r="A207" i="33"/>
  <c r="B207" i="33"/>
  <c r="A208" i="33"/>
  <c r="B208" i="33"/>
  <c r="A209" i="33"/>
  <c r="B209" i="33"/>
  <c r="A210" i="33"/>
  <c r="B210" i="33"/>
  <c r="A211" i="33"/>
  <c r="B211" i="33"/>
  <c r="A212" i="33"/>
  <c r="B212" i="33"/>
  <c r="A213" i="33"/>
  <c r="B213" i="33"/>
  <c r="A214" i="33"/>
  <c r="B214" i="33"/>
  <c r="A215" i="33"/>
  <c r="B215" i="33"/>
  <c r="A216" i="33"/>
  <c r="B216" i="33"/>
  <c r="A217" i="33"/>
  <c r="B217" i="33"/>
  <c r="A218" i="33"/>
  <c r="B218" i="33"/>
  <c r="A219" i="33"/>
  <c r="B219" i="33"/>
  <c r="A220" i="33"/>
  <c r="B220" i="33"/>
  <c r="A221" i="33"/>
  <c r="B221" i="33"/>
  <c r="A222" i="33"/>
  <c r="B222" i="33"/>
  <c r="A223" i="33"/>
  <c r="B223" i="33"/>
  <c r="A224" i="33"/>
  <c r="B224" i="33"/>
  <c r="A225" i="33"/>
  <c r="B225" i="33"/>
  <c r="A226" i="33"/>
  <c r="B226" i="33"/>
  <c r="A227" i="33"/>
  <c r="B227" i="33"/>
  <c r="A228" i="33"/>
  <c r="B228" i="33"/>
  <c r="A229" i="33"/>
  <c r="B229" i="33"/>
  <c r="A230" i="33"/>
  <c r="B230" i="33"/>
  <c r="A231" i="33"/>
  <c r="B231" i="33"/>
  <c r="A232" i="33"/>
  <c r="B232" i="33"/>
  <c r="A233" i="33"/>
  <c r="B233" i="33"/>
  <c r="A234" i="33"/>
  <c r="B234" i="33"/>
  <c r="A235" i="33"/>
  <c r="B235" i="33"/>
  <c r="A236" i="33"/>
  <c r="B236" i="33"/>
  <c r="A237" i="33"/>
  <c r="B237" i="33"/>
  <c r="A238" i="33"/>
  <c r="B238" i="33"/>
  <c r="A239" i="33"/>
  <c r="B239" i="33"/>
  <c r="A240" i="33"/>
  <c r="B240" i="33"/>
  <c r="A241" i="33"/>
  <c r="B241" i="33"/>
  <c r="A242" i="33"/>
  <c r="B242" i="33"/>
  <c r="A243" i="33"/>
  <c r="B243" i="33"/>
  <c r="A244" i="33"/>
  <c r="B244" i="33"/>
  <c r="A245" i="33"/>
  <c r="B245" i="33"/>
  <c r="A246" i="33"/>
  <c r="B246" i="33"/>
  <c r="A247" i="33"/>
  <c r="B247" i="33"/>
  <c r="A248" i="33"/>
  <c r="B248" i="33"/>
  <c r="A249" i="33"/>
  <c r="B249" i="33"/>
  <c r="A250" i="33"/>
  <c r="B250" i="33"/>
  <c r="A251" i="33"/>
  <c r="B251" i="33"/>
  <c r="A252" i="33"/>
  <c r="B252" i="33"/>
  <c r="A253" i="33"/>
  <c r="B253" i="33"/>
  <c r="A254" i="33"/>
  <c r="B254" i="33"/>
  <c r="A255" i="33"/>
  <c r="B255" i="33"/>
  <c r="A256" i="33"/>
  <c r="B256" i="33"/>
  <c r="A257" i="33"/>
  <c r="B257" i="33"/>
  <c r="A258" i="33"/>
  <c r="B258" i="33"/>
  <c r="A259" i="33"/>
  <c r="B259" i="33"/>
  <c r="A260" i="33"/>
  <c r="B260" i="33"/>
  <c r="A261" i="33"/>
  <c r="B261" i="33"/>
  <c r="A262" i="33"/>
  <c r="B262" i="33"/>
  <c r="A263" i="33"/>
  <c r="B263" i="33"/>
  <c r="A264" i="33"/>
  <c r="B264" i="33"/>
  <c r="A265" i="33"/>
  <c r="B265" i="33"/>
  <c r="A266" i="33"/>
  <c r="B266" i="33"/>
  <c r="A267" i="33"/>
  <c r="B267" i="33"/>
  <c r="A268" i="33"/>
  <c r="B268" i="33"/>
  <c r="A269" i="33"/>
  <c r="B269" i="33"/>
  <c r="A270" i="33"/>
  <c r="B270" i="33"/>
  <c r="A271" i="33"/>
  <c r="B271" i="33"/>
  <c r="A272" i="33"/>
  <c r="B272" i="33"/>
  <c r="A273" i="33"/>
  <c r="B273" i="33"/>
  <c r="A274" i="33"/>
  <c r="B274" i="33"/>
  <c r="A275" i="33"/>
  <c r="B275" i="33"/>
  <c r="A276" i="33"/>
  <c r="B276" i="33"/>
  <c r="A277" i="33"/>
  <c r="B277" i="33"/>
  <c r="A278" i="33"/>
  <c r="B278" i="33"/>
  <c r="A279" i="33"/>
  <c r="B279" i="33"/>
  <c r="A280" i="33"/>
  <c r="B280" i="33"/>
  <c r="A281" i="33"/>
  <c r="B281" i="33"/>
  <c r="A282" i="33"/>
  <c r="B282" i="33"/>
  <c r="A283" i="33"/>
  <c r="B283" i="33"/>
  <c r="A284" i="33"/>
  <c r="B284" i="33"/>
  <c r="A285" i="33"/>
  <c r="B285" i="33"/>
  <c r="A286" i="33"/>
  <c r="B286" i="33"/>
  <c r="A287" i="33"/>
  <c r="B287" i="33"/>
  <c r="A288" i="33"/>
  <c r="B288" i="33"/>
  <c r="A289" i="33"/>
  <c r="B289" i="33"/>
  <c r="A290" i="33"/>
  <c r="B290" i="33"/>
  <c r="A291" i="33"/>
  <c r="B291" i="33"/>
  <c r="A292" i="33"/>
  <c r="B292" i="33"/>
  <c r="A293" i="33"/>
  <c r="B293" i="33"/>
  <c r="A294" i="33"/>
  <c r="B294" i="33"/>
  <c r="A295" i="33"/>
  <c r="B295" i="33"/>
  <c r="A296" i="33"/>
  <c r="B296" i="33"/>
  <c r="A297" i="33"/>
  <c r="B297" i="33"/>
  <c r="A298" i="33"/>
  <c r="B298" i="33"/>
  <c r="A299" i="33"/>
  <c r="B299" i="33"/>
  <c r="A300" i="33"/>
  <c r="B300" i="33"/>
  <c r="A301" i="33"/>
  <c r="B301" i="33"/>
  <c r="A302" i="33"/>
  <c r="B302" i="33"/>
  <c r="A303" i="33"/>
  <c r="B303" i="33"/>
  <c r="A304" i="33"/>
  <c r="B304" i="33"/>
  <c r="A305" i="33"/>
  <c r="B305" i="33"/>
  <c r="A306" i="33"/>
  <c r="B306" i="33"/>
  <c r="A307" i="33"/>
  <c r="B307" i="33"/>
  <c r="A308" i="33"/>
  <c r="B308" i="33"/>
  <c r="A309" i="33"/>
  <c r="B309" i="33"/>
  <c r="A310" i="33"/>
  <c r="B310" i="33"/>
  <c r="A311" i="33"/>
  <c r="B311" i="33"/>
  <c r="A312" i="33"/>
  <c r="B312" i="33"/>
  <c r="A313" i="33"/>
  <c r="B313" i="33"/>
  <c r="A7" i="32"/>
  <c r="B7" i="32"/>
  <c r="A8" i="32"/>
  <c r="B8" i="32"/>
  <c r="A9" i="32"/>
  <c r="B9" i="32"/>
  <c r="A10" i="32"/>
  <c r="B10" i="32"/>
  <c r="A11" i="32"/>
  <c r="B11" i="32"/>
  <c r="A12" i="32"/>
  <c r="B12" i="32"/>
  <c r="A13" i="32"/>
  <c r="B13" i="32"/>
  <c r="A14" i="32"/>
  <c r="B14" i="32"/>
  <c r="A15" i="32"/>
  <c r="B15" i="32"/>
  <c r="A16" i="32"/>
  <c r="B16" i="32"/>
  <c r="A17" i="32"/>
  <c r="B17" i="32"/>
  <c r="A18" i="32"/>
  <c r="B18" i="32"/>
  <c r="A19" i="32"/>
  <c r="B19" i="32"/>
  <c r="A20" i="32"/>
  <c r="B20" i="32"/>
  <c r="A21" i="32"/>
  <c r="B21" i="32"/>
  <c r="A22" i="32"/>
  <c r="B22" i="32"/>
  <c r="A23" i="32"/>
  <c r="B23" i="32"/>
  <c r="A24" i="32"/>
  <c r="B24" i="32"/>
  <c r="A25" i="32"/>
  <c r="B25" i="32"/>
  <c r="A26" i="32"/>
  <c r="B26" i="32"/>
  <c r="A27" i="32"/>
  <c r="B27" i="32"/>
  <c r="A28" i="32"/>
  <c r="B28" i="32"/>
  <c r="A29" i="32"/>
  <c r="B29" i="32"/>
  <c r="A30" i="32"/>
  <c r="B30" i="32"/>
  <c r="A31" i="32"/>
  <c r="B31" i="32"/>
  <c r="A32" i="32"/>
  <c r="B32" i="32"/>
  <c r="A33" i="32"/>
  <c r="B33" i="32"/>
  <c r="A34" i="32"/>
  <c r="B34" i="32"/>
  <c r="A35" i="32"/>
  <c r="B35" i="32"/>
  <c r="A36" i="32"/>
  <c r="B36" i="32"/>
  <c r="A37" i="32"/>
  <c r="B37" i="32"/>
  <c r="A38" i="32"/>
  <c r="B38" i="32"/>
  <c r="A39" i="32"/>
  <c r="B39" i="32"/>
  <c r="A40" i="32"/>
  <c r="B40" i="32"/>
  <c r="A41" i="32"/>
  <c r="B41" i="32"/>
  <c r="A42" i="32"/>
  <c r="B42" i="32"/>
  <c r="A43" i="32"/>
  <c r="B43" i="32"/>
  <c r="A44" i="32"/>
  <c r="B44" i="32"/>
  <c r="A45" i="32"/>
  <c r="B45" i="32"/>
  <c r="A46" i="32"/>
  <c r="B46" i="32"/>
  <c r="A47" i="32"/>
  <c r="B47" i="32"/>
  <c r="A48" i="32"/>
  <c r="B48" i="32"/>
  <c r="A49" i="32"/>
  <c r="B49" i="32"/>
  <c r="A50" i="32"/>
  <c r="B50" i="32"/>
  <c r="A51" i="32"/>
  <c r="B51" i="32"/>
  <c r="A52" i="32"/>
  <c r="B52" i="32"/>
  <c r="A53" i="32"/>
  <c r="B53" i="32"/>
  <c r="A54" i="32"/>
  <c r="B54" i="32"/>
  <c r="A55" i="32"/>
  <c r="B55" i="32"/>
  <c r="A56" i="32"/>
  <c r="B56" i="32"/>
  <c r="A57" i="32"/>
  <c r="B57" i="32"/>
  <c r="A58" i="32"/>
  <c r="B58" i="32"/>
  <c r="A59" i="32"/>
  <c r="B59" i="32"/>
  <c r="A60" i="32"/>
  <c r="B60" i="32"/>
  <c r="A61" i="32"/>
  <c r="B61" i="32"/>
  <c r="A62" i="32"/>
  <c r="B62" i="32"/>
  <c r="A63" i="32"/>
  <c r="B63" i="32"/>
  <c r="A64" i="32"/>
  <c r="B64" i="32"/>
  <c r="A65" i="32"/>
  <c r="B65" i="32"/>
  <c r="A66" i="32"/>
  <c r="B66" i="32"/>
  <c r="A67" i="32"/>
  <c r="B67" i="32"/>
  <c r="A68" i="32"/>
  <c r="B68" i="32"/>
  <c r="A69" i="32"/>
  <c r="B69" i="32"/>
  <c r="A70" i="32"/>
  <c r="B70" i="32"/>
  <c r="A71" i="32"/>
  <c r="B71" i="32"/>
  <c r="A72" i="32"/>
  <c r="B72" i="32"/>
  <c r="A73" i="32"/>
  <c r="B73" i="32"/>
  <c r="A74" i="32"/>
  <c r="B74" i="32"/>
  <c r="A75" i="32"/>
  <c r="B75" i="32"/>
  <c r="A76" i="32"/>
  <c r="B76" i="32"/>
  <c r="A77" i="32"/>
  <c r="B77" i="32"/>
  <c r="A78" i="32"/>
  <c r="B78" i="32"/>
  <c r="A79" i="32"/>
  <c r="B79" i="32"/>
  <c r="A80" i="32"/>
  <c r="B80" i="32"/>
  <c r="A81" i="32"/>
  <c r="B81" i="32"/>
  <c r="A82" i="32"/>
  <c r="B82" i="32"/>
  <c r="A83" i="32"/>
  <c r="B83" i="32"/>
  <c r="A84" i="32"/>
  <c r="B84" i="32"/>
  <c r="A85" i="32"/>
  <c r="B85" i="32"/>
  <c r="A86" i="32"/>
  <c r="B86" i="32"/>
  <c r="A87" i="32"/>
  <c r="B87" i="32"/>
  <c r="A88" i="32"/>
  <c r="B88" i="32"/>
  <c r="A89" i="32"/>
  <c r="B89" i="32"/>
  <c r="A90" i="32"/>
  <c r="B90" i="32"/>
  <c r="A91" i="32"/>
  <c r="B91" i="32"/>
  <c r="A92" i="32"/>
  <c r="B92" i="32"/>
  <c r="A93" i="32"/>
  <c r="B93" i="32"/>
  <c r="A94" i="32"/>
  <c r="B94" i="32"/>
  <c r="A95" i="32"/>
  <c r="B95" i="32"/>
  <c r="A96" i="32"/>
  <c r="B96" i="32"/>
  <c r="A97" i="32"/>
  <c r="B97" i="32"/>
  <c r="A98" i="32"/>
  <c r="B98" i="32"/>
  <c r="A99" i="32"/>
  <c r="B99" i="32"/>
  <c r="A100" i="32"/>
  <c r="B100" i="32"/>
  <c r="A101" i="32"/>
  <c r="B101" i="32"/>
  <c r="A102" i="32"/>
  <c r="B102" i="32"/>
  <c r="A103" i="32"/>
  <c r="B103" i="32"/>
  <c r="A104" i="32"/>
  <c r="B104" i="32"/>
  <c r="A105" i="32"/>
  <c r="B105" i="32"/>
  <c r="A106" i="32"/>
  <c r="B106" i="32"/>
  <c r="A107" i="32"/>
  <c r="B107" i="32"/>
  <c r="A108" i="32"/>
  <c r="B108" i="32"/>
  <c r="A109" i="32"/>
  <c r="B109" i="32"/>
  <c r="A110" i="32"/>
  <c r="B110" i="32"/>
  <c r="A111" i="32"/>
  <c r="B111" i="32"/>
  <c r="A112" i="32"/>
  <c r="B112" i="32"/>
  <c r="A113" i="32"/>
  <c r="B113" i="32"/>
  <c r="A114" i="32"/>
  <c r="B114" i="32"/>
  <c r="A115" i="32"/>
  <c r="B115" i="32"/>
  <c r="A116" i="32"/>
  <c r="B116" i="32"/>
  <c r="A117" i="32"/>
  <c r="B117" i="32"/>
  <c r="A118" i="32"/>
  <c r="B118" i="32"/>
  <c r="A119" i="32"/>
  <c r="B119" i="32"/>
  <c r="A120" i="32"/>
  <c r="B120" i="32"/>
  <c r="A121" i="32"/>
  <c r="B121" i="32"/>
  <c r="A122" i="32"/>
  <c r="B122" i="32"/>
  <c r="A123" i="32"/>
  <c r="B123" i="32"/>
  <c r="A124" i="32"/>
  <c r="B124" i="32"/>
  <c r="A125" i="32"/>
  <c r="B125" i="32"/>
  <c r="A126" i="32"/>
  <c r="B126" i="32"/>
  <c r="A127" i="32"/>
  <c r="B127" i="32"/>
  <c r="A128" i="32"/>
  <c r="B128" i="32"/>
  <c r="A129" i="32"/>
  <c r="B129" i="32"/>
  <c r="A130" i="32"/>
  <c r="B130" i="32"/>
  <c r="A131" i="32"/>
  <c r="B131" i="32"/>
  <c r="A132" i="32"/>
  <c r="B132" i="32"/>
  <c r="A133" i="32"/>
  <c r="B133" i="32"/>
  <c r="A134" i="32"/>
  <c r="B134" i="32"/>
  <c r="A135" i="32"/>
  <c r="B135" i="32"/>
  <c r="A136" i="32"/>
  <c r="B136" i="32"/>
  <c r="A137" i="32"/>
  <c r="B137" i="32"/>
  <c r="A138" i="32"/>
  <c r="B138" i="32"/>
  <c r="A139" i="32"/>
  <c r="B139" i="32"/>
  <c r="A140" i="32"/>
  <c r="B140" i="32"/>
  <c r="A141" i="32"/>
  <c r="B141" i="32"/>
  <c r="A142" i="32"/>
  <c r="B142" i="32"/>
  <c r="A143" i="32"/>
  <c r="B143" i="32"/>
  <c r="A144" i="32"/>
  <c r="B144" i="32"/>
  <c r="A145" i="32"/>
  <c r="B145" i="32"/>
  <c r="A146" i="32"/>
  <c r="B146" i="32"/>
  <c r="A147" i="32"/>
  <c r="B147" i="32"/>
  <c r="A148" i="32"/>
  <c r="B148" i="32"/>
  <c r="A149" i="32"/>
  <c r="B149" i="32"/>
  <c r="A150" i="32"/>
  <c r="B150" i="32"/>
  <c r="A151" i="32"/>
  <c r="B151" i="32"/>
  <c r="A152" i="32"/>
  <c r="B152" i="32"/>
  <c r="A153" i="32"/>
  <c r="B153" i="32"/>
  <c r="A154" i="32"/>
  <c r="B154" i="32"/>
  <c r="A155" i="32"/>
  <c r="B155" i="32"/>
  <c r="A156" i="32"/>
  <c r="B156" i="32"/>
  <c r="A157" i="32"/>
  <c r="B157" i="32"/>
  <c r="A158" i="32"/>
  <c r="B158" i="32"/>
  <c r="A159" i="32"/>
  <c r="B159" i="32"/>
  <c r="A160" i="32"/>
  <c r="B160" i="32"/>
  <c r="A161" i="32"/>
  <c r="B161" i="32"/>
  <c r="A162" i="32"/>
  <c r="B162" i="32"/>
  <c r="A163" i="32"/>
  <c r="B163" i="32"/>
  <c r="A164" i="32"/>
  <c r="B164" i="32"/>
  <c r="A165" i="32"/>
  <c r="B165" i="32"/>
  <c r="A166" i="32"/>
  <c r="B166" i="32"/>
  <c r="A167" i="32"/>
  <c r="B167" i="32"/>
  <c r="A168" i="32"/>
  <c r="B168" i="32"/>
  <c r="A169" i="32"/>
  <c r="B169" i="32"/>
  <c r="A170" i="32"/>
  <c r="B170" i="32"/>
  <c r="A171" i="32"/>
  <c r="B171" i="32"/>
  <c r="A172" i="32"/>
  <c r="B172" i="32"/>
  <c r="A173" i="32"/>
  <c r="B173" i="32"/>
  <c r="A174" i="32"/>
  <c r="B174" i="32"/>
  <c r="A175" i="32"/>
  <c r="B175" i="32"/>
  <c r="A176" i="32"/>
  <c r="B176" i="32"/>
  <c r="A177" i="32"/>
  <c r="B177" i="32"/>
  <c r="A178" i="32"/>
  <c r="B178" i="32"/>
  <c r="A179" i="32"/>
  <c r="B179" i="32"/>
  <c r="A180" i="32"/>
  <c r="B180" i="32"/>
  <c r="A181" i="32"/>
  <c r="B181" i="32"/>
  <c r="A182" i="32"/>
  <c r="B182" i="32"/>
  <c r="A183" i="32"/>
  <c r="B183" i="32"/>
  <c r="A184" i="32"/>
  <c r="B184" i="32"/>
  <c r="A185" i="32"/>
  <c r="B185" i="32"/>
  <c r="A186" i="32"/>
  <c r="B186" i="32"/>
  <c r="A187" i="32"/>
  <c r="B187" i="32"/>
  <c r="A188" i="32"/>
  <c r="B188" i="32"/>
  <c r="A189" i="32"/>
  <c r="B189" i="32"/>
  <c r="A190" i="32"/>
  <c r="B190" i="32"/>
  <c r="A191" i="32"/>
  <c r="B191" i="32"/>
  <c r="A192" i="32"/>
  <c r="B192" i="32"/>
  <c r="A193" i="32"/>
  <c r="B193" i="32"/>
  <c r="A194" i="32"/>
  <c r="B194" i="32"/>
  <c r="A195" i="32"/>
  <c r="B195" i="32"/>
  <c r="A196" i="32"/>
  <c r="B196" i="32"/>
  <c r="A197" i="32"/>
  <c r="B197" i="32"/>
  <c r="A198" i="32"/>
  <c r="B198" i="32"/>
  <c r="A199" i="32"/>
  <c r="B199" i="32"/>
  <c r="A200" i="32"/>
  <c r="B200" i="32"/>
  <c r="A201" i="32"/>
  <c r="B201" i="32"/>
  <c r="A202" i="32"/>
  <c r="B202" i="32"/>
  <c r="A203" i="32"/>
  <c r="B203" i="32"/>
  <c r="A204" i="32"/>
  <c r="B204" i="32"/>
  <c r="A205" i="32"/>
  <c r="B205" i="32"/>
  <c r="A206" i="32"/>
  <c r="B206" i="32"/>
  <c r="A207" i="32"/>
  <c r="B207" i="32"/>
  <c r="A208" i="32"/>
  <c r="B208" i="32"/>
  <c r="A209" i="32"/>
  <c r="B209" i="32"/>
  <c r="A210" i="32"/>
  <c r="B210" i="32"/>
  <c r="A211" i="32"/>
  <c r="B211" i="32"/>
  <c r="A212" i="32"/>
  <c r="B212" i="32"/>
  <c r="A213" i="32"/>
  <c r="B213" i="32"/>
  <c r="A214" i="32"/>
  <c r="B214" i="32"/>
  <c r="A215" i="32"/>
  <c r="B215" i="32"/>
  <c r="A216" i="32"/>
  <c r="B216" i="32"/>
  <c r="A217" i="32"/>
  <c r="B217" i="32"/>
  <c r="A218" i="32"/>
  <c r="B218" i="32"/>
  <c r="A219" i="32"/>
  <c r="B219" i="32"/>
  <c r="A220" i="32"/>
  <c r="B220" i="32"/>
  <c r="A221" i="32"/>
  <c r="B221" i="32"/>
  <c r="A222" i="32"/>
  <c r="B222" i="32"/>
  <c r="A223" i="32"/>
  <c r="B223" i="32"/>
  <c r="A224" i="32"/>
  <c r="B224" i="32"/>
  <c r="A225" i="32"/>
  <c r="B225" i="32"/>
  <c r="A226" i="32"/>
  <c r="B226" i="32"/>
  <c r="A227" i="32"/>
  <c r="B227" i="32"/>
  <c r="A228" i="32"/>
  <c r="B228" i="32"/>
  <c r="A229" i="32"/>
  <c r="B229" i="32"/>
  <c r="A230" i="32"/>
  <c r="B230" i="32"/>
  <c r="A231" i="32"/>
  <c r="B231" i="32"/>
  <c r="A232" i="32"/>
  <c r="B232" i="32"/>
  <c r="A233" i="32"/>
  <c r="B233" i="32"/>
  <c r="A234" i="32"/>
  <c r="B234" i="32"/>
  <c r="A235" i="32"/>
  <c r="B235" i="32"/>
  <c r="A236" i="32"/>
  <c r="B236" i="32"/>
  <c r="A237" i="32"/>
  <c r="B237" i="32"/>
  <c r="A238" i="32"/>
  <c r="B238" i="32"/>
  <c r="A239" i="32"/>
  <c r="B239" i="32"/>
  <c r="A240" i="32"/>
  <c r="B240" i="32"/>
  <c r="A241" i="32"/>
  <c r="B241" i="32"/>
  <c r="A242" i="32"/>
  <c r="B242" i="32"/>
  <c r="A243" i="32"/>
  <c r="B243" i="32"/>
  <c r="A244" i="32"/>
  <c r="B244" i="32"/>
  <c r="A245" i="32"/>
  <c r="B245" i="32"/>
  <c r="A246" i="32"/>
  <c r="B246" i="32"/>
  <c r="A247" i="32"/>
  <c r="B247" i="32"/>
  <c r="A248" i="32"/>
  <c r="B248" i="32"/>
  <c r="A249" i="32"/>
  <c r="B249" i="32"/>
  <c r="A250" i="32"/>
  <c r="B250" i="32"/>
  <c r="A251" i="32"/>
  <c r="B251" i="32"/>
  <c r="A252" i="32"/>
  <c r="B252" i="32"/>
  <c r="A253" i="32"/>
  <c r="B253" i="32"/>
  <c r="A254" i="32"/>
  <c r="B254" i="32"/>
  <c r="A255" i="32"/>
  <c r="B255" i="32"/>
  <c r="A256" i="32"/>
  <c r="B256" i="32"/>
  <c r="A257" i="32"/>
  <c r="B257" i="32"/>
  <c r="A258" i="32"/>
  <c r="B258" i="32"/>
  <c r="A259" i="32"/>
  <c r="B259" i="32"/>
  <c r="A260" i="32"/>
  <c r="B260" i="32"/>
  <c r="A261" i="32"/>
  <c r="B261" i="32"/>
  <c r="A262" i="32"/>
  <c r="B262" i="32"/>
  <c r="A263" i="32"/>
  <c r="B263" i="32"/>
  <c r="A264" i="32"/>
  <c r="B264" i="32"/>
  <c r="A265" i="32"/>
  <c r="B265" i="32"/>
  <c r="A266" i="32"/>
  <c r="B266" i="32"/>
  <c r="A267" i="32"/>
  <c r="B267" i="32"/>
  <c r="A268" i="32"/>
  <c r="B268" i="32"/>
  <c r="A269" i="32"/>
  <c r="B269" i="32"/>
  <c r="A270" i="32"/>
  <c r="B270" i="32"/>
  <c r="A271" i="32"/>
  <c r="B271" i="32"/>
  <c r="A272" i="32"/>
  <c r="B272" i="32"/>
  <c r="A273" i="32"/>
  <c r="B273" i="32"/>
  <c r="A274" i="32"/>
  <c r="B274" i="32"/>
  <c r="A275" i="32"/>
  <c r="B275" i="32"/>
  <c r="A276" i="32"/>
  <c r="B276" i="32"/>
  <c r="A277" i="32"/>
  <c r="B277" i="32"/>
  <c r="A278" i="32"/>
  <c r="B278" i="32"/>
  <c r="A279" i="32"/>
  <c r="B279" i="32"/>
  <c r="A280" i="32"/>
  <c r="B280" i="32"/>
  <c r="A281" i="32"/>
  <c r="B281" i="32"/>
  <c r="A282" i="32"/>
  <c r="B282" i="32"/>
  <c r="A283" i="32"/>
  <c r="B283" i="32"/>
  <c r="A284" i="32"/>
  <c r="B284" i="32"/>
  <c r="A285" i="32"/>
  <c r="B285" i="32"/>
  <c r="A286" i="32"/>
  <c r="B286" i="32"/>
  <c r="A287" i="32"/>
  <c r="B287" i="32"/>
  <c r="A288" i="32"/>
  <c r="B288" i="32"/>
  <c r="A289" i="32"/>
  <c r="B289" i="32"/>
  <c r="A290" i="32"/>
  <c r="B290" i="32"/>
  <c r="A291" i="32"/>
  <c r="B291" i="32"/>
  <c r="A292" i="32"/>
  <c r="B292" i="32"/>
  <c r="A293" i="32"/>
  <c r="B293" i="32"/>
  <c r="A294" i="32"/>
  <c r="B294" i="32"/>
  <c r="A295" i="32"/>
  <c r="B295" i="32"/>
  <c r="A296" i="32"/>
  <c r="B296" i="32"/>
  <c r="A297" i="32"/>
  <c r="B297" i="32"/>
  <c r="A298" i="32"/>
  <c r="B298" i="32"/>
  <c r="A299" i="32"/>
  <c r="B299" i="32"/>
  <c r="A300" i="32"/>
  <c r="B300" i="32"/>
  <c r="A301" i="32"/>
  <c r="B301" i="32"/>
  <c r="A302" i="32"/>
  <c r="B302" i="32"/>
  <c r="A303" i="32"/>
  <c r="B303" i="32"/>
  <c r="A304" i="32"/>
  <c r="B304" i="32"/>
  <c r="A305" i="32"/>
  <c r="B305" i="32"/>
  <c r="A306" i="32"/>
  <c r="B306" i="32"/>
  <c r="A307" i="32"/>
  <c r="B307" i="32"/>
  <c r="A308" i="32"/>
  <c r="B308" i="32"/>
  <c r="A309" i="32"/>
  <c r="B309" i="32"/>
  <c r="A310" i="32"/>
  <c r="B310" i="32"/>
  <c r="A311" i="32"/>
  <c r="B311" i="32"/>
  <c r="A312" i="32"/>
  <c r="B312" i="32"/>
  <c r="A313" i="32"/>
  <c r="B313" i="32"/>
  <c r="I6" i="11" l="1"/>
  <c r="H245" i="13" l="1"/>
  <c r="K245" i="13" s="1"/>
  <c r="H7" i="13" l="1"/>
  <c r="H8" i="13"/>
  <c r="K8" i="13" s="1"/>
  <c r="H9" i="13"/>
  <c r="K9" i="13" s="1"/>
  <c r="H10" i="13"/>
  <c r="K10" i="13" s="1"/>
  <c r="H11" i="13"/>
  <c r="K11" i="13" s="1"/>
  <c r="H12" i="13"/>
  <c r="K12" i="13" s="1"/>
  <c r="H13" i="13"/>
  <c r="K13" i="13" s="1"/>
  <c r="H14" i="13"/>
  <c r="K14" i="13" s="1"/>
  <c r="H15" i="13"/>
  <c r="K15" i="13" s="1"/>
  <c r="H16" i="13"/>
  <c r="K16" i="13" s="1"/>
  <c r="H17" i="13"/>
  <c r="K17" i="13" s="1"/>
  <c r="H18" i="13"/>
  <c r="K18" i="13" s="1"/>
  <c r="H19" i="13"/>
  <c r="K19" i="13" s="1"/>
  <c r="H20" i="13"/>
  <c r="K20" i="13" s="1"/>
  <c r="H21" i="13"/>
  <c r="K21" i="13" s="1"/>
  <c r="H22" i="13"/>
  <c r="K22" i="13" s="1"/>
  <c r="H23" i="13"/>
  <c r="K23" i="13" s="1"/>
  <c r="H24" i="13"/>
  <c r="K24" i="13" s="1"/>
  <c r="H25" i="13"/>
  <c r="K25" i="13" s="1"/>
  <c r="H26" i="13"/>
  <c r="K26" i="13" s="1"/>
  <c r="H27" i="13"/>
  <c r="K27" i="13" s="1"/>
  <c r="H28" i="13"/>
  <c r="K28" i="13" s="1"/>
  <c r="H29" i="13"/>
  <c r="K29" i="13" s="1"/>
  <c r="H30" i="13"/>
  <c r="K30" i="13" s="1"/>
  <c r="H31" i="13"/>
  <c r="K31" i="13" s="1"/>
  <c r="H32" i="13"/>
  <c r="K32" i="13" s="1"/>
  <c r="H33" i="13"/>
  <c r="K33" i="13" s="1"/>
  <c r="H34" i="13"/>
  <c r="K34" i="13" s="1"/>
  <c r="H35" i="13"/>
  <c r="K35" i="13" s="1"/>
  <c r="H36" i="13"/>
  <c r="K36" i="13" s="1"/>
  <c r="H37" i="13"/>
  <c r="K37" i="13" s="1"/>
  <c r="H38" i="13"/>
  <c r="K38" i="13" s="1"/>
  <c r="H39" i="13"/>
  <c r="K39" i="13" s="1"/>
  <c r="H40" i="13"/>
  <c r="K40" i="13" s="1"/>
  <c r="H41" i="13"/>
  <c r="K41" i="13" s="1"/>
  <c r="H42" i="13"/>
  <c r="K42" i="13" s="1"/>
  <c r="H43" i="13"/>
  <c r="K43" i="13" s="1"/>
  <c r="H44" i="13"/>
  <c r="K44" i="13" s="1"/>
  <c r="H45" i="13"/>
  <c r="K45" i="13" s="1"/>
  <c r="H46" i="13"/>
  <c r="K46" i="13" s="1"/>
  <c r="H47" i="13"/>
  <c r="K47" i="13" s="1"/>
  <c r="H48" i="13"/>
  <c r="K48" i="13" s="1"/>
  <c r="H49" i="13"/>
  <c r="K49" i="13" s="1"/>
  <c r="H50" i="13"/>
  <c r="K50" i="13" s="1"/>
  <c r="H51" i="13"/>
  <c r="K51" i="13" s="1"/>
  <c r="H52" i="13"/>
  <c r="K52" i="13" s="1"/>
  <c r="H53" i="13"/>
  <c r="K53" i="13" s="1"/>
  <c r="H54" i="13"/>
  <c r="K54" i="13" s="1"/>
  <c r="H55" i="13"/>
  <c r="K55" i="13" s="1"/>
  <c r="H56" i="13"/>
  <c r="K56" i="13" s="1"/>
  <c r="H57" i="13"/>
  <c r="K57" i="13" s="1"/>
  <c r="H58" i="13"/>
  <c r="K58" i="13" s="1"/>
  <c r="H59" i="13"/>
  <c r="K59" i="13" s="1"/>
  <c r="H60" i="13"/>
  <c r="K60" i="13" s="1"/>
  <c r="H61" i="13"/>
  <c r="K61" i="13" s="1"/>
  <c r="H62" i="13"/>
  <c r="K62" i="13" s="1"/>
  <c r="H63" i="13"/>
  <c r="K63" i="13" s="1"/>
  <c r="H64" i="13"/>
  <c r="K64" i="13" s="1"/>
  <c r="H65" i="13"/>
  <c r="K65" i="13" s="1"/>
  <c r="H66" i="13"/>
  <c r="K66" i="13" s="1"/>
  <c r="H67" i="13"/>
  <c r="K67" i="13" s="1"/>
  <c r="H68" i="13"/>
  <c r="K68" i="13" s="1"/>
  <c r="H69" i="13"/>
  <c r="K69" i="13" s="1"/>
  <c r="H70" i="13"/>
  <c r="K70" i="13" s="1"/>
  <c r="H71" i="13"/>
  <c r="K71" i="13" s="1"/>
  <c r="H72" i="13"/>
  <c r="K72" i="13" s="1"/>
  <c r="H73" i="13"/>
  <c r="K73" i="13" s="1"/>
  <c r="H74" i="13"/>
  <c r="K74" i="13" s="1"/>
  <c r="H75" i="13"/>
  <c r="K75" i="13" s="1"/>
  <c r="H76" i="13"/>
  <c r="K76" i="13" s="1"/>
  <c r="H77" i="13"/>
  <c r="K77" i="13" s="1"/>
  <c r="H78" i="13"/>
  <c r="K78" i="13" s="1"/>
  <c r="H79" i="13"/>
  <c r="K79" i="13" s="1"/>
  <c r="H80" i="13"/>
  <c r="K80" i="13" s="1"/>
  <c r="H81" i="13"/>
  <c r="K81" i="13" s="1"/>
  <c r="H82" i="13"/>
  <c r="K82" i="13" s="1"/>
  <c r="H83" i="13"/>
  <c r="K83" i="13" s="1"/>
  <c r="H84" i="13"/>
  <c r="K84" i="13" s="1"/>
  <c r="H85" i="13"/>
  <c r="K85" i="13" s="1"/>
  <c r="H86" i="13"/>
  <c r="K86" i="13" s="1"/>
  <c r="H87" i="13"/>
  <c r="K87" i="13" s="1"/>
  <c r="H88" i="13"/>
  <c r="K88" i="13" s="1"/>
  <c r="H89" i="13"/>
  <c r="K89" i="13" s="1"/>
  <c r="H90" i="13"/>
  <c r="K90" i="13" s="1"/>
  <c r="H91" i="13"/>
  <c r="K91" i="13" s="1"/>
  <c r="H92" i="13"/>
  <c r="K92" i="13" s="1"/>
  <c r="H93" i="13"/>
  <c r="K93" i="13" s="1"/>
  <c r="H94" i="13"/>
  <c r="K94" i="13" s="1"/>
  <c r="H95" i="13"/>
  <c r="K95" i="13" s="1"/>
  <c r="H96" i="13"/>
  <c r="K96" i="13" s="1"/>
  <c r="H97" i="13"/>
  <c r="K97" i="13" s="1"/>
  <c r="H98" i="13"/>
  <c r="K98" i="13" s="1"/>
  <c r="H99" i="13"/>
  <c r="K99" i="13" s="1"/>
  <c r="H100" i="13"/>
  <c r="K100" i="13" s="1"/>
  <c r="H101" i="13"/>
  <c r="K101" i="13" s="1"/>
  <c r="H102" i="13"/>
  <c r="K102" i="13" s="1"/>
  <c r="H103" i="13"/>
  <c r="K103" i="13" s="1"/>
  <c r="H104" i="13"/>
  <c r="K104" i="13" s="1"/>
  <c r="H105" i="13"/>
  <c r="K105" i="13" s="1"/>
  <c r="H106" i="13"/>
  <c r="K106" i="13" s="1"/>
  <c r="H107" i="13"/>
  <c r="K107" i="13" s="1"/>
  <c r="H108" i="13"/>
  <c r="K108" i="13" s="1"/>
  <c r="H109" i="13"/>
  <c r="K109" i="13" s="1"/>
  <c r="H110" i="13"/>
  <c r="K110" i="13" s="1"/>
  <c r="H111" i="13"/>
  <c r="K111" i="13" s="1"/>
  <c r="H112" i="13"/>
  <c r="K112" i="13" s="1"/>
  <c r="H113" i="13"/>
  <c r="K113" i="13" s="1"/>
  <c r="H114" i="13"/>
  <c r="K114" i="13" s="1"/>
  <c r="H115" i="13"/>
  <c r="K115" i="13" s="1"/>
  <c r="H116" i="13"/>
  <c r="K116" i="13" s="1"/>
  <c r="H117" i="13"/>
  <c r="K117" i="13" s="1"/>
  <c r="H118" i="13"/>
  <c r="K118" i="13" s="1"/>
  <c r="H119" i="13"/>
  <c r="K119" i="13" s="1"/>
  <c r="H120" i="13"/>
  <c r="K120" i="13" s="1"/>
  <c r="H121" i="13"/>
  <c r="K121" i="13" s="1"/>
  <c r="H122" i="13"/>
  <c r="K122" i="13" s="1"/>
  <c r="H123" i="13"/>
  <c r="K123" i="13" s="1"/>
  <c r="H124" i="13"/>
  <c r="K124" i="13" s="1"/>
  <c r="H125" i="13"/>
  <c r="K125" i="13" s="1"/>
  <c r="H126" i="13"/>
  <c r="K126" i="13" s="1"/>
  <c r="H127" i="13"/>
  <c r="K127" i="13" s="1"/>
  <c r="H128" i="13"/>
  <c r="K128" i="13" s="1"/>
  <c r="H129" i="13"/>
  <c r="K129" i="13" s="1"/>
  <c r="H130" i="13"/>
  <c r="K130" i="13" s="1"/>
  <c r="H131" i="13"/>
  <c r="K131" i="13" s="1"/>
  <c r="H132" i="13"/>
  <c r="K132" i="13" s="1"/>
  <c r="H133" i="13"/>
  <c r="K133" i="13" s="1"/>
  <c r="H134" i="13"/>
  <c r="K134" i="13" s="1"/>
  <c r="H135" i="13"/>
  <c r="K135" i="13" s="1"/>
  <c r="H136" i="13"/>
  <c r="K136" i="13" s="1"/>
  <c r="H137" i="13"/>
  <c r="K137" i="13" s="1"/>
  <c r="H138" i="13"/>
  <c r="K138" i="13" s="1"/>
  <c r="H139" i="13"/>
  <c r="K139" i="13" s="1"/>
  <c r="H140" i="13"/>
  <c r="K140" i="13" s="1"/>
  <c r="H141" i="13"/>
  <c r="K141" i="13" s="1"/>
  <c r="H142" i="13"/>
  <c r="K142" i="13" s="1"/>
  <c r="H143" i="13"/>
  <c r="K143" i="13" s="1"/>
  <c r="H144" i="13"/>
  <c r="K144" i="13" s="1"/>
  <c r="H145" i="13"/>
  <c r="K145" i="13" s="1"/>
  <c r="H146" i="13"/>
  <c r="K146" i="13" s="1"/>
  <c r="H147" i="13"/>
  <c r="K147" i="13" s="1"/>
  <c r="H148" i="13"/>
  <c r="K148" i="13" s="1"/>
  <c r="H149" i="13"/>
  <c r="K149" i="13" s="1"/>
  <c r="H150" i="13"/>
  <c r="K150" i="13" s="1"/>
  <c r="H151" i="13"/>
  <c r="K151" i="13" s="1"/>
  <c r="H152" i="13"/>
  <c r="K152" i="13" s="1"/>
  <c r="H153" i="13"/>
  <c r="K153" i="13" s="1"/>
  <c r="H154" i="13"/>
  <c r="K154" i="13" s="1"/>
  <c r="H155" i="13"/>
  <c r="K155" i="13" s="1"/>
  <c r="H156" i="13"/>
  <c r="K156" i="13" s="1"/>
  <c r="H157" i="13"/>
  <c r="K157" i="13" s="1"/>
  <c r="H158" i="13"/>
  <c r="K158" i="13" s="1"/>
  <c r="H159" i="13"/>
  <c r="K159" i="13" s="1"/>
  <c r="H160" i="13"/>
  <c r="K160" i="13" s="1"/>
  <c r="H161" i="13"/>
  <c r="K161" i="13" s="1"/>
  <c r="H162" i="13"/>
  <c r="K162" i="13" s="1"/>
  <c r="H163" i="13"/>
  <c r="K163" i="13" s="1"/>
  <c r="H164" i="13"/>
  <c r="K164" i="13" s="1"/>
  <c r="H165" i="13"/>
  <c r="K165" i="13" s="1"/>
  <c r="H166" i="13"/>
  <c r="K166" i="13" s="1"/>
  <c r="H167" i="13"/>
  <c r="K167" i="13" s="1"/>
  <c r="H168" i="13"/>
  <c r="K168" i="13" s="1"/>
  <c r="H169" i="13"/>
  <c r="K169" i="13" s="1"/>
  <c r="H170" i="13"/>
  <c r="K170" i="13" s="1"/>
  <c r="H171" i="13"/>
  <c r="K171" i="13" s="1"/>
  <c r="H172" i="13"/>
  <c r="K172" i="13" s="1"/>
  <c r="H173" i="13"/>
  <c r="K173" i="13" s="1"/>
  <c r="H174" i="13"/>
  <c r="K174" i="13" s="1"/>
  <c r="H175" i="13"/>
  <c r="K175" i="13" s="1"/>
  <c r="H176" i="13"/>
  <c r="K176" i="13" s="1"/>
  <c r="H177" i="13"/>
  <c r="K177" i="13" s="1"/>
  <c r="H178" i="13"/>
  <c r="K178" i="13" s="1"/>
  <c r="H179" i="13"/>
  <c r="K179" i="13" s="1"/>
  <c r="H180" i="13"/>
  <c r="K180" i="13" s="1"/>
  <c r="H181" i="13"/>
  <c r="K181" i="13" s="1"/>
  <c r="H182" i="13"/>
  <c r="K182" i="13" s="1"/>
  <c r="H183" i="13"/>
  <c r="K183" i="13" s="1"/>
  <c r="H184" i="13"/>
  <c r="K184" i="13" s="1"/>
  <c r="H185" i="13"/>
  <c r="K185" i="13" s="1"/>
  <c r="H186" i="13"/>
  <c r="K186" i="13" s="1"/>
  <c r="H187" i="13"/>
  <c r="K187" i="13" s="1"/>
  <c r="H188" i="13"/>
  <c r="K188" i="13" s="1"/>
  <c r="H189" i="13"/>
  <c r="K189" i="13" s="1"/>
  <c r="H190" i="13"/>
  <c r="K190" i="13" s="1"/>
  <c r="H191" i="13"/>
  <c r="K191" i="13" s="1"/>
  <c r="H192" i="13"/>
  <c r="K192" i="13" s="1"/>
  <c r="H193" i="13"/>
  <c r="K193" i="13" s="1"/>
  <c r="H194" i="13"/>
  <c r="K194" i="13" s="1"/>
  <c r="H195" i="13"/>
  <c r="K195" i="13" s="1"/>
  <c r="H196" i="13"/>
  <c r="K196" i="13" s="1"/>
  <c r="H197" i="13"/>
  <c r="K197" i="13" s="1"/>
  <c r="H198" i="13"/>
  <c r="K198" i="13" s="1"/>
  <c r="H199" i="13"/>
  <c r="K199" i="13" s="1"/>
  <c r="H200" i="13"/>
  <c r="K200" i="13" s="1"/>
  <c r="H201" i="13"/>
  <c r="K201" i="13" s="1"/>
  <c r="H202" i="13"/>
  <c r="K202" i="13" s="1"/>
  <c r="H203" i="13"/>
  <c r="K203" i="13" s="1"/>
  <c r="H204" i="13"/>
  <c r="K204" i="13" s="1"/>
  <c r="H205" i="13"/>
  <c r="K205" i="13" s="1"/>
  <c r="H206" i="13"/>
  <c r="K206" i="13" s="1"/>
  <c r="H207" i="13"/>
  <c r="K207" i="13" s="1"/>
  <c r="H208" i="13"/>
  <c r="K208" i="13" s="1"/>
  <c r="H209" i="13"/>
  <c r="K209" i="13" s="1"/>
  <c r="H210" i="13"/>
  <c r="K210" i="13" s="1"/>
  <c r="H211" i="13"/>
  <c r="K211" i="13" s="1"/>
  <c r="H212" i="13"/>
  <c r="K212" i="13" s="1"/>
  <c r="H213" i="13"/>
  <c r="K213" i="13" s="1"/>
  <c r="H214" i="13"/>
  <c r="K214" i="13" s="1"/>
  <c r="H215" i="13"/>
  <c r="K215" i="13" s="1"/>
  <c r="H216" i="13"/>
  <c r="K216" i="13" s="1"/>
  <c r="H217" i="13"/>
  <c r="K217" i="13" s="1"/>
  <c r="H218" i="13"/>
  <c r="K218" i="13" s="1"/>
  <c r="H219" i="13"/>
  <c r="K219" i="13" s="1"/>
  <c r="H220" i="13"/>
  <c r="K220" i="13" s="1"/>
  <c r="H221" i="13"/>
  <c r="K221" i="13" s="1"/>
  <c r="H222" i="13"/>
  <c r="K222" i="13" s="1"/>
  <c r="H223" i="13"/>
  <c r="K223" i="13" s="1"/>
  <c r="H224" i="13"/>
  <c r="K224" i="13" s="1"/>
  <c r="H225" i="13"/>
  <c r="K225" i="13" s="1"/>
  <c r="H226" i="13"/>
  <c r="K226" i="13" s="1"/>
  <c r="H227" i="13"/>
  <c r="K227" i="13" s="1"/>
  <c r="H228" i="13"/>
  <c r="K228" i="13" s="1"/>
  <c r="H229" i="13"/>
  <c r="K229" i="13" s="1"/>
  <c r="H230" i="13"/>
  <c r="K230" i="13" s="1"/>
  <c r="H231" i="13"/>
  <c r="K231" i="13" s="1"/>
  <c r="H232" i="13"/>
  <c r="K232" i="13" s="1"/>
  <c r="H233" i="13"/>
  <c r="K233" i="13" s="1"/>
  <c r="H234" i="13"/>
  <c r="K234" i="13" s="1"/>
  <c r="H235" i="13"/>
  <c r="K235" i="13" s="1"/>
  <c r="H236" i="13"/>
  <c r="K236" i="13" s="1"/>
  <c r="H237" i="13"/>
  <c r="K237" i="13" s="1"/>
  <c r="H238" i="13"/>
  <c r="K238" i="13" s="1"/>
  <c r="H239" i="13"/>
  <c r="K239" i="13" s="1"/>
  <c r="H240" i="13"/>
  <c r="K240" i="13" s="1"/>
  <c r="H241" i="13"/>
  <c r="K241" i="13" s="1"/>
  <c r="H242" i="13"/>
  <c r="K242" i="13" s="1"/>
  <c r="H243" i="13"/>
  <c r="K243" i="13" s="1"/>
  <c r="H244" i="13"/>
  <c r="K244" i="13" s="1"/>
  <c r="H246" i="13"/>
  <c r="K246" i="13" s="1"/>
  <c r="H247" i="13"/>
  <c r="K247" i="13" s="1"/>
  <c r="H248" i="13"/>
  <c r="K248" i="13" s="1"/>
  <c r="H249" i="13"/>
  <c r="K249" i="13" s="1"/>
  <c r="H250" i="13"/>
  <c r="K250" i="13" s="1"/>
  <c r="H251" i="13"/>
  <c r="K251" i="13" s="1"/>
  <c r="H252" i="13"/>
  <c r="K252" i="13" s="1"/>
  <c r="H253" i="13"/>
  <c r="K253" i="13" s="1"/>
  <c r="H254" i="13"/>
  <c r="K254" i="13" s="1"/>
  <c r="H255" i="13"/>
  <c r="K255" i="13" s="1"/>
  <c r="H256" i="13"/>
  <c r="K256" i="13" s="1"/>
  <c r="H257" i="13"/>
  <c r="K257" i="13" s="1"/>
  <c r="H258" i="13"/>
  <c r="K258" i="13" s="1"/>
  <c r="H259" i="13"/>
  <c r="K259" i="13" s="1"/>
  <c r="H260" i="13"/>
  <c r="K260" i="13" s="1"/>
  <c r="H261" i="13"/>
  <c r="K261" i="13" s="1"/>
  <c r="H262" i="13"/>
  <c r="K262" i="13" s="1"/>
  <c r="H263" i="13"/>
  <c r="K263" i="13" s="1"/>
  <c r="H264" i="13"/>
  <c r="K264" i="13" s="1"/>
  <c r="H265" i="13"/>
  <c r="K265" i="13" s="1"/>
  <c r="H266" i="13"/>
  <c r="K266" i="13" s="1"/>
  <c r="H267" i="13"/>
  <c r="K267" i="13" s="1"/>
  <c r="H268" i="13"/>
  <c r="K268" i="13" s="1"/>
  <c r="H269" i="13"/>
  <c r="K269" i="13" s="1"/>
  <c r="H270" i="13"/>
  <c r="K270" i="13" s="1"/>
  <c r="H271" i="13"/>
  <c r="K271" i="13" s="1"/>
  <c r="H272" i="13"/>
  <c r="K272" i="13" s="1"/>
  <c r="H273" i="13"/>
  <c r="K273" i="13" s="1"/>
  <c r="H274" i="13"/>
  <c r="K274" i="13" s="1"/>
  <c r="H275" i="13"/>
  <c r="K275" i="13" s="1"/>
  <c r="H276" i="13"/>
  <c r="K276" i="13" s="1"/>
  <c r="H277" i="13"/>
  <c r="K277" i="13" s="1"/>
  <c r="H278" i="13"/>
  <c r="K278" i="13" s="1"/>
  <c r="H279" i="13"/>
  <c r="K279" i="13" s="1"/>
  <c r="H280" i="13"/>
  <c r="K280" i="13" s="1"/>
  <c r="H281" i="13"/>
  <c r="K281" i="13" s="1"/>
  <c r="H282" i="13"/>
  <c r="K282" i="13" s="1"/>
  <c r="H283" i="13"/>
  <c r="K283" i="13" s="1"/>
  <c r="H284" i="13"/>
  <c r="K284" i="13" s="1"/>
  <c r="H285" i="13"/>
  <c r="K285" i="13" s="1"/>
  <c r="H286" i="13"/>
  <c r="K286" i="13" s="1"/>
  <c r="H287" i="13"/>
  <c r="K287" i="13" s="1"/>
  <c r="H288" i="13"/>
  <c r="K288" i="13" s="1"/>
  <c r="H289" i="13"/>
  <c r="K289" i="13" s="1"/>
  <c r="H290" i="13"/>
  <c r="K290" i="13" s="1"/>
  <c r="H291" i="13"/>
  <c r="K291" i="13" s="1"/>
  <c r="H292" i="13"/>
  <c r="K292" i="13" s="1"/>
  <c r="H293" i="13"/>
  <c r="K293" i="13" s="1"/>
  <c r="H294" i="13"/>
  <c r="K294" i="13" s="1"/>
  <c r="H295" i="13"/>
  <c r="K295" i="13" s="1"/>
  <c r="H296" i="13"/>
  <c r="K296" i="13" s="1"/>
  <c r="H297" i="13"/>
  <c r="K297" i="13" s="1"/>
  <c r="H298" i="13"/>
  <c r="K298" i="13" s="1"/>
  <c r="H299" i="13"/>
  <c r="K299" i="13" s="1"/>
  <c r="H300" i="13"/>
  <c r="K300" i="13" s="1"/>
  <c r="H301" i="13"/>
  <c r="K301" i="13" s="1"/>
  <c r="H302" i="13"/>
  <c r="K302" i="13" s="1"/>
  <c r="H303" i="13"/>
  <c r="K303" i="13" s="1"/>
  <c r="H304" i="13"/>
  <c r="K304" i="13" s="1"/>
  <c r="H305" i="13"/>
  <c r="K305" i="13" s="1"/>
  <c r="H306" i="13"/>
  <c r="K306" i="13" s="1"/>
  <c r="H307" i="13"/>
  <c r="K307" i="13" s="1"/>
  <c r="H308" i="13"/>
  <c r="K308" i="13" s="1"/>
  <c r="H309" i="13"/>
  <c r="K309" i="13" s="1"/>
  <c r="H310" i="13"/>
  <c r="K310" i="13" s="1"/>
  <c r="H311" i="13"/>
  <c r="K311" i="13" s="1"/>
  <c r="H312" i="13"/>
  <c r="K312" i="13" s="1"/>
  <c r="H313" i="13"/>
  <c r="K313" i="13" s="1"/>
  <c r="H314" i="13"/>
  <c r="K314" i="13" s="1"/>
  <c r="C8" i="19" l="1"/>
  <c r="D8" i="19"/>
  <c r="E8" i="19"/>
  <c r="F8" i="19"/>
  <c r="H8" i="19"/>
  <c r="I8" i="19"/>
  <c r="J8" i="19"/>
  <c r="K8" i="19"/>
  <c r="L8" i="19"/>
  <c r="M8" i="19"/>
  <c r="N8" i="19"/>
  <c r="P8" i="19"/>
  <c r="Q8" i="19"/>
  <c r="S8" i="19"/>
  <c r="V8" i="19"/>
  <c r="W8" i="19"/>
  <c r="X8" i="19"/>
  <c r="Z8" i="19"/>
  <c r="D7" i="32" s="1"/>
  <c r="AA8" i="19"/>
  <c r="D7" i="33" s="1"/>
  <c r="C9" i="19"/>
  <c r="D9" i="19"/>
  <c r="E9" i="19"/>
  <c r="F9" i="19"/>
  <c r="H9" i="19"/>
  <c r="I9" i="19"/>
  <c r="J9" i="19"/>
  <c r="K9" i="19"/>
  <c r="L9" i="19"/>
  <c r="M9" i="19"/>
  <c r="N9" i="19"/>
  <c r="P9" i="19"/>
  <c r="Q9" i="19"/>
  <c r="S9" i="19"/>
  <c r="V9" i="19"/>
  <c r="W9" i="19"/>
  <c r="X9" i="19"/>
  <c r="Z9" i="19"/>
  <c r="D8" i="32" s="1"/>
  <c r="AA9" i="19"/>
  <c r="D8" i="33" s="1"/>
  <c r="C10" i="19"/>
  <c r="D10" i="19"/>
  <c r="E10" i="19"/>
  <c r="F10" i="19"/>
  <c r="H10" i="19"/>
  <c r="I10" i="19"/>
  <c r="J10" i="19"/>
  <c r="K10" i="19"/>
  <c r="L10" i="19"/>
  <c r="M10" i="19"/>
  <c r="N10" i="19"/>
  <c r="P10" i="19"/>
  <c r="Q10" i="19"/>
  <c r="S10" i="19"/>
  <c r="V10" i="19"/>
  <c r="W10" i="19"/>
  <c r="X10" i="19"/>
  <c r="Z10" i="19"/>
  <c r="D9" i="32" s="1"/>
  <c r="AA10" i="19"/>
  <c r="D9" i="33" s="1"/>
  <c r="C11" i="19"/>
  <c r="D11" i="19"/>
  <c r="E11" i="19"/>
  <c r="F11" i="19"/>
  <c r="H11" i="19"/>
  <c r="I11" i="19"/>
  <c r="J11" i="19"/>
  <c r="K11" i="19"/>
  <c r="L11" i="19"/>
  <c r="M11" i="19"/>
  <c r="N11" i="19"/>
  <c r="P11" i="19"/>
  <c r="Q11" i="19"/>
  <c r="S11" i="19"/>
  <c r="V11" i="19"/>
  <c r="W11" i="19"/>
  <c r="X11" i="19"/>
  <c r="Z11" i="19"/>
  <c r="D10" i="32" s="1"/>
  <c r="AA11" i="19"/>
  <c r="D10" i="33" s="1"/>
  <c r="C12" i="19"/>
  <c r="D12" i="19"/>
  <c r="E12" i="19"/>
  <c r="F12" i="19"/>
  <c r="H12" i="19"/>
  <c r="I12" i="19"/>
  <c r="J12" i="19"/>
  <c r="K12" i="19"/>
  <c r="L12" i="19"/>
  <c r="M12" i="19"/>
  <c r="N12" i="19"/>
  <c r="P12" i="19"/>
  <c r="Q12" i="19"/>
  <c r="S12" i="19"/>
  <c r="V12" i="19"/>
  <c r="W12" i="19"/>
  <c r="X12" i="19"/>
  <c r="Z12" i="19"/>
  <c r="D11" i="32" s="1"/>
  <c r="AA12" i="19"/>
  <c r="D11" i="33" s="1"/>
  <c r="C13" i="19"/>
  <c r="D13" i="19"/>
  <c r="E13" i="19"/>
  <c r="F13" i="19"/>
  <c r="H13" i="19"/>
  <c r="I13" i="19"/>
  <c r="J13" i="19"/>
  <c r="K13" i="19"/>
  <c r="L13" i="19"/>
  <c r="M13" i="19"/>
  <c r="N13" i="19"/>
  <c r="P13" i="19"/>
  <c r="Q13" i="19"/>
  <c r="S13" i="19"/>
  <c r="V13" i="19"/>
  <c r="W13" i="19"/>
  <c r="X13" i="19"/>
  <c r="Z13" i="19"/>
  <c r="D12" i="32" s="1"/>
  <c r="AA13" i="19"/>
  <c r="D12" i="33" s="1"/>
  <c r="C14" i="19"/>
  <c r="D14" i="19"/>
  <c r="E14" i="19"/>
  <c r="F14" i="19"/>
  <c r="H14" i="19"/>
  <c r="I14" i="19"/>
  <c r="J14" i="19"/>
  <c r="K14" i="19"/>
  <c r="L14" i="19"/>
  <c r="M14" i="19"/>
  <c r="N14" i="19"/>
  <c r="P14" i="19"/>
  <c r="Q14" i="19"/>
  <c r="S14" i="19"/>
  <c r="V14" i="19"/>
  <c r="W14" i="19"/>
  <c r="X14" i="19"/>
  <c r="Z14" i="19"/>
  <c r="D13" i="32" s="1"/>
  <c r="AA14" i="19"/>
  <c r="D13" i="33" s="1"/>
  <c r="C15" i="19"/>
  <c r="D15" i="19"/>
  <c r="E15" i="19"/>
  <c r="F15" i="19"/>
  <c r="H15" i="19"/>
  <c r="I15" i="19"/>
  <c r="J15" i="19"/>
  <c r="K15" i="19"/>
  <c r="L15" i="19"/>
  <c r="M15" i="19"/>
  <c r="N15" i="19"/>
  <c r="P15" i="19"/>
  <c r="Q15" i="19"/>
  <c r="S15" i="19"/>
  <c r="V15" i="19"/>
  <c r="W15" i="19"/>
  <c r="X15" i="19"/>
  <c r="Z15" i="19"/>
  <c r="D14" i="32" s="1"/>
  <c r="AA15" i="19"/>
  <c r="D14" i="33" s="1"/>
  <c r="C16" i="19"/>
  <c r="D16" i="19"/>
  <c r="E16" i="19"/>
  <c r="F16" i="19"/>
  <c r="H16" i="19"/>
  <c r="I16" i="19"/>
  <c r="J16" i="19"/>
  <c r="K16" i="19"/>
  <c r="L16" i="19"/>
  <c r="M16" i="19"/>
  <c r="N16" i="19"/>
  <c r="P16" i="19"/>
  <c r="Q16" i="19"/>
  <c r="S16" i="19"/>
  <c r="V16" i="19"/>
  <c r="W16" i="19"/>
  <c r="X16" i="19"/>
  <c r="Z16" i="19"/>
  <c r="D15" i="32" s="1"/>
  <c r="AA16" i="19"/>
  <c r="D15" i="33" s="1"/>
  <c r="C17" i="19"/>
  <c r="D17" i="19"/>
  <c r="E17" i="19"/>
  <c r="F17" i="19"/>
  <c r="H17" i="19"/>
  <c r="I17" i="19"/>
  <c r="J17" i="19"/>
  <c r="K17" i="19"/>
  <c r="L17" i="19"/>
  <c r="M17" i="19"/>
  <c r="N17" i="19"/>
  <c r="P17" i="19"/>
  <c r="Q17" i="19"/>
  <c r="S17" i="19"/>
  <c r="V17" i="19"/>
  <c r="W17" i="19"/>
  <c r="X17" i="19"/>
  <c r="Z17" i="19"/>
  <c r="D16" i="32" s="1"/>
  <c r="AA17" i="19"/>
  <c r="D16" i="33" s="1"/>
  <c r="C18" i="19"/>
  <c r="D18" i="19"/>
  <c r="E18" i="19"/>
  <c r="F18" i="19"/>
  <c r="H18" i="19"/>
  <c r="I18" i="19"/>
  <c r="J18" i="19"/>
  <c r="K18" i="19"/>
  <c r="L18" i="19"/>
  <c r="M18" i="19"/>
  <c r="N18" i="19"/>
  <c r="P18" i="19"/>
  <c r="Q18" i="19"/>
  <c r="S18" i="19"/>
  <c r="V18" i="19"/>
  <c r="W18" i="19"/>
  <c r="X18" i="19"/>
  <c r="Z18" i="19"/>
  <c r="D17" i="32" s="1"/>
  <c r="AA18" i="19"/>
  <c r="D17" i="33" s="1"/>
  <c r="C19" i="19"/>
  <c r="D19" i="19"/>
  <c r="E19" i="19"/>
  <c r="F19" i="19"/>
  <c r="H19" i="19"/>
  <c r="I19" i="19"/>
  <c r="J19" i="19"/>
  <c r="K19" i="19"/>
  <c r="L19" i="19"/>
  <c r="M19" i="19"/>
  <c r="N19" i="19"/>
  <c r="P19" i="19"/>
  <c r="Q19" i="19"/>
  <c r="S19" i="19"/>
  <c r="V19" i="19"/>
  <c r="W19" i="19"/>
  <c r="X19" i="19"/>
  <c r="Z19" i="19"/>
  <c r="D18" i="32" s="1"/>
  <c r="AA19" i="19"/>
  <c r="D18" i="33" s="1"/>
  <c r="C20" i="19"/>
  <c r="D20" i="19"/>
  <c r="E20" i="19"/>
  <c r="F20" i="19"/>
  <c r="H20" i="19"/>
  <c r="I20" i="19"/>
  <c r="J20" i="19"/>
  <c r="K20" i="19"/>
  <c r="L20" i="19"/>
  <c r="M20" i="19"/>
  <c r="N20" i="19"/>
  <c r="P20" i="19"/>
  <c r="Q20" i="19"/>
  <c r="S20" i="19"/>
  <c r="V20" i="19"/>
  <c r="W20" i="19"/>
  <c r="X20" i="19"/>
  <c r="Z20" i="19"/>
  <c r="D19" i="32" s="1"/>
  <c r="AA20" i="19"/>
  <c r="D19" i="33" s="1"/>
  <c r="C21" i="19"/>
  <c r="D21" i="19"/>
  <c r="E21" i="19"/>
  <c r="F21" i="19"/>
  <c r="H21" i="19"/>
  <c r="I21" i="19"/>
  <c r="J21" i="19"/>
  <c r="K21" i="19"/>
  <c r="L21" i="19"/>
  <c r="M21" i="19"/>
  <c r="N21" i="19"/>
  <c r="P21" i="19"/>
  <c r="Q21" i="19"/>
  <c r="S21" i="19"/>
  <c r="V21" i="19"/>
  <c r="W21" i="19"/>
  <c r="X21" i="19"/>
  <c r="Z21" i="19"/>
  <c r="D20" i="32" s="1"/>
  <c r="AA21" i="19"/>
  <c r="D20" i="33" s="1"/>
  <c r="C22" i="19"/>
  <c r="D22" i="19"/>
  <c r="E22" i="19"/>
  <c r="F22" i="19"/>
  <c r="H22" i="19"/>
  <c r="I22" i="19"/>
  <c r="J22" i="19"/>
  <c r="K22" i="19"/>
  <c r="L22" i="19"/>
  <c r="M22" i="19"/>
  <c r="N22" i="19"/>
  <c r="P22" i="19"/>
  <c r="Q22" i="19"/>
  <c r="S22" i="19"/>
  <c r="V22" i="19"/>
  <c r="W22" i="19"/>
  <c r="X22" i="19"/>
  <c r="Z22" i="19"/>
  <c r="D21" i="32" s="1"/>
  <c r="AA22" i="19"/>
  <c r="D21" i="33" s="1"/>
  <c r="C23" i="19"/>
  <c r="D23" i="19"/>
  <c r="E23" i="19"/>
  <c r="F23" i="19"/>
  <c r="H23" i="19"/>
  <c r="I23" i="19"/>
  <c r="J23" i="19"/>
  <c r="K23" i="19"/>
  <c r="L23" i="19"/>
  <c r="M23" i="19"/>
  <c r="N23" i="19"/>
  <c r="P23" i="19"/>
  <c r="Q23" i="19"/>
  <c r="S23" i="19"/>
  <c r="V23" i="19"/>
  <c r="W23" i="19"/>
  <c r="X23" i="19"/>
  <c r="Z23" i="19"/>
  <c r="D22" i="32" s="1"/>
  <c r="AA23" i="19"/>
  <c r="D22" i="33" s="1"/>
  <c r="C24" i="19"/>
  <c r="D24" i="19"/>
  <c r="E24" i="19"/>
  <c r="F24" i="19"/>
  <c r="H24" i="19"/>
  <c r="I24" i="19"/>
  <c r="J24" i="19"/>
  <c r="K24" i="19"/>
  <c r="L24" i="19"/>
  <c r="M24" i="19"/>
  <c r="N24" i="19"/>
  <c r="P24" i="19"/>
  <c r="Q24" i="19"/>
  <c r="S24" i="19"/>
  <c r="V24" i="19"/>
  <c r="W24" i="19"/>
  <c r="X24" i="19"/>
  <c r="Z24" i="19"/>
  <c r="D23" i="32" s="1"/>
  <c r="AA24" i="19"/>
  <c r="D23" i="33" s="1"/>
  <c r="C25" i="19"/>
  <c r="D25" i="19"/>
  <c r="E25" i="19"/>
  <c r="F25" i="19"/>
  <c r="H25" i="19"/>
  <c r="I25" i="19"/>
  <c r="J25" i="19"/>
  <c r="K25" i="19"/>
  <c r="L25" i="19"/>
  <c r="M25" i="19"/>
  <c r="N25" i="19"/>
  <c r="P25" i="19"/>
  <c r="Q25" i="19"/>
  <c r="S25" i="19"/>
  <c r="V25" i="19"/>
  <c r="W25" i="19"/>
  <c r="X25" i="19"/>
  <c r="Z25" i="19"/>
  <c r="D24" i="32" s="1"/>
  <c r="AA25" i="19"/>
  <c r="D24" i="33" s="1"/>
  <c r="C26" i="19"/>
  <c r="D26" i="19"/>
  <c r="E26" i="19"/>
  <c r="F26" i="19"/>
  <c r="H26" i="19"/>
  <c r="I26" i="19"/>
  <c r="J26" i="19"/>
  <c r="K26" i="19"/>
  <c r="L26" i="19"/>
  <c r="M26" i="19"/>
  <c r="N26" i="19"/>
  <c r="P26" i="19"/>
  <c r="Q26" i="19"/>
  <c r="S26" i="19"/>
  <c r="V26" i="19"/>
  <c r="W26" i="19"/>
  <c r="X26" i="19"/>
  <c r="Z26" i="19"/>
  <c r="D25" i="32" s="1"/>
  <c r="AA26" i="19"/>
  <c r="D25" i="33" s="1"/>
  <c r="C27" i="19"/>
  <c r="D27" i="19"/>
  <c r="E27" i="19"/>
  <c r="F27" i="19"/>
  <c r="H27" i="19"/>
  <c r="I27" i="19"/>
  <c r="J27" i="19"/>
  <c r="K27" i="19"/>
  <c r="L27" i="19"/>
  <c r="M27" i="19"/>
  <c r="N27" i="19"/>
  <c r="P27" i="19"/>
  <c r="Q27" i="19"/>
  <c r="S27" i="19"/>
  <c r="V27" i="19"/>
  <c r="W27" i="19"/>
  <c r="X27" i="19"/>
  <c r="Z27" i="19"/>
  <c r="D26" i="32" s="1"/>
  <c r="AA27" i="19"/>
  <c r="D26" i="33" s="1"/>
  <c r="C28" i="19"/>
  <c r="D28" i="19"/>
  <c r="E28" i="19"/>
  <c r="F28" i="19"/>
  <c r="H28" i="19"/>
  <c r="I28" i="19"/>
  <c r="J28" i="19"/>
  <c r="K28" i="19"/>
  <c r="L28" i="19"/>
  <c r="M28" i="19"/>
  <c r="N28" i="19"/>
  <c r="P28" i="19"/>
  <c r="Q28" i="19"/>
  <c r="S28" i="19"/>
  <c r="V28" i="19"/>
  <c r="W28" i="19"/>
  <c r="X28" i="19"/>
  <c r="Z28" i="19"/>
  <c r="D27" i="32" s="1"/>
  <c r="AA28" i="19"/>
  <c r="D27" i="33" s="1"/>
  <c r="C29" i="19"/>
  <c r="D29" i="19"/>
  <c r="E29" i="19"/>
  <c r="F29" i="19"/>
  <c r="H29" i="19"/>
  <c r="I29" i="19"/>
  <c r="J29" i="19"/>
  <c r="K29" i="19"/>
  <c r="L29" i="19"/>
  <c r="M29" i="19"/>
  <c r="N29" i="19"/>
  <c r="P29" i="19"/>
  <c r="Q29" i="19"/>
  <c r="S29" i="19"/>
  <c r="V29" i="19"/>
  <c r="W29" i="19"/>
  <c r="X29" i="19"/>
  <c r="Z29" i="19"/>
  <c r="D28" i="32" s="1"/>
  <c r="AA29" i="19"/>
  <c r="D28" i="33" s="1"/>
  <c r="C30" i="19"/>
  <c r="D30" i="19"/>
  <c r="E30" i="19"/>
  <c r="F30" i="19"/>
  <c r="H30" i="19"/>
  <c r="I30" i="19"/>
  <c r="J30" i="19"/>
  <c r="K30" i="19"/>
  <c r="L30" i="19"/>
  <c r="M30" i="19"/>
  <c r="N30" i="19"/>
  <c r="P30" i="19"/>
  <c r="Q30" i="19"/>
  <c r="S30" i="19"/>
  <c r="V30" i="19"/>
  <c r="W30" i="19"/>
  <c r="X30" i="19"/>
  <c r="Z30" i="19"/>
  <c r="D29" i="32" s="1"/>
  <c r="AA30" i="19"/>
  <c r="D29" i="33" s="1"/>
  <c r="C31" i="19"/>
  <c r="D31" i="19"/>
  <c r="E31" i="19"/>
  <c r="F31" i="19"/>
  <c r="H31" i="19"/>
  <c r="I31" i="19"/>
  <c r="J31" i="19"/>
  <c r="K31" i="19"/>
  <c r="L31" i="19"/>
  <c r="M31" i="19"/>
  <c r="N31" i="19"/>
  <c r="P31" i="19"/>
  <c r="Q31" i="19"/>
  <c r="S31" i="19"/>
  <c r="V31" i="19"/>
  <c r="W31" i="19"/>
  <c r="X31" i="19"/>
  <c r="Z31" i="19"/>
  <c r="D30" i="32" s="1"/>
  <c r="AA31" i="19"/>
  <c r="D30" i="33" s="1"/>
  <c r="C32" i="19"/>
  <c r="D32" i="19"/>
  <c r="E32" i="19"/>
  <c r="F32" i="19"/>
  <c r="H32" i="19"/>
  <c r="I32" i="19"/>
  <c r="J32" i="19"/>
  <c r="K32" i="19"/>
  <c r="L32" i="19"/>
  <c r="M32" i="19"/>
  <c r="N32" i="19"/>
  <c r="P32" i="19"/>
  <c r="Q32" i="19"/>
  <c r="S32" i="19"/>
  <c r="V32" i="19"/>
  <c r="W32" i="19"/>
  <c r="X32" i="19"/>
  <c r="Z32" i="19"/>
  <c r="D31" i="32" s="1"/>
  <c r="AA32" i="19"/>
  <c r="D31" i="33" s="1"/>
  <c r="C33" i="19"/>
  <c r="D33" i="19"/>
  <c r="E33" i="19"/>
  <c r="F33" i="19"/>
  <c r="H33" i="19"/>
  <c r="I33" i="19"/>
  <c r="J33" i="19"/>
  <c r="K33" i="19"/>
  <c r="L33" i="19"/>
  <c r="M33" i="19"/>
  <c r="N33" i="19"/>
  <c r="P33" i="19"/>
  <c r="Q33" i="19"/>
  <c r="S33" i="19"/>
  <c r="V33" i="19"/>
  <c r="W33" i="19"/>
  <c r="X33" i="19"/>
  <c r="Z33" i="19"/>
  <c r="D32" i="32" s="1"/>
  <c r="AA33" i="19"/>
  <c r="D32" i="33" s="1"/>
  <c r="C34" i="19"/>
  <c r="D34" i="19"/>
  <c r="E34" i="19"/>
  <c r="F34" i="19"/>
  <c r="H34" i="19"/>
  <c r="I34" i="19"/>
  <c r="J34" i="19"/>
  <c r="K34" i="19"/>
  <c r="L34" i="19"/>
  <c r="M34" i="19"/>
  <c r="N34" i="19"/>
  <c r="P34" i="19"/>
  <c r="Q34" i="19"/>
  <c r="S34" i="19"/>
  <c r="V34" i="19"/>
  <c r="W34" i="19"/>
  <c r="X34" i="19"/>
  <c r="Z34" i="19"/>
  <c r="D33" i="32" s="1"/>
  <c r="AA34" i="19"/>
  <c r="D33" i="33" s="1"/>
  <c r="C35" i="19"/>
  <c r="D35" i="19"/>
  <c r="E35" i="19"/>
  <c r="F35" i="19"/>
  <c r="H35" i="19"/>
  <c r="I35" i="19"/>
  <c r="J35" i="19"/>
  <c r="K35" i="19"/>
  <c r="L35" i="19"/>
  <c r="M35" i="19"/>
  <c r="N35" i="19"/>
  <c r="P35" i="19"/>
  <c r="Q35" i="19"/>
  <c r="S35" i="19"/>
  <c r="V35" i="19"/>
  <c r="W35" i="19"/>
  <c r="X35" i="19"/>
  <c r="Z35" i="19"/>
  <c r="D34" i="32" s="1"/>
  <c r="AA35" i="19"/>
  <c r="D34" i="33" s="1"/>
  <c r="C36" i="19"/>
  <c r="D36" i="19"/>
  <c r="E36" i="19"/>
  <c r="F36" i="19"/>
  <c r="H36" i="19"/>
  <c r="I36" i="19"/>
  <c r="J36" i="19"/>
  <c r="K36" i="19"/>
  <c r="L36" i="19"/>
  <c r="M36" i="19"/>
  <c r="N36" i="19"/>
  <c r="P36" i="19"/>
  <c r="Q36" i="19"/>
  <c r="S36" i="19"/>
  <c r="V36" i="19"/>
  <c r="W36" i="19"/>
  <c r="X36" i="19"/>
  <c r="Z36" i="19"/>
  <c r="D35" i="32" s="1"/>
  <c r="AA36" i="19"/>
  <c r="D35" i="33" s="1"/>
  <c r="C37" i="19"/>
  <c r="D37" i="19"/>
  <c r="E37" i="19"/>
  <c r="F37" i="19"/>
  <c r="H37" i="19"/>
  <c r="I37" i="19"/>
  <c r="J37" i="19"/>
  <c r="K37" i="19"/>
  <c r="L37" i="19"/>
  <c r="M37" i="19"/>
  <c r="N37" i="19"/>
  <c r="P37" i="19"/>
  <c r="Q37" i="19"/>
  <c r="S37" i="19"/>
  <c r="V37" i="19"/>
  <c r="W37" i="19"/>
  <c r="X37" i="19"/>
  <c r="Z37" i="19"/>
  <c r="D36" i="32" s="1"/>
  <c r="AA37" i="19"/>
  <c r="D36" i="33" s="1"/>
  <c r="C38" i="19"/>
  <c r="D38" i="19"/>
  <c r="E38" i="19"/>
  <c r="F38" i="19"/>
  <c r="H38" i="19"/>
  <c r="I38" i="19"/>
  <c r="J38" i="19"/>
  <c r="K38" i="19"/>
  <c r="L38" i="19"/>
  <c r="M38" i="19"/>
  <c r="N38" i="19"/>
  <c r="P38" i="19"/>
  <c r="Q38" i="19"/>
  <c r="S38" i="19"/>
  <c r="V38" i="19"/>
  <c r="W38" i="19"/>
  <c r="X38" i="19"/>
  <c r="Z38" i="19"/>
  <c r="D37" i="32" s="1"/>
  <c r="AA38" i="19"/>
  <c r="D37" i="33" s="1"/>
  <c r="C39" i="19"/>
  <c r="D39" i="19"/>
  <c r="E39" i="19"/>
  <c r="F39" i="19"/>
  <c r="H39" i="19"/>
  <c r="I39" i="19"/>
  <c r="J39" i="19"/>
  <c r="K39" i="19"/>
  <c r="L39" i="19"/>
  <c r="M39" i="19"/>
  <c r="N39" i="19"/>
  <c r="P39" i="19"/>
  <c r="Q39" i="19"/>
  <c r="S39" i="19"/>
  <c r="V39" i="19"/>
  <c r="W39" i="19"/>
  <c r="X39" i="19"/>
  <c r="Z39" i="19"/>
  <c r="D38" i="32" s="1"/>
  <c r="AA39" i="19"/>
  <c r="D38" i="33" s="1"/>
  <c r="C40" i="19"/>
  <c r="D40" i="19"/>
  <c r="E40" i="19"/>
  <c r="F40" i="19"/>
  <c r="H40" i="19"/>
  <c r="I40" i="19"/>
  <c r="J40" i="19"/>
  <c r="K40" i="19"/>
  <c r="L40" i="19"/>
  <c r="M40" i="19"/>
  <c r="N40" i="19"/>
  <c r="P40" i="19"/>
  <c r="Q40" i="19"/>
  <c r="S40" i="19"/>
  <c r="V40" i="19"/>
  <c r="W40" i="19"/>
  <c r="X40" i="19"/>
  <c r="Z40" i="19"/>
  <c r="D39" i="32" s="1"/>
  <c r="AA40" i="19"/>
  <c r="D39" i="33" s="1"/>
  <c r="C41" i="19"/>
  <c r="D41" i="19"/>
  <c r="E41" i="19"/>
  <c r="F41" i="19"/>
  <c r="H41" i="19"/>
  <c r="I41" i="19"/>
  <c r="J41" i="19"/>
  <c r="K41" i="19"/>
  <c r="L41" i="19"/>
  <c r="M41" i="19"/>
  <c r="N41" i="19"/>
  <c r="P41" i="19"/>
  <c r="Q41" i="19"/>
  <c r="S41" i="19"/>
  <c r="V41" i="19"/>
  <c r="W41" i="19"/>
  <c r="X41" i="19"/>
  <c r="Z41" i="19"/>
  <c r="D40" i="32" s="1"/>
  <c r="AA41" i="19"/>
  <c r="D40" i="33" s="1"/>
  <c r="C42" i="19"/>
  <c r="D42" i="19"/>
  <c r="E42" i="19"/>
  <c r="F42" i="19"/>
  <c r="H42" i="19"/>
  <c r="I42" i="19"/>
  <c r="J42" i="19"/>
  <c r="K42" i="19"/>
  <c r="L42" i="19"/>
  <c r="M42" i="19"/>
  <c r="N42" i="19"/>
  <c r="P42" i="19"/>
  <c r="Q42" i="19"/>
  <c r="S42" i="19"/>
  <c r="V42" i="19"/>
  <c r="W42" i="19"/>
  <c r="X42" i="19"/>
  <c r="Z42" i="19"/>
  <c r="D41" i="32" s="1"/>
  <c r="AA42" i="19"/>
  <c r="D41" i="33" s="1"/>
  <c r="C43" i="19"/>
  <c r="D43" i="19"/>
  <c r="E43" i="19"/>
  <c r="F43" i="19"/>
  <c r="H43" i="19"/>
  <c r="I43" i="19"/>
  <c r="J43" i="19"/>
  <c r="K43" i="19"/>
  <c r="L43" i="19"/>
  <c r="M43" i="19"/>
  <c r="N43" i="19"/>
  <c r="P43" i="19"/>
  <c r="Q43" i="19"/>
  <c r="S43" i="19"/>
  <c r="V43" i="19"/>
  <c r="W43" i="19"/>
  <c r="X43" i="19"/>
  <c r="Z43" i="19"/>
  <c r="D42" i="32" s="1"/>
  <c r="AA43" i="19"/>
  <c r="D42" i="33" s="1"/>
  <c r="C44" i="19"/>
  <c r="D44" i="19"/>
  <c r="E44" i="19"/>
  <c r="F44" i="19"/>
  <c r="H44" i="19"/>
  <c r="I44" i="19"/>
  <c r="J44" i="19"/>
  <c r="K44" i="19"/>
  <c r="L44" i="19"/>
  <c r="M44" i="19"/>
  <c r="N44" i="19"/>
  <c r="P44" i="19"/>
  <c r="Q44" i="19"/>
  <c r="S44" i="19"/>
  <c r="V44" i="19"/>
  <c r="W44" i="19"/>
  <c r="X44" i="19"/>
  <c r="Z44" i="19"/>
  <c r="D43" i="32" s="1"/>
  <c r="AA44" i="19"/>
  <c r="D43" i="33" s="1"/>
  <c r="C45" i="19"/>
  <c r="D45" i="19"/>
  <c r="E45" i="19"/>
  <c r="F45" i="19"/>
  <c r="H45" i="19"/>
  <c r="I45" i="19"/>
  <c r="J45" i="19"/>
  <c r="K45" i="19"/>
  <c r="L45" i="19"/>
  <c r="M45" i="19"/>
  <c r="N45" i="19"/>
  <c r="P45" i="19"/>
  <c r="Q45" i="19"/>
  <c r="S45" i="19"/>
  <c r="V45" i="19"/>
  <c r="W45" i="19"/>
  <c r="X45" i="19"/>
  <c r="Z45" i="19"/>
  <c r="D44" i="32" s="1"/>
  <c r="AA45" i="19"/>
  <c r="D44" i="33" s="1"/>
  <c r="C46" i="19"/>
  <c r="D46" i="19"/>
  <c r="E46" i="19"/>
  <c r="F46" i="19"/>
  <c r="H46" i="19"/>
  <c r="I46" i="19"/>
  <c r="J46" i="19"/>
  <c r="K46" i="19"/>
  <c r="L46" i="19"/>
  <c r="M46" i="19"/>
  <c r="N46" i="19"/>
  <c r="P46" i="19"/>
  <c r="Q46" i="19"/>
  <c r="S46" i="19"/>
  <c r="V46" i="19"/>
  <c r="W46" i="19"/>
  <c r="X46" i="19"/>
  <c r="Z46" i="19"/>
  <c r="D45" i="32" s="1"/>
  <c r="AA46" i="19"/>
  <c r="D45" i="33" s="1"/>
  <c r="C47" i="19"/>
  <c r="D47" i="19"/>
  <c r="E47" i="19"/>
  <c r="F47" i="19"/>
  <c r="H47" i="19"/>
  <c r="I47" i="19"/>
  <c r="J47" i="19"/>
  <c r="K47" i="19"/>
  <c r="L47" i="19"/>
  <c r="M47" i="19"/>
  <c r="N47" i="19"/>
  <c r="P47" i="19"/>
  <c r="Q47" i="19"/>
  <c r="S47" i="19"/>
  <c r="V47" i="19"/>
  <c r="W47" i="19"/>
  <c r="X47" i="19"/>
  <c r="Z47" i="19"/>
  <c r="D46" i="32" s="1"/>
  <c r="AA47" i="19"/>
  <c r="D46" i="33" s="1"/>
  <c r="C48" i="19"/>
  <c r="D48" i="19"/>
  <c r="E48" i="19"/>
  <c r="F48" i="19"/>
  <c r="H48" i="19"/>
  <c r="I48" i="19"/>
  <c r="J48" i="19"/>
  <c r="K48" i="19"/>
  <c r="L48" i="19"/>
  <c r="M48" i="19"/>
  <c r="N48" i="19"/>
  <c r="P48" i="19"/>
  <c r="Q48" i="19"/>
  <c r="S48" i="19"/>
  <c r="V48" i="19"/>
  <c r="W48" i="19"/>
  <c r="X48" i="19"/>
  <c r="Z48" i="19"/>
  <c r="D47" i="32" s="1"/>
  <c r="AA48" i="19"/>
  <c r="D47" i="33" s="1"/>
  <c r="C49" i="19"/>
  <c r="D49" i="19"/>
  <c r="E49" i="19"/>
  <c r="F49" i="19"/>
  <c r="H49" i="19"/>
  <c r="I49" i="19"/>
  <c r="J49" i="19"/>
  <c r="K49" i="19"/>
  <c r="L49" i="19"/>
  <c r="M49" i="19"/>
  <c r="N49" i="19"/>
  <c r="P49" i="19"/>
  <c r="Q49" i="19"/>
  <c r="S49" i="19"/>
  <c r="V49" i="19"/>
  <c r="W49" i="19"/>
  <c r="X49" i="19"/>
  <c r="Z49" i="19"/>
  <c r="D48" i="32" s="1"/>
  <c r="AA49" i="19"/>
  <c r="D48" i="33" s="1"/>
  <c r="C50" i="19"/>
  <c r="D50" i="19"/>
  <c r="E50" i="19"/>
  <c r="F50" i="19"/>
  <c r="H50" i="19"/>
  <c r="I50" i="19"/>
  <c r="J50" i="19"/>
  <c r="K50" i="19"/>
  <c r="L50" i="19"/>
  <c r="M50" i="19"/>
  <c r="N50" i="19"/>
  <c r="P50" i="19"/>
  <c r="Q50" i="19"/>
  <c r="S50" i="19"/>
  <c r="V50" i="19"/>
  <c r="W50" i="19"/>
  <c r="X50" i="19"/>
  <c r="Z50" i="19"/>
  <c r="D49" i="32" s="1"/>
  <c r="AA50" i="19"/>
  <c r="D49" i="33" s="1"/>
  <c r="C51" i="19"/>
  <c r="D51" i="19"/>
  <c r="E51" i="19"/>
  <c r="F51" i="19"/>
  <c r="H51" i="19"/>
  <c r="I51" i="19"/>
  <c r="J51" i="19"/>
  <c r="K51" i="19"/>
  <c r="L51" i="19"/>
  <c r="M51" i="19"/>
  <c r="N51" i="19"/>
  <c r="P51" i="19"/>
  <c r="Q51" i="19"/>
  <c r="S51" i="19"/>
  <c r="V51" i="19"/>
  <c r="W51" i="19"/>
  <c r="X51" i="19"/>
  <c r="Z51" i="19"/>
  <c r="D50" i="32" s="1"/>
  <c r="AA51" i="19"/>
  <c r="D50" i="33" s="1"/>
  <c r="C52" i="19"/>
  <c r="D52" i="19"/>
  <c r="E52" i="19"/>
  <c r="F52" i="19"/>
  <c r="H52" i="19"/>
  <c r="I52" i="19"/>
  <c r="J52" i="19"/>
  <c r="K52" i="19"/>
  <c r="L52" i="19"/>
  <c r="M52" i="19"/>
  <c r="N52" i="19"/>
  <c r="P52" i="19"/>
  <c r="Q52" i="19"/>
  <c r="S52" i="19"/>
  <c r="V52" i="19"/>
  <c r="W52" i="19"/>
  <c r="X52" i="19"/>
  <c r="Z52" i="19"/>
  <c r="D51" i="32" s="1"/>
  <c r="AA52" i="19"/>
  <c r="D51" i="33" s="1"/>
  <c r="C53" i="19"/>
  <c r="D53" i="19"/>
  <c r="E53" i="19"/>
  <c r="F53" i="19"/>
  <c r="H53" i="19"/>
  <c r="I53" i="19"/>
  <c r="J53" i="19"/>
  <c r="K53" i="19"/>
  <c r="L53" i="19"/>
  <c r="M53" i="19"/>
  <c r="N53" i="19"/>
  <c r="P53" i="19"/>
  <c r="Q53" i="19"/>
  <c r="S53" i="19"/>
  <c r="V53" i="19"/>
  <c r="W53" i="19"/>
  <c r="X53" i="19"/>
  <c r="Z53" i="19"/>
  <c r="D52" i="32" s="1"/>
  <c r="AA53" i="19"/>
  <c r="D52" i="33" s="1"/>
  <c r="C54" i="19"/>
  <c r="D54" i="19"/>
  <c r="E54" i="19"/>
  <c r="F54" i="19"/>
  <c r="H54" i="19"/>
  <c r="I54" i="19"/>
  <c r="J54" i="19"/>
  <c r="K54" i="19"/>
  <c r="L54" i="19"/>
  <c r="M54" i="19"/>
  <c r="N54" i="19"/>
  <c r="P54" i="19"/>
  <c r="Q54" i="19"/>
  <c r="S54" i="19"/>
  <c r="V54" i="19"/>
  <c r="W54" i="19"/>
  <c r="X54" i="19"/>
  <c r="Z54" i="19"/>
  <c r="D53" i="32" s="1"/>
  <c r="AA54" i="19"/>
  <c r="D53" i="33" s="1"/>
  <c r="C55" i="19"/>
  <c r="D55" i="19"/>
  <c r="E55" i="19"/>
  <c r="F55" i="19"/>
  <c r="H55" i="19"/>
  <c r="I55" i="19"/>
  <c r="J55" i="19"/>
  <c r="K55" i="19"/>
  <c r="L55" i="19"/>
  <c r="M55" i="19"/>
  <c r="N55" i="19"/>
  <c r="P55" i="19"/>
  <c r="Q55" i="19"/>
  <c r="S55" i="19"/>
  <c r="V55" i="19"/>
  <c r="W55" i="19"/>
  <c r="X55" i="19"/>
  <c r="Z55" i="19"/>
  <c r="D54" i="32" s="1"/>
  <c r="AA55" i="19"/>
  <c r="D54" i="33" s="1"/>
  <c r="C56" i="19"/>
  <c r="D56" i="19"/>
  <c r="E56" i="19"/>
  <c r="F56" i="19"/>
  <c r="H56" i="19"/>
  <c r="I56" i="19"/>
  <c r="J56" i="19"/>
  <c r="K56" i="19"/>
  <c r="L56" i="19"/>
  <c r="M56" i="19"/>
  <c r="N56" i="19"/>
  <c r="P56" i="19"/>
  <c r="Q56" i="19"/>
  <c r="S56" i="19"/>
  <c r="V56" i="19"/>
  <c r="W56" i="19"/>
  <c r="X56" i="19"/>
  <c r="Z56" i="19"/>
  <c r="D55" i="32" s="1"/>
  <c r="AA56" i="19"/>
  <c r="D55" i="33" s="1"/>
  <c r="C57" i="19"/>
  <c r="D57" i="19"/>
  <c r="E57" i="19"/>
  <c r="F57" i="19"/>
  <c r="H57" i="19"/>
  <c r="I57" i="19"/>
  <c r="J57" i="19"/>
  <c r="K57" i="19"/>
  <c r="L57" i="19"/>
  <c r="M57" i="19"/>
  <c r="N57" i="19"/>
  <c r="P57" i="19"/>
  <c r="Q57" i="19"/>
  <c r="S57" i="19"/>
  <c r="V57" i="19"/>
  <c r="W57" i="19"/>
  <c r="X57" i="19"/>
  <c r="Z57" i="19"/>
  <c r="D56" i="32" s="1"/>
  <c r="AA57" i="19"/>
  <c r="D56" i="33" s="1"/>
  <c r="C58" i="19"/>
  <c r="D58" i="19"/>
  <c r="E58" i="19"/>
  <c r="F58" i="19"/>
  <c r="H58" i="19"/>
  <c r="I58" i="19"/>
  <c r="J58" i="19"/>
  <c r="K58" i="19"/>
  <c r="L58" i="19"/>
  <c r="M58" i="19"/>
  <c r="N58" i="19"/>
  <c r="P58" i="19"/>
  <c r="Q58" i="19"/>
  <c r="S58" i="19"/>
  <c r="V58" i="19"/>
  <c r="W58" i="19"/>
  <c r="X58" i="19"/>
  <c r="Z58" i="19"/>
  <c r="D57" i="32" s="1"/>
  <c r="AA58" i="19"/>
  <c r="D57" i="33" s="1"/>
  <c r="C59" i="19"/>
  <c r="D59" i="19"/>
  <c r="E59" i="19"/>
  <c r="F59" i="19"/>
  <c r="H59" i="19"/>
  <c r="I59" i="19"/>
  <c r="J59" i="19"/>
  <c r="K59" i="19"/>
  <c r="L59" i="19"/>
  <c r="M59" i="19"/>
  <c r="N59" i="19"/>
  <c r="P59" i="19"/>
  <c r="Q59" i="19"/>
  <c r="S59" i="19"/>
  <c r="V59" i="19"/>
  <c r="W59" i="19"/>
  <c r="X59" i="19"/>
  <c r="Z59" i="19"/>
  <c r="D58" i="32" s="1"/>
  <c r="AA59" i="19"/>
  <c r="D58" i="33" s="1"/>
  <c r="C60" i="19"/>
  <c r="D60" i="19"/>
  <c r="E60" i="19"/>
  <c r="F60" i="19"/>
  <c r="H60" i="19"/>
  <c r="I60" i="19"/>
  <c r="J60" i="19"/>
  <c r="K60" i="19"/>
  <c r="L60" i="19"/>
  <c r="M60" i="19"/>
  <c r="N60" i="19"/>
  <c r="P60" i="19"/>
  <c r="Q60" i="19"/>
  <c r="S60" i="19"/>
  <c r="V60" i="19"/>
  <c r="W60" i="19"/>
  <c r="X60" i="19"/>
  <c r="Z60" i="19"/>
  <c r="D59" i="32" s="1"/>
  <c r="AA60" i="19"/>
  <c r="D59" i="33" s="1"/>
  <c r="C61" i="19"/>
  <c r="D61" i="19"/>
  <c r="E61" i="19"/>
  <c r="F61" i="19"/>
  <c r="H61" i="19"/>
  <c r="I61" i="19"/>
  <c r="J61" i="19"/>
  <c r="K61" i="19"/>
  <c r="L61" i="19"/>
  <c r="M61" i="19"/>
  <c r="N61" i="19"/>
  <c r="P61" i="19"/>
  <c r="Q61" i="19"/>
  <c r="S61" i="19"/>
  <c r="V61" i="19"/>
  <c r="W61" i="19"/>
  <c r="X61" i="19"/>
  <c r="Z61" i="19"/>
  <c r="D60" i="32" s="1"/>
  <c r="AA61" i="19"/>
  <c r="D60" i="33" s="1"/>
  <c r="C62" i="19"/>
  <c r="D62" i="19"/>
  <c r="E62" i="19"/>
  <c r="F62" i="19"/>
  <c r="H62" i="19"/>
  <c r="I62" i="19"/>
  <c r="J62" i="19"/>
  <c r="K62" i="19"/>
  <c r="L62" i="19"/>
  <c r="M62" i="19"/>
  <c r="N62" i="19"/>
  <c r="P62" i="19"/>
  <c r="Q62" i="19"/>
  <c r="S62" i="19"/>
  <c r="V62" i="19"/>
  <c r="W62" i="19"/>
  <c r="X62" i="19"/>
  <c r="Z62" i="19"/>
  <c r="D61" i="32" s="1"/>
  <c r="AA62" i="19"/>
  <c r="D61" i="33" s="1"/>
  <c r="C63" i="19"/>
  <c r="D63" i="19"/>
  <c r="E63" i="19"/>
  <c r="F63" i="19"/>
  <c r="H63" i="19"/>
  <c r="I63" i="19"/>
  <c r="J63" i="19"/>
  <c r="K63" i="19"/>
  <c r="L63" i="19"/>
  <c r="M63" i="19"/>
  <c r="N63" i="19"/>
  <c r="P63" i="19"/>
  <c r="Q63" i="19"/>
  <c r="S63" i="19"/>
  <c r="V63" i="19"/>
  <c r="W63" i="19"/>
  <c r="X63" i="19"/>
  <c r="Z63" i="19"/>
  <c r="D62" i="32" s="1"/>
  <c r="AA63" i="19"/>
  <c r="D62" i="33" s="1"/>
  <c r="C64" i="19"/>
  <c r="D64" i="19"/>
  <c r="E64" i="19"/>
  <c r="F64" i="19"/>
  <c r="H64" i="19"/>
  <c r="I64" i="19"/>
  <c r="J64" i="19"/>
  <c r="K64" i="19"/>
  <c r="L64" i="19"/>
  <c r="M64" i="19"/>
  <c r="N64" i="19"/>
  <c r="P64" i="19"/>
  <c r="Q64" i="19"/>
  <c r="S64" i="19"/>
  <c r="V64" i="19"/>
  <c r="W64" i="19"/>
  <c r="X64" i="19"/>
  <c r="Z64" i="19"/>
  <c r="D63" i="32" s="1"/>
  <c r="AA64" i="19"/>
  <c r="D63" i="33" s="1"/>
  <c r="C65" i="19"/>
  <c r="D65" i="19"/>
  <c r="E65" i="19"/>
  <c r="F65" i="19"/>
  <c r="H65" i="19"/>
  <c r="I65" i="19"/>
  <c r="J65" i="19"/>
  <c r="K65" i="19"/>
  <c r="L65" i="19"/>
  <c r="M65" i="19"/>
  <c r="N65" i="19"/>
  <c r="P65" i="19"/>
  <c r="Q65" i="19"/>
  <c r="S65" i="19"/>
  <c r="V65" i="19"/>
  <c r="W65" i="19"/>
  <c r="X65" i="19"/>
  <c r="Z65" i="19"/>
  <c r="D64" i="32" s="1"/>
  <c r="AA65" i="19"/>
  <c r="D64" i="33" s="1"/>
  <c r="C66" i="19"/>
  <c r="D66" i="19"/>
  <c r="E66" i="19"/>
  <c r="F66" i="19"/>
  <c r="H66" i="19"/>
  <c r="I66" i="19"/>
  <c r="J66" i="19"/>
  <c r="K66" i="19"/>
  <c r="L66" i="19"/>
  <c r="M66" i="19"/>
  <c r="N66" i="19"/>
  <c r="P66" i="19"/>
  <c r="Q66" i="19"/>
  <c r="S66" i="19"/>
  <c r="V66" i="19"/>
  <c r="W66" i="19"/>
  <c r="X66" i="19"/>
  <c r="Z66" i="19"/>
  <c r="D65" i="32" s="1"/>
  <c r="AA66" i="19"/>
  <c r="D65" i="33" s="1"/>
  <c r="C67" i="19"/>
  <c r="D67" i="19"/>
  <c r="E67" i="19"/>
  <c r="F67" i="19"/>
  <c r="H67" i="19"/>
  <c r="I67" i="19"/>
  <c r="J67" i="19"/>
  <c r="K67" i="19"/>
  <c r="L67" i="19"/>
  <c r="M67" i="19"/>
  <c r="N67" i="19"/>
  <c r="P67" i="19"/>
  <c r="Q67" i="19"/>
  <c r="S67" i="19"/>
  <c r="V67" i="19"/>
  <c r="W67" i="19"/>
  <c r="X67" i="19"/>
  <c r="Z67" i="19"/>
  <c r="D66" i="32" s="1"/>
  <c r="AA67" i="19"/>
  <c r="D66" i="33" s="1"/>
  <c r="C68" i="19"/>
  <c r="D68" i="19"/>
  <c r="E68" i="19"/>
  <c r="F68" i="19"/>
  <c r="H68" i="19"/>
  <c r="I68" i="19"/>
  <c r="J68" i="19"/>
  <c r="K68" i="19"/>
  <c r="L68" i="19"/>
  <c r="M68" i="19"/>
  <c r="N68" i="19"/>
  <c r="P68" i="19"/>
  <c r="Q68" i="19"/>
  <c r="S68" i="19"/>
  <c r="V68" i="19"/>
  <c r="W68" i="19"/>
  <c r="X68" i="19"/>
  <c r="Z68" i="19"/>
  <c r="D67" i="32" s="1"/>
  <c r="AA68" i="19"/>
  <c r="D67" i="33" s="1"/>
  <c r="C69" i="19"/>
  <c r="D69" i="19"/>
  <c r="E69" i="19"/>
  <c r="F69" i="19"/>
  <c r="H69" i="19"/>
  <c r="I69" i="19"/>
  <c r="J69" i="19"/>
  <c r="K69" i="19"/>
  <c r="L69" i="19"/>
  <c r="M69" i="19"/>
  <c r="N69" i="19"/>
  <c r="P69" i="19"/>
  <c r="Q69" i="19"/>
  <c r="S69" i="19"/>
  <c r="V69" i="19"/>
  <c r="W69" i="19"/>
  <c r="X69" i="19"/>
  <c r="Z69" i="19"/>
  <c r="D68" i="32" s="1"/>
  <c r="AA69" i="19"/>
  <c r="D68" i="33" s="1"/>
  <c r="C70" i="19"/>
  <c r="D70" i="19"/>
  <c r="E70" i="19"/>
  <c r="F70" i="19"/>
  <c r="H70" i="19"/>
  <c r="I70" i="19"/>
  <c r="J70" i="19"/>
  <c r="K70" i="19"/>
  <c r="L70" i="19"/>
  <c r="M70" i="19"/>
  <c r="N70" i="19"/>
  <c r="P70" i="19"/>
  <c r="Q70" i="19"/>
  <c r="S70" i="19"/>
  <c r="V70" i="19"/>
  <c r="W70" i="19"/>
  <c r="X70" i="19"/>
  <c r="Z70" i="19"/>
  <c r="D69" i="32" s="1"/>
  <c r="AA70" i="19"/>
  <c r="D69" i="33" s="1"/>
  <c r="C71" i="19"/>
  <c r="D71" i="19"/>
  <c r="E71" i="19"/>
  <c r="F71" i="19"/>
  <c r="H71" i="19"/>
  <c r="I71" i="19"/>
  <c r="J71" i="19"/>
  <c r="K71" i="19"/>
  <c r="L71" i="19"/>
  <c r="M71" i="19"/>
  <c r="N71" i="19"/>
  <c r="P71" i="19"/>
  <c r="Q71" i="19"/>
  <c r="S71" i="19"/>
  <c r="V71" i="19"/>
  <c r="W71" i="19"/>
  <c r="X71" i="19"/>
  <c r="Z71" i="19"/>
  <c r="D70" i="32" s="1"/>
  <c r="AA71" i="19"/>
  <c r="D70" i="33" s="1"/>
  <c r="C72" i="19"/>
  <c r="D72" i="19"/>
  <c r="E72" i="19"/>
  <c r="F72" i="19"/>
  <c r="H72" i="19"/>
  <c r="I72" i="19"/>
  <c r="J72" i="19"/>
  <c r="K72" i="19"/>
  <c r="L72" i="19"/>
  <c r="M72" i="19"/>
  <c r="N72" i="19"/>
  <c r="P72" i="19"/>
  <c r="Q72" i="19"/>
  <c r="S72" i="19"/>
  <c r="V72" i="19"/>
  <c r="W72" i="19"/>
  <c r="X72" i="19"/>
  <c r="Z72" i="19"/>
  <c r="D71" i="32" s="1"/>
  <c r="AA72" i="19"/>
  <c r="D71" i="33" s="1"/>
  <c r="C73" i="19"/>
  <c r="D73" i="19"/>
  <c r="E73" i="19"/>
  <c r="F73" i="19"/>
  <c r="H73" i="19"/>
  <c r="I73" i="19"/>
  <c r="J73" i="19"/>
  <c r="K73" i="19"/>
  <c r="L73" i="19"/>
  <c r="M73" i="19"/>
  <c r="N73" i="19"/>
  <c r="P73" i="19"/>
  <c r="Q73" i="19"/>
  <c r="S73" i="19"/>
  <c r="V73" i="19"/>
  <c r="W73" i="19"/>
  <c r="X73" i="19"/>
  <c r="Z73" i="19"/>
  <c r="D72" i="32" s="1"/>
  <c r="AA73" i="19"/>
  <c r="D72" i="33" s="1"/>
  <c r="C74" i="19"/>
  <c r="D74" i="19"/>
  <c r="E74" i="19"/>
  <c r="F74" i="19"/>
  <c r="H74" i="19"/>
  <c r="I74" i="19"/>
  <c r="J74" i="19"/>
  <c r="K74" i="19"/>
  <c r="L74" i="19"/>
  <c r="M74" i="19"/>
  <c r="N74" i="19"/>
  <c r="P74" i="19"/>
  <c r="Q74" i="19"/>
  <c r="S74" i="19"/>
  <c r="V74" i="19"/>
  <c r="W74" i="19"/>
  <c r="X74" i="19"/>
  <c r="Z74" i="19"/>
  <c r="D73" i="32" s="1"/>
  <c r="AA74" i="19"/>
  <c r="D73" i="33" s="1"/>
  <c r="C75" i="19"/>
  <c r="D75" i="19"/>
  <c r="E75" i="19"/>
  <c r="F75" i="19"/>
  <c r="H75" i="19"/>
  <c r="I75" i="19"/>
  <c r="J75" i="19"/>
  <c r="K75" i="19"/>
  <c r="L75" i="19"/>
  <c r="M75" i="19"/>
  <c r="N75" i="19"/>
  <c r="P75" i="19"/>
  <c r="Q75" i="19"/>
  <c r="S75" i="19"/>
  <c r="V75" i="19"/>
  <c r="W75" i="19"/>
  <c r="X75" i="19"/>
  <c r="Z75" i="19"/>
  <c r="D74" i="32" s="1"/>
  <c r="AA75" i="19"/>
  <c r="D74" i="33" s="1"/>
  <c r="C76" i="19"/>
  <c r="D76" i="19"/>
  <c r="E76" i="19"/>
  <c r="F76" i="19"/>
  <c r="H76" i="19"/>
  <c r="I76" i="19"/>
  <c r="J76" i="19"/>
  <c r="K76" i="19"/>
  <c r="L76" i="19"/>
  <c r="M76" i="19"/>
  <c r="N76" i="19"/>
  <c r="P76" i="19"/>
  <c r="Q76" i="19"/>
  <c r="S76" i="19"/>
  <c r="V76" i="19"/>
  <c r="W76" i="19"/>
  <c r="X76" i="19"/>
  <c r="Z76" i="19"/>
  <c r="D75" i="32" s="1"/>
  <c r="AA76" i="19"/>
  <c r="D75" i="33" s="1"/>
  <c r="C77" i="19"/>
  <c r="D77" i="19"/>
  <c r="E77" i="19"/>
  <c r="F77" i="19"/>
  <c r="H77" i="19"/>
  <c r="I77" i="19"/>
  <c r="J77" i="19"/>
  <c r="K77" i="19"/>
  <c r="L77" i="19"/>
  <c r="M77" i="19"/>
  <c r="N77" i="19"/>
  <c r="P77" i="19"/>
  <c r="Q77" i="19"/>
  <c r="S77" i="19"/>
  <c r="V77" i="19"/>
  <c r="W77" i="19"/>
  <c r="X77" i="19"/>
  <c r="Z77" i="19"/>
  <c r="D76" i="32" s="1"/>
  <c r="AA77" i="19"/>
  <c r="D76" i="33" s="1"/>
  <c r="C78" i="19"/>
  <c r="D78" i="19"/>
  <c r="E78" i="19"/>
  <c r="F78" i="19"/>
  <c r="H78" i="19"/>
  <c r="I78" i="19"/>
  <c r="J78" i="19"/>
  <c r="K78" i="19"/>
  <c r="L78" i="19"/>
  <c r="M78" i="19"/>
  <c r="N78" i="19"/>
  <c r="P78" i="19"/>
  <c r="Q78" i="19"/>
  <c r="S78" i="19"/>
  <c r="V78" i="19"/>
  <c r="W78" i="19"/>
  <c r="X78" i="19"/>
  <c r="Z78" i="19"/>
  <c r="D77" i="32" s="1"/>
  <c r="AA78" i="19"/>
  <c r="D77" i="33" s="1"/>
  <c r="C79" i="19"/>
  <c r="D79" i="19"/>
  <c r="E79" i="19"/>
  <c r="F79" i="19"/>
  <c r="H79" i="19"/>
  <c r="I79" i="19"/>
  <c r="J79" i="19"/>
  <c r="K79" i="19"/>
  <c r="L79" i="19"/>
  <c r="M79" i="19"/>
  <c r="N79" i="19"/>
  <c r="P79" i="19"/>
  <c r="Q79" i="19"/>
  <c r="S79" i="19"/>
  <c r="V79" i="19"/>
  <c r="W79" i="19"/>
  <c r="X79" i="19"/>
  <c r="Z79" i="19"/>
  <c r="D78" i="32" s="1"/>
  <c r="AA79" i="19"/>
  <c r="D78" i="33" s="1"/>
  <c r="C80" i="19"/>
  <c r="D80" i="19"/>
  <c r="E80" i="19"/>
  <c r="F80" i="19"/>
  <c r="H80" i="19"/>
  <c r="I80" i="19"/>
  <c r="J80" i="19"/>
  <c r="K80" i="19"/>
  <c r="L80" i="19"/>
  <c r="M80" i="19"/>
  <c r="N80" i="19"/>
  <c r="P80" i="19"/>
  <c r="Q80" i="19"/>
  <c r="S80" i="19"/>
  <c r="V80" i="19"/>
  <c r="W80" i="19"/>
  <c r="X80" i="19"/>
  <c r="Z80" i="19"/>
  <c r="D79" i="32" s="1"/>
  <c r="AA80" i="19"/>
  <c r="D79" i="33" s="1"/>
  <c r="C81" i="19"/>
  <c r="D81" i="19"/>
  <c r="E81" i="19"/>
  <c r="F81" i="19"/>
  <c r="H81" i="19"/>
  <c r="I81" i="19"/>
  <c r="J81" i="19"/>
  <c r="K81" i="19"/>
  <c r="L81" i="19"/>
  <c r="M81" i="19"/>
  <c r="N81" i="19"/>
  <c r="P81" i="19"/>
  <c r="Q81" i="19"/>
  <c r="S81" i="19"/>
  <c r="V81" i="19"/>
  <c r="W81" i="19"/>
  <c r="X81" i="19"/>
  <c r="Z81" i="19"/>
  <c r="D80" i="32" s="1"/>
  <c r="AA81" i="19"/>
  <c r="D80" i="33" s="1"/>
  <c r="C82" i="19"/>
  <c r="D82" i="19"/>
  <c r="E82" i="19"/>
  <c r="F82" i="19"/>
  <c r="H82" i="19"/>
  <c r="I82" i="19"/>
  <c r="J82" i="19"/>
  <c r="K82" i="19"/>
  <c r="L82" i="19"/>
  <c r="M82" i="19"/>
  <c r="N82" i="19"/>
  <c r="P82" i="19"/>
  <c r="Q82" i="19"/>
  <c r="S82" i="19"/>
  <c r="V82" i="19"/>
  <c r="W82" i="19"/>
  <c r="X82" i="19"/>
  <c r="Z82" i="19"/>
  <c r="D81" i="32" s="1"/>
  <c r="AA82" i="19"/>
  <c r="D81" i="33" s="1"/>
  <c r="C83" i="19"/>
  <c r="D83" i="19"/>
  <c r="E83" i="19"/>
  <c r="F83" i="19"/>
  <c r="H83" i="19"/>
  <c r="I83" i="19"/>
  <c r="J83" i="19"/>
  <c r="K83" i="19"/>
  <c r="L83" i="19"/>
  <c r="M83" i="19"/>
  <c r="N83" i="19"/>
  <c r="P83" i="19"/>
  <c r="Q83" i="19"/>
  <c r="S83" i="19"/>
  <c r="V83" i="19"/>
  <c r="W83" i="19"/>
  <c r="X83" i="19"/>
  <c r="Z83" i="19"/>
  <c r="D82" i="32" s="1"/>
  <c r="AA83" i="19"/>
  <c r="D82" i="33" s="1"/>
  <c r="C84" i="19"/>
  <c r="D84" i="19"/>
  <c r="E84" i="19"/>
  <c r="F84" i="19"/>
  <c r="H84" i="19"/>
  <c r="I84" i="19"/>
  <c r="J84" i="19"/>
  <c r="K84" i="19"/>
  <c r="L84" i="19"/>
  <c r="M84" i="19"/>
  <c r="N84" i="19"/>
  <c r="P84" i="19"/>
  <c r="Q84" i="19"/>
  <c r="S84" i="19"/>
  <c r="V84" i="19"/>
  <c r="W84" i="19"/>
  <c r="X84" i="19"/>
  <c r="Z84" i="19"/>
  <c r="D83" i="32" s="1"/>
  <c r="AA84" i="19"/>
  <c r="D83" i="33" s="1"/>
  <c r="C85" i="19"/>
  <c r="D85" i="19"/>
  <c r="E85" i="19"/>
  <c r="F85" i="19"/>
  <c r="H85" i="19"/>
  <c r="I85" i="19"/>
  <c r="J85" i="19"/>
  <c r="K85" i="19"/>
  <c r="L85" i="19"/>
  <c r="M85" i="19"/>
  <c r="N85" i="19"/>
  <c r="P85" i="19"/>
  <c r="Q85" i="19"/>
  <c r="S85" i="19"/>
  <c r="V85" i="19"/>
  <c r="W85" i="19"/>
  <c r="X85" i="19"/>
  <c r="Z85" i="19"/>
  <c r="D84" i="32" s="1"/>
  <c r="AA85" i="19"/>
  <c r="D84" i="33" s="1"/>
  <c r="C86" i="19"/>
  <c r="D86" i="19"/>
  <c r="E86" i="19"/>
  <c r="F86" i="19"/>
  <c r="H86" i="19"/>
  <c r="I86" i="19"/>
  <c r="J86" i="19"/>
  <c r="K86" i="19"/>
  <c r="L86" i="19"/>
  <c r="M86" i="19"/>
  <c r="N86" i="19"/>
  <c r="P86" i="19"/>
  <c r="Q86" i="19"/>
  <c r="S86" i="19"/>
  <c r="V86" i="19"/>
  <c r="W86" i="19"/>
  <c r="X86" i="19"/>
  <c r="Z86" i="19"/>
  <c r="D85" i="32" s="1"/>
  <c r="AA86" i="19"/>
  <c r="D85" i="33" s="1"/>
  <c r="C87" i="19"/>
  <c r="D87" i="19"/>
  <c r="E87" i="19"/>
  <c r="F87" i="19"/>
  <c r="H87" i="19"/>
  <c r="I87" i="19"/>
  <c r="J87" i="19"/>
  <c r="K87" i="19"/>
  <c r="L87" i="19"/>
  <c r="M87" i="19"/>
  <c r="N87" i="19"/>
  <c r="P87" i="19"/>
  <c r="Q87" i="19"/>
  <c r="S87" i="19"/>
  <c r="V87" i="19"/>
  <c r="W87" i="19"/>
  <c r="X87" i="19"/>
  <c r="Z87" i="19"/>
  <c r="D86" i="32" s="1"/>
  <c r="AA87" i="19"/>
  <c r="D86" i="33" s="1"/>
  <c r="C88" i="19"/>
  <c r="D88" i="19"/>
  <c r="E88" i="19"/>
  <c r="F88" i="19"/>
  <c r="H88" i="19"/>
  <c r="I88" i="19"/>
  <c r="J88" i="19"/>
  <c r="K88" i="19"/>
  <c r="L88" i="19"/>
  <c r="M88" i="19"/>
  <c r="N88" i="19"/>
  <c r="P88" i="19"/>
  <c r="Q88" i="19"/>
  <c r="S88" i="19"/>
  <c r="V88" i="19"/>
  <c r="W88" i="19"/>
  <c r="X88" i="19"/>
  <c r="Z88" i="19"/>
  <c r="D87" i="32" s="1"/>
  <c r="AA88" i="19"/>
  <c r="D87" i="33" s="1"/>
  <c r="C89" i="19"/>
  <c r="D89" i="19"/>
  <c r="E89" i="19"/>
  <c r="F89" i="19"/>
  <c r="H89" i="19"/>
  <c r="I89" i="19"/>
  <c r="J89" i="19"/>
  <c r="K89" i="19"/>
  <c r="L89" i="19"/>
  <c r="M89" i="19"/>
  <c r="N89" i="19"/>
  <c r="P89" i="19"/>
  <c r="Q89" i="19"/>
  <c r="S89" i="19"/>
  <c r="V89" i="19"/>
  <c r="W89" i="19"/>
  <c r="X89" i="19"/>
  <c r="Z89" i="19"/>
  <c r="D88" i="32" s="1"/>
  <c r="AA89" i="19"/>
  <c r="D88" i="33" s="1"/>
  <c r="C90" i="19"/>
  <c r="D90" i="19"/>
  <c r="E90" i="19"/>
  <c r="F90" i="19"/>
  <c r="H90" i="19"/>
  <c r="I90" i="19"/>
  <c r="J90" i="19"/>
  <c r="K90" i="19"/>
  <c r="L90" i="19"/>
  <c r="M90" i="19"/>
  <c r="N90" i="19"/>
  <c r="P90" i="19"/>
  <c r="Q90" i="19"/>
  <c r="S90" i="19"/>
  <c r="V90" i="19"/>
  <c r="W90" i="19"/>
  <c r="X90" i="19"/>
  <c r="Z90" i="19"/>
  <c r="D89" i="32" s="1"/>
  <c r="AA90" i="19"/>
  <c r="D89" i="33" s="1"/>
  <c r="C91" i="19"/>
  <c r="D91" i="19"/>
  <c r="E91" i="19"/>
  <c r="F91" i="19"/>
  <c r="H91" i="19"/>
  <c r="I91" i="19"/>
  <c r="J91" i="19"/>
  <c r="K91" i="19"/>
  <c r="L91" i="19"/>
  <c r="M91" i="19"/>
  <c r="N91" i="19"/>
  <c r="P91" i="19"/>
  <c r="Q91" i="19"/>
  <c r="S91" i="19"/>
  <c r="V91" i="19"/>
  <c r="W91" i="19"/>
  <c r="X91" i="19"/>
  <c r="Z91" i="19"/>
  <c r="D90" i="32" s="1"/>
  <c r="AA91" i="19"/>
  <c r="D90" i="33" s="1"/>
  <c r="C92" i="19"/>
  <c r="D92" i="19"/>
  <c r="E92" i="19"/>
  <c r="F92" i="19"/>
  <c r="H92" i="19"/>
  <c r="I92" i="19"/>
  <c r="J92" i="19"/>
  <c r="K92" i="19"/>
  <c r="L92" i="19"/>
  <c r="M92" i="19"/>
  <c r="N92" i="19"/>
  <c r="P92" i="19"/>
  <c r="Q92" i="19"/>
  <c r="S92" i="19"/>
  <c r="V92" i="19"/>
  <c r="W92" i="19"/>
  <c r="X92" i="19"/>
  <c r="Z92" i="19"/>
  <c r="D91" i="32" s="1"/>
  <c r="AA92" i="19"/>
  <c r="D91" i="33" s="1"/>
  <c r="C93" i="19"/>
  <c r="D93" i="19"/>
  <c r="E93" i="19"/>
  <c r="F93" i="19"/>
  <c r="H93" i="19"/>
  <c r="I93" i="19"/>
  <c r="J93" i="19"/>
  <c r="K93" i="19"/>
  <c r="L93" i="19"/>
  <c r="M93" i="19"/>
  <c r="N93" i="19"/>
  <c r="P93" i="19"/>
  <c r="Q93" i="19"/>
  <c r="S93" i="19"/>
  <c r="V93" i="19"/>
  <c r="W93" i="19"/>
  <c r="X93" i="19"/>
  <c r="Z93" i="19"/>
  <c r="D92" i="32" s="1"/>
  <c r="AA93" i="19"/>
  <c r="D92" i="33" s="1"/>
  <c r="C94" i="19"/>
  <c r="D94" i="19"/>
  <c r="E94" i="19"/>
  <c r="F94" i="19"/>
  <c r="H94" i="19"/>
  <c r="I94" i="19"/>
  <c r="J94" i="19"/>
  <c r="K94" i="19"/>
  <c r="L94" i="19"/>
  <c r="M94" i="19"/>
  <c r="N94" i="19"/>
  <c r="P94" i="19"/>
  <c r="Q94" i="19"/>
  <c r="S94" i="19"/>
  <c r="V94" i="19"/>
  <c r="W94" i="19"/>
  <c r="X94" i="19"/>
  <c r="Z94" i="19"/>
  <c r="D93" i="32" s="1"/>
  <c r="AA94" i="19"/>
  <c r="D93" i="33" s="1"/>
  <c r="C95" i="19"/>
  <c r="D95" i="19"/>
  <c r="E95" i="19"/>
  <c r="F95" i="19"/>
  <c r="H95" i="19"/>
  <c r="I95" i="19"/>
  <c r="J95" i="19"/>
  <c r="K95" i="19"/>
  <c r="L95" i="19"/>
  <c r="M95" i="19"/>
  <c r="N95" i="19"/>
  <c r="P95" i="19"/>
  <c r="Q95" i="19"/>
  <c r="S95" i="19"/>
  <c r="V95" i="19"/>
  <c r="W95" i="19"/>
  <c r="X95" i="19"/>
  <c r="Z95" i="19"/>
  <c r="D94" i="32" s="1"/>
  <c r="AA95" i="19"/>
  <c r="D94" i="33" s="1"/>
  <c r="C96" i="19"/>
  <c r="D96" i="19"/>
  <c r="E96" i="19"/>
  <c r="F96" i="19"/>
  <c r="H96" i="19"/>
  <c r="I96" i="19"/>
  <c r="J96" i="19"/>
  <c r="K96" i="19"/>
  <c r="L96" i="19"/>
  <c r="M96" i="19"/>
  <c r="N96" i="19"/>
  <c r="P96" i="19"/>
  <c r="Q96" i="19"/>
  <c r="S96" i="19"/>
  <c r="V96" i="19"/>
  <c r="W96" i="19"/>
  <c r="X96" i="19"/>
  <c r="Z96" i="19"/>
  <c r="D95" i="32" s="1"/>
  <c r="AA96" i="19"/>
  <c r="D95" i="33" s="1"/>
  <c r="C97" i="19"/>
  <c r="D97" i="19"/>
  <c r="E97" i="19"/>
  <c r="F97" i="19"/>
  <c r="H97" i="19"/>
  <c r="I97" i="19"/>
  <c r="J97" i="19"/>
  <c r="K97" i="19"/>
  <c r="L97" i="19"/>
  <c r="M97" i="19"/>
  <c r="N97" i="19"/>
  <c r="P97" i="19"/>
  <c r="Q97" i="19"/>
  <c r="S97" i="19"/>
  <c r="V97" i="19"/>
  <c r="W97" i="19"/>
  <c r="X97" i="19"/>
  <c r="Z97" i="19"/>
  <c r="D96" i="32" s="1"/>
  <c r="AA97" i="19"/>
  <c r="D96" i="33" s="1"/>
  <c r="C98" i="19"/>
  <c r="D98" i="19"/>
  <c r="E98" i="19"/>
  <c r="F98" i="19"/>
  <c r="H98" i="19"/>
  <c r="I98" i="19"/>
  <c r="J98" i="19"/>
  <c r="K98" i="19"/>
  <c r="L98" i="19"/>
  <c r="M98" i="19"/>
  <c r="N98" i="19"/>
  <c r="P98" i="19"/>
  <c r="Q98" i="19"/>
  <c r="S98" i="19"/>
  <c r="V98" i="19"/>
  <c r="W98" i="19"/>
  <c r="X98" i="19"/>
  <c r="Z98" i="19"/>
  <c r="D97" i="32" s="1"/>
  <c r="AA98" i="19"/>
  <c r="D97" i="33" s="1"/>
  <c r="C99" i="19"/>
  <c r="D99" i="19"/>
  <c r="E99" i="19"/>
  <c r="F99" i="19"/>
  <c r="H99" i="19"/>
  <c r="I99" i="19"/>
  <c r="J99" i="19"/>
  <c r="K99" i="19"/>
  <c r="L99" i="19"/>
  <c r="M99" i="19"/>
  <c r="N99" i="19"/>
  <c r="P99" i="19"/>
  <c r="Q99" i="19"/>
  <c r="S99" i="19"/>
  <c r="V99" i="19"/>
  <c r="W99" i="19"/>
  <c r="X99" i="19"/>
  <c r="Z99" i="19"/>
  <c r="D98" i="32" s="1"/>
  <c r="AA99" i="19"/>
  <c r="D98" i="33" s="1"/>
  <c r="C100" i="19"/>
  <c r="D100" i="19"/>
  <c r="E100" i="19"/>
  <c r="F100" i="19"/>
  <c r="H100" i="19"/>
  <c r="I100" i="19"/>
  <c r="J100" i="19"/>
  <c r="K100" i="19"/>
  <c r="L100" i="19"/>
  <c r="M100" i="19"/>
  <c r="N100" i="19"/>
  <c r="P100" i="19"/>
  <c r="Q100" i="19"/>
  <c r="S100" i="19"/>
  <c r="V100" i="19"/>
  <c r="W100" i="19"/>
  <c r="X100" i="19"/>
  <c r="Z100" i="19"/>
  <c r="D99" i="32" s="1"/>
  <c r="AA100" i="19"/>
  <c r="D99" i="33" s="1"/>
  <c r="C101" i="19"/>
  <c r="D101" i="19"/>
  <c r="E101" i="19"/>
  <c r="F101" i="19"/>
  <c r="H101" i="19"/>
  <c r="I101" i="19"/>
  <c r="J101" i="19"/>
  <c r="K101" i="19"/>
  <c r="L101" i="19"/>
  <c r="M101" i="19"/>
  <c r="N101" i="19"/>
  <c r="P101" i="19"/>
  <c r="Q101" i="19"/>
  <c r="S101" i="19"/>
  <c r="V101" i="19"/>
  <c r="W101" i="19"/>
  <c r="X101" i="19"/>
  <c r="Z101" i="19"/>
  <c r="D100" i="32" s="1"/>
  <c r="AA101" i="19"/>
  <c r="D100" i="33" s="1"/>
  <c r="C102" i="19"/>
  <c r="D102" i="19"/>
  <c r="E102" i="19"/>
  <c r="F102" i="19"/>
  <c r="H102" i="19"/>
  <c r="I102" i="19"/>
  <c r="J102" i="19"/>
  <c r="K102" i="19"/>
  <c r="L102" i="19"/>
  <c r="M102" i="19"/>
  <c r="N102" i="19"/>
  <c r="P102" i="19"/>
  <c r="Q102" i="19"/>
  <c r="S102" i="19"/>
  <c r="V102" i="19"/>
  <c r="W102" i="19"/>
  <c r="X102" i="19"/>
  <c r="Z102" i="19"/>
  <c r="D101" i="32" s="1"/>
  <c r="AA102" i="19"/>
  <c r="D101" i="33" s="1"/>
  <c r="C103" i="19"/>
  <c r="D103" i="19"/>
  <c r="E103" i="19"/>
  <c r="F103" i="19"/>
  <c r="H103" i="19"/>
  <c r="I103" i="19"/>
  <c r="J103" i="19"/>
  <c r="K103" i="19"/>
  <c r="L103" i="19"/>
  <c r="M103" i="19"/>
  <c r="N103" i="19"/>
  <c r="P103" i="19"/>
  <c r="Q103" i="19"/>
  <c r="S103" i="19"/>
  <c r="V103" i="19"/>
  <c r="W103" i="19"/>
  <c r="X103" i="19"/>
  <c r="Z103" i="19"/>
  <c r="D102" i="32" s="1"/>
  <c r="AA103" i="19"/>
  <c r="D102" i="33" s="1"/>
  <c r="C104" i="19"/>
  <c r="D104" i="19"/>
  <c r="E104" i="19"/>
  <c r="F104" i="19"/>
  <c r="H104" i="19"/>
  <c r="I104" i="19"/>
  <c r="J104" i="19"/>
  <c r="K104" i="19"/>
  <c r="L104" i="19"/>
  <c r="M104" i="19"/>
  <c r="N104" i="19"/>
  <c r="P104" i="19"/>
  <c r="Q104" i="19"/>
  <c r="S104" i="19"/>
  <c r="V104" i="19"/>
  <c r="W104" i="19"/>
  <c r="X104" i="19"/>
  <c r="Z104" i="19"/>
  <c r="D103" i="32" s="1"/>
  <c r="AA104" i="19"/>
  <c r="D103" i="33" s="1"/>
  <c r="C105" i="19"/>
  <c r="D105" i="19"/>
  <c r="E105" i="19"/>
  <c r="F105" i="19"/>
  <c r="H105" i="19"/>
  <c r="I105" i="19"/>
  <c r="J105" i="19"/>
  <c r="K105" i="19"/>
  <c r="L105" i="19"/>
  <c r="M105" i="19"/>
  <c r="N105" i="19"/>
  <c r="P105" i="19"/>
  <c r="Q105" i="19"/>
  <c r="S105" i="19"/>
  <c r="V105" i="19"/>
  <c r="W105" i="19"/>
  <c r="X105" i="19"/>
  <c r="Z105" i="19"/>
  <c r="D104" i="32" s="1"/>
  <c r="AA105" i="19"/>
  <c r="D104" i="33" s="1"/>
  <c r="C106" i="19"/>
  <c r="D106" i="19"/>
  <c r="E106" i="19"/>
  <c r="F106" i="19"/>
  <c r="H106" i="19"/>
  <c r="I106" i="19"/>
  <c r="J106" i="19"/>
  <c r="K106" i="19"/>
  <c r="L106" i="19"/>
  <c r="M106" i="19"/>
  <c r="N106" i="19"/>
  <c r="P106" i="19"/>
  <c r="Q106" i="19"/>
  <c r="S106" i="19"/>
  <c r="V106" i="19"/>
  <c r="W106" i="19"/>
  <c r="X106" i="19"/>
  <c r="Z106" i="19"/>
  <c r="D105" i="32" s="1"/>
  <c r="AA106" i="19"/>
  <c r="D105" i="33" s="1"/>
  <c r="C107" i="19"/>
  <c r="D107" i="19"/>
  <c r="E107" i="19"/>
  <c r="F107" i="19"/>
  <c r="H107" i="19"/>
  <c r="I107" i="19"/>
  <c r="J107" i="19"/>
  <c r="K107" i="19"/>
  <c r="L107" i="19"/>
  <c r="M107" i="19"/>
  <c r="N107" i="19"/>
  <c r="P107" i="19"/>
  <c r="Q107" i="19"/>
  <c r="S107" i="19"/>
  <c r="V107" i="19"/>
  <c r="W107" i="19"/>
  <c r="X107" i="19"/>
  <c r="Z107" i="19"/>
  <c r="D106" i="32" s="1"/>
  <c r="AA107" i="19"/>
  <c r="D106" i="33" s="1"/>
  <c r="C108" i="19"/>
  <c r="D108" i="19"/>
  <c r="E108" i="19"/>
  <c r="F108" i="19"/>
  <c r="H108" i="19"/>
  <c r="I108" i="19"/>
  <c r="J108" i="19"/>
  <c r="K108" i="19"/>
  <c r="L108" i="19"/>
  <c r="M108" i="19"/>
  <c r="N108" i="19"/>
  <c r="P108" i="19"/>
  <c r="Q108" i="19"/>
  <c r="S108" i="19"/>
  <c r="V108" i="19"/>
  <c r="W108" i="19"/>
  <c r="X108" i="19"/>
  <c r="Z108" i="19"/>
  <c r="D107" i="32" s="1"/>
  <c r="AA108" i="19"/>
  <c r="D107" i="33" s="1"/>
  <c r="C109" i="19"/>
  <c r="D109" i="19"/>
  <c r="E109" i="19"/>
  <c r="F109" i="19"/>
  <c r="H109" i="19"/>
  <c r="I109" i="19"/>
  <c r="J109" i="19"/>
  <c r="K109" i="19"/>
  <c r="L109" i="19"/>
  <c r="M109" i="19"/>
  <c r="N109" i="19"/>
  <c r="P109" i="19"/>
  <c r="Q109" i="19"/>
  <c r="S109" i="19"/>
  <c r="V109" i="19"/>
  <c r="W109" i="19"/>
  <c r="X109" i="19"/>
  <c r="Z109" i="19"/>
  <c r="D108" i="32" s="1"/>
  <c r="AA109" i="19"/>
  <c r="D108" i="33" s="1"/>
  <c r="C110" i="19"/>
  <c r="D110" i="19"/>
  <c r="E110" i="19"/>
  <c r="F110" i="19"/>
  <c r="H110" i="19"/>
  <c r="I110" i="19"/>
  <c r="J110" i="19"/>
  <c r="K110" i="19"/>
  <c r="L110" i="19"/>
  <c r="M110" i="19"/>
  <c r="N110" i="19"/>
  <c r="P110" i="19"/>
  <c r="Q110" i="19"/>
  <c r="S110" i="19"/>
  <c r="V110" i="19"/>
  <c r="W110" i="19"/>
  <c r="X110" i="19"/>
  <c r="Z110" i="19"/>
  <c r="D109" i="32" s="1"/>
  <c r="AA110" i="19"/>
  <c r="D109" i="33" s="1"/>
  <c r="C111" i="19"/>
  <c r="D111" i="19"/>
  <c r="E111" i="19"/>
  <c r="F111" i="19"/>
  <c r="H111" i="19"/>
  <c r="I111" i="19"/>
  <c r="J111" i="19"/>
  <c r="K111" i="19"/>
  <c r="L111" i="19"/>
  <c r="M111" i="19"/>
  <c r="N111" i="19"/>
  <c r="P111" i="19"/>
  <c r="Q111" i="19"/>
  <c r="S111" i="19"/>
  <c r="V111" i="19"/>
  <c r="W111" i="19"/>
  <c r="X111" i="19"/>
  <c r="Z111" i="19"/>
  <c r="D110" i="32" s="1"/>
  <c r="AA111" i="19"/>
  <c r="D110" i="33" s="1"/>
  <c r="C112" i="19"/>
  <c r="D112" i="19"/>
  <c r="E112" i="19"/>
  <c r="F112" i="19"/>
  <c r="H112" i="19"/>
  <c r="I112" i="19"/>
  <c r="J112" i="19"/>
  <c r="K112" i="19"/>
  <c r="L112" i="19"/>
  <c r="M112" i="19"/>
  <c r="N112" i="19"/>
  <c r="P112" i="19"/>
  <c r="Q112" i="19"/>
  <c r="S112" i="19"/>
  <c r="V112" i="19"/>
  <c r="W112" i="19"/>
  <c r="X112" i="19"/>
  <c r="Z112" i="19"/>
  <c r="D111" i="32" s="1"/>
  <c r="AA112" i="19"/>
  <c r="D111" i="33" s="1"/>
  <c r="C113" i="19"/>
  <c r="D113" i="19"/>
  <c r="E113" i="19"/>
  <c r="F113" i="19"/>
  <c r="H113" i="19"/>
  <c r="I113" i="19"/>
  <c r="J113" i="19"/>
  <c r="K113" i="19"/>
  <c r="L113" i="19"/>
  <c r="M113" i="19"/>
  <c r="N113" i="19"/>
  <c r="P113" i="19"/>
  <c r="Q113" i="19"/>
  <c r="S113" i="19"/>
  <c r="V113" i="19"/>
  <c r="W113" i="19"/>
  <c r="X113" i="19"/>
  <c r="Z113" i="19"/>
  <c r="D112" i="32" s="1"/>
  <c r="AA113" i="19"/>
  <c r="D112" i="33" s="1"/>
  <c r="C114" i="19"/>
  <c r="D114" i="19"/>
  <c r="E114" i="19"/>
  <c r="F114" i="19"/>
  <c r="H114" i="19"/>
  <c r="I114" i="19"/>
  <c r="J114" i="19"/>
  <c r="K114" i="19"/>
  <c r="L114" i="19"/>
  <c r="M114" i="19"/>
  <c r="N114" i="19"/>
  <c r="P114" i="19"/>
  <c r="Q114" i="19"/>
  <c r="S114" i="19"/>
  <c r="V114" i="19"/>
  <c r="W114" i="19"/>
  <c r="X114" i="19"/>
  <c r="Z114" i="19"/>
  <c r="D113" i="32" s="1"/>
  <c r="AA114" i="19"/>
  <c r="D113" i="33" s="1"/>
  <c r="C115" i="19"/>
  <c r="D115" i="19"/>
  <c r="E115" i="19"/>
  <c r="F115" i="19"/>
  <c r="H115" i="19"/>
  <c r="I115" i="19"/>
  <c r="J115" i="19"/>
  <c r="K115" i="19"/>
  <c r="L115" i="19"/>
  <c r="M115" i="19"/>
  <c r="N115" i="19"/>
  <c r="P115" i="19"/>
  <c r="Q115" i="19"/>
  <c r="S115" i="19"/>
  <c r="V115" i="19"/>
  <c r="W115" i="19"/>
  <c r="X115" i="19"/>
  <c r="Z115" i="19"/>
  <c r="D114" i="32" s="1"/>
  <c r="AA115" i="19"/>
  <c r="D114" i="33" s="1"/>
  <c r="C116" i="19"/>
  <c r="D116" i="19"/>
  <c r="E116" i="19"/>
  <c r="F116" i="19"/>
  <c r="H116" i="19"/>
  <c r="I116" i="19"/>
  <c r="J116" i="19"/>
  <c r="K116" i="19"/>
  <c r="L116" i="19"/>
  <c r="M116" i="19"/>
  <c r="N116" i="19"/>
  <c r="P116" i="19"/>
  <c r="Q116" i="19"/>
  <c r="S116" i="19"/>
  <c r="V116" i="19"/>
  <c r="W116" i="19"/>
  <c r="X116" i="19"/>
  <c r="Z116" i="19"/>
  <c r="D115" i="32" s="1"/>
  <c r="AA116" i="19"/>
  <c r="D115" i="33" s="1"/>
  <c r="C117" i="19"/>
  <c r="D117" i="19"/>
  <c r="E117" i="19"/>
  <c r="F117" i="19"/>
  <c r="H117" i="19"/>
  <c r="I117" i="19"/>
  <c r="J117" i="19"/>
  <c r="K117" i="19"/>
  <c r="L117" i="19"/>
  <c r="M117" i="19"/>
  <c r="N117" i="19"/>
  <c r="P117" i="19"/>
  <c r="Q117" i="19"/>
  <c r="S117" i="19"/>
  <c r="V117" i="19"/>
  <c r="W117" i="19"/>
  <c r="X117" i="19"/>
  <c r="Z117" i="19"/>
  <c r="D116" i="32" s="1"/>
  <c r="AA117" i="19"/>
  <c r="D116" i="33" s="1"/>
  <c r="C118" i="19"/>
  <c r="D118" i="19"/>
  <c r="E118" i="19"/>
  <c r="F118" i="19"/>
  <c r="H118" i="19"/>
  <c r="I118" i="19"/>
  <c r="J118" i="19"/>
  <c r="K118" i="19"/>
  <c r="L118" i="19"/>
  <c r="M118" i="19"/>
  <c r="N118" i="19"/>
  <c r="P118" i="19"/>
  <c r="Q118" i="19"/>
  <c r="S118" i="19"/>
  <c r="V118" i="19"/>
  <c r="W118" i="19"/>
  <c r="X118" i="19"/>
  <c r="Z118" i="19"/>
  <c r="D117" i="32" s="1"/>
  <c r="AA118" i="19"/>
  <c r="D117" i="33" s="1"/>
  <c r="C119" i="19"/>
  <c r="D119" i="19"/>
  <c r="E119" i="19"/>
  <c r="F119" i="19"/>
  <c r="H119" i="19"/>
  <c r="I119" i="19"/>
  <c r="J119" i="19"/>
  <c r="K119" i="19"/>
  <c r="L119" i="19"/>
  <c r="M119" i="19"/>
  <c r="N119" i="19"/>
  <c r="P119" i="19"/>
  <c r="Q119" i="19"/>
  <c r="S119" i="19"/>
  <c r="V119" i="19"/>
  <c r="W119" i="19"/>
  <c r="X119" i="19"/>
  <c r="Z119" i="19"/>
  <c r="D118" i="32" s="1"/>
  <c r="AA119" i="19"/>
  <c r="D118" i="33" s="1"/>
  <c r="C120" i="19"/>
  <c r="D120" i="19"/>
  <c r="E120" i="19"/>
  <c r="F120" i="19"/>
  <c r="H120" i="19"/>
  <c r="I120" i="19"/>
  <c r="J120" i="19"/>
  <c r="K120" i="19"/>
  <c r="L120" i="19"/>
  <c r="M120" i="19"/>
  <c r="N120" i="19"/>
  <c r="P120" i="19"/>
  <c r="Q120" i="19"/>
  <c r="S120" i="19"/>
  <c r="V120" i="19"/>
  <c r="W120" i="19"/>
  <c r="X120" i="19"/>
  <c r="Z120" i="19"/>
  <c r="D119" i="32" s="1"/>
  <c r="AA120" i="19"/>
  <c r="D119" i="33" s="1"/>
  <c r="C121" i="19"/>
  <c r="D121" i="19"/>
  <c r="E121" i="19"/>
  <c r="F121" i="19"/>
  <c r="H121" i="19"/>
  <c r="I121" i="19"/>
  <c r="J121" i="19"/>
  <c r="K121" i="19"/>
  <c r="L121" i="19"/>
  <c r="M121" i="19"/>
  <c r="N121" i="19"/>
  <c r="P121" i="19"/>
  <c r="Q121" i="19"/>
  <c r="S121" i="19"/>
  <c r="V121" i="19"/>
  <c r="W121" i="19"/>
  <c r="X121" i="19"/>
  <c r="Z121" i="19"/>
  <c r="D120" i="32" s="1"/>
  <c r="AA121" i="19"/>
  <c r="D120" i="33" s="1"/>
  <c r="C122" i="19"/>
  <c r="D122" i="19"/>
  <c r="E122" i="19"/>
  <c r="F122" i="19"/>
  <c r="H122" i="19"/>
  <c r="I122" i="19"/>
  <c r="J122" i="19"/>
  <c r="K122" i="19"/>
  <c r="L122" i="19"/>
  <c r="M122" i="19"/>
  <c r="N122" i="19"/>
  <c r="P122" i="19"/>
  <c r="Q122" i="19"/>
  <c r="S122" i="19"/>
  <c r="V122" i="19"/>
  <c r="W122" i="19"/>
  <c r="X122" i="19"/>
  <c r="Z122" i="19"/>
  <c r="D121" i="32" s="1"/>
  <c r="AA122" i="19"/>
  <c r="D121" i="33" s="1"/>
  <c r="C123" i="19"/>
  <c r="D123" i="19"/>
  <c r="E123" i="19"/>
  <c r="F123" i="19"/>
  <c r="H123" i="19"/>
  <c r="I123" i="19"/>
  <c r="J123" i="19"/>
  <c r="K123" i="19"/>
  <c r="L123" i="19"/>
  <c r="M123" i="19"/>
  <c r="N123" i="19"/>
  <c r="P123" i="19"/>
  <c r="Q123" i="19"/>
  <c r="S123" i="19"/>
  <c r="V123" i="19"/>
  <c r="W123" i="19"/>
  <c r="X123" i="19"/>
  <c r="Z123" i="19"/>
  <c r="D122" i="32" s="1"/>
  <c r="AA123" i="19"/>
  <c r="D122" i="33" s="1"/>
  <c r="C124" i="19"/>
  <c r="D124" i="19"/>
  <c r="E124" i="19"/>
  <c r="F124" i="19"/>
  <c r="H124" i="19"/>
  <c r="I124" i="19"/>
  <c r="J124" i="19"/>
  <c r="K124" i="19"/>
  <c r="L124" i="19"/>
  <c r="M124" i="19"/>
  <c r="N124" i="19"/>
  <c r="P124" i="19"/>
  <c r="Q124" i="19"/>
  <c r="S124" i="19"/>
  <c r="V124" i="19"/>
  <c r="W124" i="19"/>
  <c r="X124" i="19"/>
  <c r="Z124" i="19"/>
  <c r="D123" i="32" s="1"/>
  <c r="AA124" i="19"/>
  <c r="D123" i="33" s="1"/>
  <c r="C125" i="19"/>
  <c r="D125" i="19"/>
  <c r="E125" i="19"/>
  <c r="F125" i="19"/>
  <c r="H125" i="19"/>
  <c r="I125" i="19"/>
  <c r="J125" i="19"/>
  <c r="K125" i="19"/>
  <c r="L125" i="19"/>
  <c r="M125" i="19"/>
  <c r="N125" i="19"/>
  <c r="P125" i="19"/>
  <c r="Q125" i="19"/>
  <c r="S125" i="19"/>
  <c r="V125" i="19"/>
  <c r="W125" i="19"/>
  <c r="X125" i="19"/>
  <c r="Z125" i="19"/>
  <c r="D124" i="32" s="1"/>
  <c r="AA125" i="19"/>
  <c r="D124" i="33" s="1"/>
  <c r="C126" i="19"/>
  <c r="D126" i="19"/>
  <c r="E126" i="19"/>
  <c r="F126" i="19"/>
  <c r="H126" i="19"/>
  <c r="I126" i="19"/>
  <c r="J126" i="19"/>
  <c r="K126" i="19"/>
  <c r="L126" i="19"/>
  <c r="M126" i="19"/>
  <c r="N126" i="19"/>
  <c r="P126" i="19"/>
  <c r="Q126" i="19"/>
  <c r="S126" i="19"/>
  <c r="V126" i="19"/>
  <c r="W126" i="19"/>
  <c r="X126" i="19"/>
  <c r="Z126" i="19"/>
  <c r="D125" i="32" s="1"/>
  <c r="AA126" i="19"/>
  <c r="D125" i="33" s="1"/>
  <c r="C127" i="19"/>
  <c r="D127" i="19"/>
  <c r="E127" i="19"/>
  <c r="F127" i="19"/>
  <c r="H127" i="19"/>
  <c r="I127" i="19"/>
  <c r="J127" i="19"/>
  <c r="K127" i="19"/>
  <c r="L127" i="19"/>
  <c r="M127" i="19"/>
  <c r="N127" i="19"/>
  <c r="P127" i="19"/>
  <c r="Q127" i="19"/>
  <c r="S127" i="19"/>
  <c r="V127" i="19"/>
  <c r="W127" i="19"/>
  <c r="X127" i="19"/>
  <c r="Z127" i="19"/>
  <c r="D126" i="32" s="1"/>
  <c r="AA127" i="19"/>
  <c r="D126" i="33" s="1"/>
  <c r="C128" i="19"/>
  <c r="D128" i="19"/>
  <c r="E128" i="19"/>
  <c r="F128" i="19"/>
  <c r="H128" i="19"/>
  <c r="I128" i="19"/>
  <c r="J128" i="19"/>
  <c r="K128" i="19"/>
  <c r="L128" i="19"/>
  <c r="M128" i="19"/>
  <c r="N128" i="19"/>
  <c r="P128" i="19"/>
  <c r="Q128" i="19"/>
  <c r="S128" i="19"/>
  <c r="V128" i="19"/>
  <c r="W128" i="19"/>
  <c r="X128" i="19"/>
  <c r="Z128" i="19"/>
  <c r="D127" i="32" s="1"/>
  <c r="AA128" i="19"/>
  <c r="D127" i="33" s="1"/>
  <c r="C129" i="19"/>
  <c r="D129" i="19"/>
  <c r="E129" i="19"/>
  <c r="F129" i="19"/>
  <c r="H129" i="19"/>
  <c r="I129" i="19"/>
  <c r="J129" i="19"/>
  <c r="K129" i="19"/>
  <c r="L129" i="19"/>
  <c r="M129" i="19"/>
  <c r="N129" i="19"/>
  <c r="P129" i="19"/>
  <c r="Q129" i="19"/>
  <c r="S129" i="19"/>
  <c r="V129" i="19"/>
  <c r="W129" i="19"/>
  <c r="X129" i="19"/>
  <c r="Z129" i="19"/>
  <c r="D128" i="32" s="1"/>
  <c r="AA129" i="19"/>
  <c r="D128" i="33" s="1"/>
  <c r="C130" i="19"/>
  <c r="D130" i="19"/>
  <c r="E130" i="19"/>
  <c r="F130" i="19"/>
  <c r="H130" i="19"/>
  <c r="I130" i="19"/>
  <c r="J130" i="19"/>
  <c r="K130" i="19"/>
  <c r="L130" i="19"/>
  <c r="M130" i="19"/>
  <c r="N130" i="19"/>
  <c r="P130" i="19"/>
  <c r="Q130" i="19"/>
  <c r="S130" i="19"/>
  <c r="V130" i="19"/>
  <c r="W130" i="19"/>
  <c r="X130" i="19"/>
  <c r="Z130" i="19"/>
  <c r="D129" i="32" s="1"/>
  <c r="AA130" i="19"/>
  <c r="D129" i="33" s="1"/>
  <c r="C131" i="19"/>
  <c r="D131" i="19"/>
  <c r="E131" i="19"/>
  <c r="F131" i="19"/>
  <c r="H131" i="19"/>
  <c r="I131" i="19"/>
  <c r="J131" i="19"/>
  <c r="K131" i="19"/>
  <c r="L131" i="19"/>
  <c r="M131" i="19"/>
  <c r="N131" i="19"/>
  <c r="P131" i="19"/>
  <c r="Q131" i="19"/>
  <c r="S131" i="19"/>
  <c r="V131" i="19"/>
  <c r="W131" i="19"/>
  <c r="X131" i="19"/>
  <c r="Z131" i="19"/>
  <c r="D130" i="32" s="1"/>
  <c r="AA131" i="19"/>
  <c r="D130" i="33" s="1"/>
  <c r="C132" i="19"/>
  <c r="D132" i="19"/>
  <c r="E132" i="19"/>
  <c r="F132" i="19"/>
  <c r="H132" i="19"/>
  <c r="I132" i="19"/>
  <c r="J132" i="19"/>
  <c r="K132" i="19"/>
  <c r="L132" i="19"/>
  <c r="M132" i="19"/>
  <c r="N132" i="19"/>
  <c r="P132" i="19"/>
  <c r="Q132" i="19"/>
  <c r="S132" i="19"/>
  <c r="V132" i="19"/>
  <c r="W132" i="19"/>
  <c r="X132" i="19"/>
  <c r="Z132" i="19"/>
  <c r="D131" i="32" s="1"/>
  <c r="AA132" i="19"/>
  <c r="D131" i="33" s="1"/>
  <c r="C133" i="19"/>
  <c r="D133" i="19"/>
  <c r="E133" i="19"/>
  <c r="F133" i="19"/>
  <c r="H133" i="19"/>
  <c r="I133" i="19"/>
  <c r="J133" i="19"/>
  <c r="K133" i="19"/>
  <c r="L133" i="19"/>
  <c r="M133" i="19"/>
  <c r="N133" i="19"/>
  <c r="P133" i="19"/>
  <c r="Q133" i="19"/>
  <c r="S133" i="19"/>
  <c r="V133" i="19"/>
  <c r="W133" i="19"/>
  <c r="X133" i="19"/>
  <c r="Z133" i="19"/>
  <c r="D132" i="32" s="1"/>
  <c r="AA133" i="19"/>
  <c r="D132" i="33" s="1"/>
  <c r="C134" i="19"/>
  <c r="D134" i="19"/>
  <c r="E134" i="19"/>
  <c r="F134" i="19"/>
  <c r="H134" i="19"/>
  <c r="I134" i="19"/>
  <c r="J134" i="19"/>
  <c r="K134" i="19"/>
  <c r="L134" i="19"/>
  <c r="M134" i="19"/>
  <c r="N134" i="19"/>
  <c r="P134" i="19"/>
  <c r="Q134" i="19"/>
  <c r="S134" i="19"/>
  <c r="V134" i="19"/>
  <c r="W134" i="19"/>
  <c r="X134" i="19"/>
  <c r="Z134" i="19"/>
  <c r="D133" i="32" s="1"/>
  <c r="AA134" i="19"/>
  <c r="D133" i="33" s="1"/>
  <c r="C135" i="19"/>
  <c r="D135" i="19"/>
  <c r="E135" i="19"/>
  <c r="F135" i="19"/>
  <c r="H135" i="19"/>
  <c r="I135" i="19"/>
  <c r="J135" i="19"/>
  <c r="K135" i="19"/>
  <c r="L135" i="19"/>
  <c r="M135" i="19"/>
  <c r="N135" i="19"/>
  <c r="P135" i="19"/>
  <c r="Q135" i="19"/>
  <c r="S135" i="19"/>
  <c r="V135" i="19"/>
  <c r="W135" i="19"/>
  <c r="X135" i="19"/>
  <c r="Z135" i="19"/>
  <c r="D134" i="32" s="1"/>
  <c r="AA135" i="19"/>
  <c r="D134" i="33" s="1"/>
  <c r="C136" i="19"/>
  <c r="D136" i="19"/>
  <c r="E136" i="19"/>
  <c r="F136" i="19"/>
  <c r="H136" i="19"/>
  <c r="I136" i="19"/>
  <c r="J136" i="19"/>
  <c r="K136" i="19"/>
  <c r="L136" i="19"/>
  <c r="M136" i="19"/>
  <c r="N136" i="19"/>
  <c r="P136" i="19"/>
  <c r="Q136" i="19"/>
  <c r="S136" i="19"/>
  <c r="V136" i="19"/>
  <c r="W136" i="19"/>
  <c r="X136" i="19"/>
  <c r="Z136" i="19"/>
  <c r="D135" i="32" s="1"/>
  <c r="AA136" i="19"/>
  <c r="D135" i="33" s="1"/>
  <c r="C137" i="19"/>
  <c r="D137" i="19"/>
  <c r="E137" i="19"/>
  <c r="F137" i="19"/>
  <c r="H137" i="19"/>
  <c r="I137" i="19"/>
  <c r="J137" i="19"/>
  <c r="K137" i="19"/>
  <c r="L137" i="19"/>
  <c r="M137" i="19"/>
  <c r="N137" i="19"/>
  <c r="P137" i="19"/>
  <c r="Q137" i="19"/>
  <c r="S137" i="19"/>
  <c r="V137" i="19"/>
  <c r="W137" i="19"/>
  <c r="X137" i="19"/>
  <c r="Z137" i="19"/>
  <c r="D136" i="32" s="1"/>
  <c r="AA137" i="19"/>
  <c r="D136" i="33" s="1"/>
  <c r="C138" i="19"/>
  <c r="D138" i="19"/>
  <c r="E138" i="19"/>
  <c r="F138" i="19"/>
  <c r="H138" i="19"/>
  <c r="I138" i="19"/>
  <c r="J138" i="19"/>
  <c r="K138" i="19"/>
  <c r="L138" i="19"/>
  <c r="M138" i="19"/>
  <c r="N138" i="19"/>
  <c r="P138" i="19"/>
  <c r="Q138" i="19"/>
  <c r="S138" i="19"/>
  <c r="V138" i="19"/>
  <c r="W138" i="19"/>
  <c r="X138" i="19"/>
  <c r="Z138" i="19"/>
  <c r="D137" i="32" s="1"/>
  <c r="AA138" i="19"/>
  <c r="D137" i="33" s="1"/>
  <c r="C139" i="19"/>
  <c r="D139" i="19"/>
  <c r="E139" i="19"/>
  <c r="F139" i="19"/>
  <c r="H139" i="19"/>
  <c r="I139" i="19"/>
  <c r="J139" i="19"/>
  <c r="K139" i="19"/>
  <c r="L139" i="19"/>
  <c r="M139" i="19"/>
  <c r="N139" i="19"/>
  <c r="P139" i="19"/>
  <c r="Q139" i="19"/>
  <c r="S139" i="19"/>
  <c r="V139" i="19"/>
  <c r="W139" i="19"/>
  <c r="X139" i="19"/>
  <c r="Z139" i="19"/>
  <c r="D138" i="32" s="1"/>
  <c r="AA139" i="19"/>
  <c r="D138" i="33" s="1"/>
  <c r="C140" i="19"/>
  <c r="D140" i="19"/>
  <c r="E140" i="19"/>
  <c r="F140" i="19"/>
  <c r="H140" i="19"/>
  <c r="I140" i="19"/>
  <c r="J140" i="19"/>
  <c r="K140" i="19"/>
  <c r="L140" i="19"/>
  <c r="M140" i="19"/>
  <c r="N140" i="19"/>
  <c r="P140" i="19"/>
  <c r="Q140" i="19"/>
  <c r="S140" i="19"/>
  <c r="V140" i="19"/>
  <c r="W140" i="19"/>
  <c r="X140" i="19"/>
  <c r="Z140" i="19"/>
  <c r="D139" i="32" s="1"/>
  <c r="AA140" i="19"/>
  <c r="D139" i="33" s="1"/>
  <c r="C141" i="19"/>
  <c r="D141" i="19"/>
  <c r="E141" i="19"/>
  <c r="F141" i="19"/>
  <c r="H141" i="19"/>
  <c r="I141" i="19"/>
  <c r="J141" i="19"/>
  <c r="K141" i="19"/>
  <c r="L141" i="19"/>
  <c r="M141" i="19"/>
  <c r="N141" i="19"/>
  <c r="P141" i="19"/>
  <c r="Q141" i="19"/>
  <c r="S141" i="19"/>
  <c r="V141" i="19"/>
  <c r="W141" i="19"/>
  <c r="X141" i="19"/>
  <c r="Z141" i="19"/>
  <c r="D140" i="32" s="1"/>
  <c r="AA141" i="19"/>
  <c r="D140" i="33" s="1"/>
  <c r="C142" i="19"/>
  <c r="D142" i="19"/>
  <c r="E142" i="19"/>
  <c r="F142" i="19"/>
  <c r="H142" i="19"/>
  <c r="I142" i="19"/>
  <c r="J142" i="19"/>
  <c r="K142" i="19"/>
  <c r="L142" i="19"/>
  <c r="M142" i="19"/>
  <c r="N142" i="19"/>
  <c r="P142" i="19"/>
  <c r="Q142" i="19"/>
  <c r="S142" i="19"/>
  <c r="V142" i="19"/>
  <c r="W142" i="19"/>
  <c r="X142" i="19"/>
  <c r="Z142" i="19"/>
  <c r="D141" i="32" s="1"/>
  <c r="AA142" i="19"/>
  <c r="D141" i="33" s="1"/>
  <c r="C143" i="19"/>
  <c r="D143" i="19"/>
  <c r="E143" i="19"/>
  <c r="F143" i="19"/>
  <c r="H143" i="19"/>
  <c r="I143" i="19"/>
  <c r="J143" i="19"/>
  <c r="K143" i="19"/>
  <c r="L143" i="19"/>
  <c r="M143" i="19"/>
  <c r="N143" i="19"/>
  <c r="P143" i="19"/>
  <c r="Q143" i="19"/>
  <c r="S143" i="19"/>
  <c r="V143" i="19"/>
  <c r="W143" i="19"/>
  <c r="X143" i="19"/>
  <c r="Z143" i="19"/>
  <c r="D142" i="32" s="1"/>
  <c r="AA143" i="19"/>
  <c r="D142" i="33" s="1"/>
  <c r="C144" i="19"/>
  <c r="D144" i="19"/>
  <c r="E144" i="19"/>
  <c r="F144" i="19"/>
  <c r="H144" i="19"/>
  <c r="I144" i="19"/>
  <c r="J144" i="19"/>
  <c r="K144" i="19"/>
  <c r="L144" i="19"/>
  <c r="M144" i="19"/>
  <c r="N144" i="19"/>
  <c r="P144" i="19"/>
  <c r="Q144" i="19"/>
  <c r="S144" i="19"/>
  <c r="V144" i="19"/>
  <c r="W144" i="19"/>
  <c r="X144" i="19"/>
  <c r="Z144" i="19"/>
  <c r="D143" i="32" s="1"/>
  <c r="AA144" i="19"/>
  <c r="D143" i="33" s="1"/>
  <c r="C145" i="19"/>
  <c r="D145" i="19"/>
  <c r="E145" i="19"/>
  <c r="F145" i="19"/>
  <c r="H145" i="19"/>
  <c r="I145" i="19"/>
  <c r="J145" i="19"/>
  <c r="K145" i="19"/>
  <c r="L145" i="19"/>
  <c r="M145" i="19"/>
  <c r="N145" i="19"/>
  <c r="P145" i="19"/>
  <c r="Q145" i="19"/>
  <c r="S145" i="19"/>
  <c r="V145" i="19"/>
  <c r="W145" i="19"/>
  <c r="X145" i="19"/>
  <c r="Z145" i="19"/>
  <c r="D144" i="32" s="1"/>
  <c r="AA145" i="19"/>
  <c r="D144" i="33" s="1"/>
  <c r="C146" i="19"/>
  <c r="D146" i="19"/>
  <c r="E146" i="19"/>
  <c r="F146" i="19"/>
  <c r="H146" i="19"/>
  <c r="I146" i="19"/>
  <c r="J146" i="19"/>
  <c r="K146" i="19"/>
  <c r="L146" i="19"/>
  <c r="M146" i="19"/>
  <c r="N146" i="19"/>
  <c r="P146" i="19"/>
  <c r="Q146" i="19"/>
  <c r="S146" i="19"/>
  <c r="V146" i="19"/>
  <c r="W146" i="19"/>
  <c r="X146" i="19"/>
  <c r="Z146" i="19"/>
  <c r="D145" i="32" s="1"/>
  <c r="AA146" i="19"/>
  <c r="D145" i="33" s="1"/>
  <c r="C147" i="19"/>
  <c r="D147" i="19"/>
  <c r="E147" i="19"/>
  <c r="F147" i="19"/>
  <c r="H147" i="19"/>
  <c r="I147" i="19"/>
  <c r="J147" i="19"/>
  <c r="K147" i="19"/>
  <c r="L147" i="19"/>
  <c r="M147" i="19"/>
  <c r="N147" i="19"/>
  <c r="P147" i="19"/>
  <c r="Q147" i="19"/>
  <c r="S147" i="19"/>
  <c r="V147" i="19"/>
  <c r="W147" i="19"/>
  <c r="X147" i="19"/>
  <c r="Z147" i="19"/>
  <c r="D146" i="32" s="1"/>
  <c r="AA147" i="19"/>
  <c r="D146" i="33" s="1"/>
  <c r="C148" i="19"/>
  <c r="D148" i="19"/>
  <c r="E148" i="19"/>
  <c r="F148" i="19"/>
  <c r="H148" i="19"/>
  <c r="I148" i="19"/>
  <c r="J148" i="19"/>
  <c r="K148" i="19"/>
  <c r="L148" i="19"/>
  <c r="M148" i="19"/>
  <c r="N148" i="19"/>
  <c r="P148" i="19"/>
  <c r="Q148" i="19"/>
  <c r="S148" i="19"/>
  <c r="V148" i="19"/>
  <c r="W148" i="19"/>
  <c r="X148" i="19"/>
  <c r="Z148" i="19"/>
  <c r="D147" i="32" s="1"/>
  <c r="AA148" i="19"/>
  <c r="D147" i="33" s="1"/>
  <c r="C149" i="19"/>
  <c r="D149" i="19"/>
  <c r="E149" i="19"/>
  <c r="F149" i="19"/>
  <c r="H149" i="19"/>
  <c r="I149" i="19"/>
  <c r="J149" i="19"/>
  <c r="K149" i="19"/>
  <c r="L149" i="19"/>
  <c r="M149" i="19"/>
  <c r="N149" i="19"/>
  <c r="P149" i="19"/>
  <c r="Q149" i="19"/>
  <c r="S149" i="19"/>
  <c r="V149" i="19"/>
  <c r="W149" i="19"/>
  <c r="X149" i="19"/>
  <c r="Z149" i="19"/>
  <c r="D148" i="32" s="1"/>
  <c r="AA149" i="19"/>
  <c r="D148" i="33" s="1"/>
  <c r="C150" i="19"/>
  <c r="D150" i="19"/>
  <c r="E150" i="19"/>
  <c r="F150" i="19"/>
  <c r="H150" i="19"/>
  <c r="I150" i="19"/>
  <c r="J150" i="19"/>
  <c r="K150" i="19"/>
  <c r="L150" i="19"/>
  <c r="M150" i="19"/>
  <c r="N150" i="19"/>
  <c r="P150" i="19"/>
  <c r="Q150" i="19"/>
  <c r="S150" i="19"/>
  <c r="V150" i="19"/>
  <c r="W150" i="19"/>
  <c r="X150" i="19"/>
  <c r="Z150" i="19"/>
  <c r="D149" i="32" s="1"/>
  <c r="AA150" i="19"/>
  <c r="D149" i="33" s="1"/>
  <c r="C151" i="19"/>
  <c r="D151" i="19"/>
  <c r="E151" i="19"/>
  <c r="F151" i="19"/>
  <c r="H151" i="19"/>
  <c r="I151" i="19"/>
  <c r="J151" i="19"/>
  <c r="K151" i="19"/>
  <c r="L151" i="19"/>
  <c r="M151" i="19"/>
  <c r="N151" i="19"/>
  <c r="P151" i="19"/>
  <c r="Q151" i="19"/>
  <c r="S151" i="19"/>
  <c r="V151" i="19"/>
  <c r="W151" i="19"/>
  <c r="X151" i="19"/>
  <c r="Z151" i="19"/>
  <c r="D150" i="32" s="1"/>
  <c r="AA151" i="19"/>
  <c r="D150" i="33" s="1"/>
  <c r="C152" i="19"/>
  <c r="D152" i="19"/>
  <c r="E152" i="19"/>
  <c r="F152" i="19"/>
  <c r="H152" i="19"/>
  <c r="I152" i="19"/>
  <c r="J152" i="19"/>
  <c r="K152" i="19"/>
  <c r="L152" i="19"/>
  <c r="M152" i="19"/>
  <c r="N152" i="19"/>
  <c r="P152" i="19"/>
  <c r="Q152" i="19"/>
  <c r="S152" i="19"/>
  <c r="V152" i="19"/>
  <c r="W152" i="19"/>
  <c r="X152" i="19"/>
  <c r="Z152" i="19"/>
  <c r="D151" i="32" s="1"/>
  <c r="AA152" i="19"/>
  <c r="D151" i="33" s="1"/>
  <c r="C153" i="19"/>
  <c r="D153" i="19"/>
  <c r="E153" i="19"/>
  <c r="F153" i="19"/>
  <c r="H153" i="19"/>
  <c r="I153" i="19"/>
  <c r="J153" i="19"/>
  <c r="K153" i="19"/>
  <c r="L153" i="19"/>
  <c r="M153" i="19"/>
  <c r="N153" i="19"/>
  <c r="P153" i="19"/>
  <c r="Q153" i="19"/>
  <c r="S153" i="19"/>
  <c r="V153" i="19"/>
  <c r="W153" i="19"/>
  <c r="X153" i="19"/>
  <c r="Z153" i="19"/>
  <c r="D152" i="32" s="1"/>
  <c r="AA153" i="19"/>
  <c r="D152" i="33" s="1"/>
  <c r="C154" i="19"/>
  <c r="D154" i="19"/>
  <c r="E154" i="19"/>
  <c r="F154" i="19"/>
  <c r="H154" i="19"/>
  <c r="I154" i="19"/>
  <c r="J154" i="19"/>
  <c r="K154" i="19"/>
  <c r="L154" i="19"/>
  <c r="M154" i="19"/>
  <c r="N154" i="19"/>
  <c r="P154" i="19"/>
  <c r="Q154" i="19"/>
  <c r="S154" i="19"/>
  <c r="V154" i="19"/>
  <c r="W154" i="19"/>
  <c r="X154" i="19"/>
  <c r="Z154" i="19"/>
  <c r="D153" i="32" s="1"/>
  <c r="AA154" i="19"/>
  <c r="D153" i="33" s="1"/>
  <c r="C155" i="19"/>
  <c r="D155" i="19"/>
  <c r="E155" i="19"/>
  <c r="F155" i="19"/>
  <c r="H155" i="19"/>
  <c r="I155" i="19"/>
  <c r="J155" i="19"/>
  <c r="K155" i="19"/>
  <c r="L155" i="19"/>
  <c r="M155" i="19"/>
  <c r="N155" i="19"/>
  <c r="P155" i="19"/>
  <c r="Q155" i="19"/>
  <c r="S155" i="19"/>
  <c r="V155" i="19"/>
  <c r="W155" i="19"/>
  <c r="X155" i="19"/>
  <c r="Z155" i="19"/>
  <c r="D154" i="32" s="1"/>
  <c r="AA155" i="19"/>
  <c r="D154" i="33" s="1"/>
  <c r="C156" i="19"/>
  <c r="D156" i="19"/>
  <c r="E156" i="19"/>
  <c r="F156" i="19"/>
  <c r="H156" i="19"/>
  <c r="I156" i="19"/>
  <c r="J156" i="19"/>
  <c r="K156" i="19"/>
  <c r="L156" i="19"/>
  <c r="M156" i="19"/>
  <c r="N156" i="19"/>
  <c r="P156" i="19"/>
  <c r="Q156" i="19"/>
  <c r="S156" i="19"/>
  <c r="V156" i="19"/>
  <c r="W156" i="19"/>
  <c r="X156" i="19"/>
  <c r="Z156" i="19"/>
  <c r="D155" i="32" s="1"/>
  <c r="AA156" i="19"/>
  <c r="D155" i="33" s="1"/>
  <c r="C157" i="19"/>
  <c r="D157" i="19"/>
  <c r="E157" i="19"/>
  <c r="F157" i="19"/>
  <c r="H157" i="19"/>
  <c r="I157" i="19"/>
  <c r="J157" i="19"/>
  <c r="K157" i="19"/>
  <c r="L157" i="19"/>
  <c r="M157" i="19"/>
  <c r="N157" i="19"/>
  <c r="P157" i="19"/>
  <c r="Q157" i="19"/>
  <c r="S157" i="19"/>
  <c r="V157" i="19"/>
  <c r="W157" i="19"/>
  <c r="X157" i="19"/>
  <c r="Z157" i="19"/>
  <c r="D156" i="32" s="1"/>
  <c r="AA157" i="19"/>
  <c r="D156" i="33" s="1"/>
  <c r="C158" i="19"/>
  <c r="D158" i="19"/>
  <c r="E158" i="19"/>
  <c r="F158" i="19"/>
  <c r="H158" i="19"/>
  <c r="I158" i="19"/>
  <c r="J158" i="19"/>
  <c r="K158" i="19"/>
  <c r="L158" i="19"/>
  <c r="M158" i="19"/>
  <c r="N158" i="19"/>
  <c r="P158" i="19"/>
  <c r="Q158" i="19"/>
  <c r="S158" i="19"/>
  <c r="V158" i="19"/>
  <c r="W158" i="19"/>
  <c r="X158" i="19"/>
  <c r="Z158" i="19"/>
  <c r="D157" i="32" s="1"/>
  <c r="AA158" i="19"/>
  <c r="D157" i="33" s="1"/>
  <c r="C159" i="19"/>
  <c r="D159" i="19"/>
  <c r="E159" i="19"/>
  <c r="F159" i="19"/>
  <c r="H159" i="19"/>
  <c r="I159" i="19"/>
  <c r="J159" i="19"/>
  <c r="K159" i="19"/>
  <c r="L159" i="19"/>
  <c r="M159" i="19"/>
  <c r="N159" i="19"/>
  <c r="P159" i="19"/>
  <c r="Q159" i="19"/>
  <c r="S159" i="19"/>
  <c r="V159" i="19"/>
  <c r="W159" i="19"/>
  <c r="X159" i="19"/>
  <c r="Z159" i="19"/>
  <c r="D158" i="32" s="1"/>
  <c r="AA159" i="19"/>
  <c r="D158" i="33" s="1"/>
  <c r="C160" i="19"/>
  <c r="D160" i="19"/>
  <c r="E160" i="19"/>
  <c r="F160" i="19"/>
  <c r="H160" i="19"/>
  <c r="I160" i="19"/>
  <c r="J160" i="19"/>
  <c r="K160" i="19"/>
  <c r="L160" i="19"/>
  <c r="M160" i="19"/>
  <c r="N160" i="19"/>
  <c r="P160" i="19"/>
  <c r="Q160" i="19"/>
  <c r="S160" i="19"/>
  <c r="V160" i="19"/>
  <c r="W160" i="19"/>
  <c r="X160" i="19"/>
  <c r="Z160" i="19"/>
  <c r="D159" i="32" s="1"/>
  <c r="AA160" i="19"/>
  <c r="D159" i="33" s="1"/>
  <c r="C161" i="19"/>
  <c r="D161" i="19"/>
  <c r="E161" i="19"/>
  <c r="F161" i="19"/>
  <c r="H161" i="19"/>
  <c r="I161" i="19"/>
  <c r="J161" i="19"/>
  <c r="K161" i="19"/>
  <c r="L161" i="19"/>
  <c r="M161" i="19"/>
  <c r="N161" i="19"/>
  <c r="P161" i="19"/>
  <c r="Q161" i="19"/>
  <c r="S161" i="19"/>
  <c r="V161" i="19"/>
  <c r="W161" i="19"/>
  <c r="X161" i="19"/>
  <c r="Z161" i="19"/>
  <c r="D160" i="32" s="1"/>
  <c r="AA161" i="19"/>
  <c r="D160" i="33" s="1"/>
  <c r="C162" i="19"/>
  <c r="D162" i="19"/>
  <c r="E162" i="19"/>
  <c r="F162" i="19"/>
  <c r="H162" i="19"/>
  <c r="I162" i="19"/>
  <c r="J162" i="19"/>
  <c r="K162" i="19"/>
  <c r="L162" i="19"/>
  <c r="M162" i="19"/>
  <c r="N162" i="19"/>
  <c r="P162" i="19"/>
  <c r="Q162" i="19"/>
  <c r="S162" i="19"/>
  <c r="V162" i="19"/>
  <c r="W162" i="19"/>
  <c r="X162" i="19"/>
  <c r="Z162" i="19"/>
  <c r="D161" i="32" s="1"/>
  <c r="AA162" i="19"/>
  <c r="D161" i="33" s="1"/>
  <c r="C163" i="19"/>
  <c r="D163" i="19"/>
  <c r="E163" i="19"/>
  <c r="F163" i="19"/>
  <c r="H163" i="19"/>
  <c r="I163" i="19"/>
  <c r="J163" i="19"/>
  <c r="K163" i="19"/>
  <c r="L163" i="19"/>
  <c r="M163" i="19"/>
  <c r="N163" i="19"/>
  <c r="P163" i="19"/>
  <c r="Q163" i="19"/>
  <c r="S163" i="19"/>
  <c r="V163" i="19"/>
  <c r="W163" i="19"/>
  <c r="X163" i="19"/>
  <c r="Z163" i="19"/>
  <c r="D162" i="32" s="1"/>
  <c r="AA163" i="19"/>
  <c r="D162" i="33" s="1"/>
  <c r="C164" i="19"/>
  <c r="D164" i="19"/>
  <c r="E164" i="19"/>
  <c r="F164" i="19"/>
  <c r="H164" i="19"/>
  <c r="I164" i="19"/>
  <c r="J164" i="19"/>
  <c r="K164" i="19"/>
  <c r="L164" i="19"/>
  <c r="M164" i="19"/>
  <c r="N164" i="19"/>
  <c r="P164" i="19"/>
  <c r="Q164" i="19"/>
  <c r="S164" i="19"/>
  <c r="V164" i="19"/>
  <c r="W164" i="19"/>
  <c r="X164" i="19"/>
  <c r="Z164" i="19"/>
  <c r="D163" i="32" s="1"/>
  <c r="AA164" i="19"/>
  <c r="D163" i="33" s="1"/>
  <c r="C165" i="19"/>
  <c r="D165" i="19"/>
  <c r="E165" i="19"/>
  <c r="F165" i="19"/>
  <c r="H165" i="19"/>
  <c r="I165" i="19"/>
  <c r="J165" i="19"/>
  <c r="K165" i="19"/>
  <c r="L165" i="19"/>
  <c r="M165" i="19"/>
  <c r="N165" i="19"/>
  <c r="P165" i="19"/>
  <c r="Q165" i="19"/>
  <c r="S165" i="19"/>
  <c r="V165" i="19"/>
  <c r="W165" i="19"/>
  <c r="X165" i="19"/>
  <c r="Z165" i="19"/>
  <c r="D164" i="32" s="1"/>
  <c r="AA165" i="19"/>
  <c r="D164" i="33" s="1"/>
  <c r="C166" i="19"/>
  <c r="D166" i="19"/>
  <c r="E166" i="19"/>
  <c r="F166" i="19"/>
  <c r="H166" i="19"/>
  <c r="I166" i="19"/>
  <c r="J166" i="19"/>
  <c r="K166" i="19"/>
  <c r="L166" i="19"/>
  <c r="M166" i="19"/>
  <c r="N166" i="19"/>
  <c r="P166" i="19"/>
  <c r="Q166" i="19"/>
  <c r="S166" i="19"/>
  <c r="V166" i="19"/>
  <c r="W166" i="19"/>
  <c r="X166" i="19"/>
  <c r="Z166" i="19"/>
  <c r="D165" i="32" s="1"/>
  <c r="AA166" i="19"/>
  <c r="D165" i="33" s="1"/>
  <c r="C167" i="19"/>
  <c r="D167" i="19"/>
  <c r="E167" i="19"/>
  <c r="F167" i="19"/>
  <c r="H167" i="19"/>
  <c r="I167" i="19"/>
  <c r="J167" i="19"/>
  <c r="K167" i="19"/>
  <c r="L167" i="19"/>
  <c r="M167" i="19"/>
  <c r="N167" i="19"/>
  <c r="P167" i="19"/>
  <c r="Q167" i="19"/>
  <c r="S167" i="19"/>
  <c r="V167" i="19"/>
  <c r="W167" i="19"/>
  <c r="X167" i="19"/>
  <c r="Z167" i="19"/>
  <c r="D166" i="32" s="1"/>
  <c r="AA167" i="19"/>
  <c r="D166" i="33" s="1"/>
  <c r="C168" i="19"/>
  <c r="D168" i="19"/>
  <c r="E168" i="19"/>
  <c r="F168" i="19"/>
  <c r="H168" i="19"/>
  <c r="I168" i="19"/>
  <c r="J168" i="19"/>
  <c r="K168" i="19"/>
  <c r="L168" i="19"/>
  <c r="M168" i="19"/>
  <c r="N168" i="19"/>
  <c r="P168" i="19"/>
  <c r="Q168" i="19"/>
  <c r="S168" i="19"/>
  <c r="V168" i="19"/>
  <c r="W168" i="19"/>
  <c r="X168" i="19"/>
  <c r="Z168" i="19"/>
  <c r="D167" i="32" s="1"/>
  <c r="AA168" i="19"/>
  <c r="D167" i="33" s="1"/>
  <c r="C169" i="19"/>
  <c r="D169" i="19"/>
  <c r="E169" i="19"/>
  <c r="F169" i="19"/>
  <c r="H169" i="19"/>
  <c r="I169" i="19"/>
  <c r="J169" i="19"/>
  <c r="K169" i="19"/>
  <c r="L169" i="19"/>
  <c r="M169" i="19"/>
  <c r="N169" i="19"/>
  <c r="P169" i="19"/>
  <c r="Q169" i="19"/>
  <c r="S169" i="19"/>
  <c r="V169" i="19"/>
  <c r="W169" i="19"/>
  <c r="X169" i="19"/>
  <c r="Z169" i="19"/>
  <c r="D168" i="32" s="1"/>
  <c r="AA169" i="19"/>
  <c r="D168" i="33" s="1"/>
  <c r="C170" i="19"/>
  <c r="D170" i="19"/>
  <c r="E170" i="19"/>
  <c r="F170" i="19"/>
  <c r="H170" i="19"/>
  <c r="I170" i="19"/>
  <c r="J170" i="19"/>
  <c r="K170" i="19"/>
  <c r="L170" i="19"/>
  <c r="M170" i="19"/>
  <c r="N170" i="19"/>
  <c r="P170" i="19"/>
  <c r="Q170" i="19"/>
  <c r="S170" i="19"/>
  <c r="V170" i="19"/>
  <c r="W170" i="19"/>
  <c r="X170" i="19"/>
  <c r="Z170" i="19"/>
  <c r="D169" i="32" s="1"/>
  <c r="AA170" i="19"/>
  <c r="D169" i="33" s="1"/>
  <c r="C171" i="19"/>
  <c r="D171" i="19"/>
  <c r="E171" i="19"/>
  <c r="F171" i="19"/>
  <c r="H171" i="19"/>
  <c r="I171" i="19"/>
  <c r="J171" i="19"/>
  <c r="K171" i="19"/>
  <c r="L171" i="19"/>
  <c r="M171" i="19"/>
  <c r="N171" i="19"/>
  <c r="P171" i="19"/>
  <c r="Q171" i="19"/>
  <c r="S171" i="19"/>
  <c r="V171" i="19"/>
  <c r="W171" i="19"/>
  <c r="X171" i="19"/>
  <c r="Z171" i="19"/>
  <c r="D170" i="32" s="1"/>
  <c r="AA171" i="19"/>
  <c r="D170" i="33" s="1"/>
  <c r="C172" i="19"/>
  <c r="D172" i="19"/>
  <c r="E172" i="19"/>
  <c r="F172" i="19"/>
  <c r="H172" i="19"/>
  <c r="I172" i="19"/>
  <c r="J172" i="19"/>
  <c r="K172" i="19"/>
  <c r="L172" i="19"/>
  <c r="M172" i="19"/>
  <c r="N172" i="19"/>
  <c r="P172" i="19"/>
  <c r="Q172" i="19"/>
  <c r="S172" i="19"/>
  <c r="V172" i="19"/>
  <c r="W172" i="19"/>
  <c r="X172" i="19"/>
  <c r="Z172" i="19"/>
  <c r="D171" i="32" s="1"/>
  <c r="AA172" i="19"/>
  <c r="D171" i="33" s="1"/>
  <c r="C173" i="19"/>
  <c r="D173" i="19"/>
  <c r="E173" i="19"/>
  <c r="F173" i="19"/>
  <c r="H173" i="19"/>
  <c r="I173" i="19"/>
  <c r="J173" i="19"/>
  <c r="K173" i="19"/>
  <c r="L173" i="19"/>
  <c r="M173" i="19"/>
  <c r="N173" i="19"/>
  <c r="P173" i="19"/>
  <c r="Q173" i="19"/>
  <c r="S173" i="19"/>
  <c r="V173" i="19"/>
  <c r="W173" i="19"/>
  <c r="X173" i="19"/>
  <c r="Z173" i="19"/>
  <c r="D172" i="32" s="1"/>
  <c r="AA173" i="19"/>
  <c r="D172" i="33" s="1"/>
  <c r="C174" i="19"/>
  <c r="D174" i="19"/>
  <c r="E174" i="19"/>
  <c r="F174" i="19"/>
  <c r="H174" i="19"/>
  <c r="I174" i="19"/>
  <c r="J174" i="19"/>
  <c r="K174" i="19"/>
  <c r="L174" i="19"/>
  <c r="M174" i="19"/>
  <c r="N174" i="19"/>
  <c r="P174" i="19"/>
  <c r="Q174" i="19"/>
  <c r="S174" i="19"/>
  <c r="V174" i="19"/>
  <c r="W174" i="19"/>
  <c r="X174" i="19"/>
  <c r="Z174" i="19"/>
  <c r="D173" i="32" s="1"/>
  <c r="AA174" i="19"/>
  <c r="D173" i="33" s="1"/>
  <c r="C175" i="19"/>
  <c r="D175" i="19"/>
  <c r="E175" i="19"/>
  <c r="F175" i="19"/>
  <c r="H175" i="19"/>
  <c r="I175" i="19"/>
  <c r="J175" i="19"/>
  <c r="K175" i="19"/>
  <c r="L175" i="19"/>
  <c r="M175" i="19"/>
  <c r="N175" i="19"/>
  <c r="P175" i="19"/>
  <c r="Q175" i="19"/>
  <c r="S175" i="19"/>
  <c r="V175" i="19"/>
  <c r="W175" i="19"/>
  <c r="X175" i="19"/>
  <c r="Z175" i="19"/>
  <c r="D174" i="32" s="1"/>
  <c r="AA175" i="19"/>
  <c r="D174" i="33" s="1"/>
  <c r="C176" i="19"/>
  <c r="D176" i="19"/>
  <c r="E176" i="19"/>
  <c r="F176" i="19"/>
  <c r="H176" i="19"/>
  <c r="I176" i="19"/>
  <c r="J176" i="19"/>
  <c r="K176" i="19"/>
  <c r="L176" i="19"/>
  <c r="M176" i="19"/>
  <c r="N176" i="19"/>
  <c r="P176" i="19"/>
  <c r="Q176" i="19"/>
  <c r="S176" i="19"/>
  <c r="V176" i="19"/>
  <c r="W176" i="19"/>
  <c r="X176" i="19"/>
  <c r="Z176" i="19"/>
  <c r="D175" i="32" s="1"/>
  <c r="AA176" i="19"/>
  <c r="D175" i="33" s="1"/>
  <c r="C177" i="19"/>
  <c r="D177" i="19"/>
  <c r="E177" i="19"/>
  <c r="F177" i="19"/>
  <c r="H177" i="19"/>
  <c r="I177" i="19"/>
  <c r="J177" i="19"/>
  <c r="K177" i="19"/>
  <c r="L177" i="19"/>
  <c r="M177" i="19"/>
  <c r="N177" i="19"/>
  <c r="P177" i="19"/>
  <c r="Q177" i="19"/>
  <c r="S177" i="19"/>
  <c r="V177" i="19"/>
  <c r="W177" i="19"/>
  <c r="X177" i="19"/>
  <c r="Z177" i="19"/>
  <c r="D176" i="32" s="1"/>
  <c r="AA177" i="19"/>
  <c r="D176" i="33" s="1"/>
  <c r="C178" i="19"/>
  <c r="D178" i="19"/>
  <c r="E178" i="19"/>
  <c r="F178" i="19"/>
  <c r="H178" i="19"/>
  <c r="I178" i="19"/>
  <c r="J178" i="19"/>
  <c r="K178" i="19"/>
  <c r="L178" i="19"/>
  <c r="M178" i="19"/>
  <c r="N178" i="19"/>
  <c r="P178" i="19"/>
  <c r="Q178" i="19"/>
  <c r="S178" i="19"/>
  <c r="V178" i="19"/>
  <c r="W178" i="19"/>
  <c r="X178" i="19"/>
  <c r="Z178" i="19"/>
  <c r="D177" i="32" s="1"/>
  <c r="AA178" i="19"/>
  <c r="D177" i="33" s="1"/>
  <c r="C179" i="19"/>
  <c r="D179" i="19"/>
  <c r="E179" i="19"/>
  <c r="F179" i="19"/>
  <c r="H179" i="19"/>
  <c r="I179" i="19"/>
  <c r="J179" i="19"/>
  <c r="K179" i="19"/>
  <c r="L179" i="19"/>
  <c r="M179" i="19"/>
  <c r="N179" i="19"/>
  <c r="P179" i="19"/>
  <c r="Q179" i="19"/>
  <c r="S179" i="19"/>
  <c r="V179" i="19"/>
  <c r="W179" i="19"/>
  <c r="X179" i="19"/>
  <c r="Z179" i="19"/>
  <c r="D178" i="32" s="1"/>
  <c r="AA179" i="19"/>
  <c r="D178" i="33" s="1"/>
  <c r="C180" i="19"/>
  <c r="D180" i="19"/>
  <c r="E180" i="19"/>
  <c r="F180" i="19"/>
  <c r="H180" i="19"/>
  <c r="I180" i="19"/>
  <c r="J180" i="19"/>
  <c r="K180" i="19"/>
  <c r="L180" i="19"/>
  <c r="M180" i="19"/>
  <c r="N180" i="19"/>
  <c r="P180" i="19"/>
  <c r="Q180" i="19"/>
  <c r="S180" i="19"/>
  <c r="V180" i="19"/>
  <c r="W180" i="19"/>
  <c r="X180" i="19"/>
  <c r="Z180" i="19"/>
  <c r="D179" i="32" s="1"/>
  <c r="AA180" i="19"/>
  <c r="D179" i="33" s="1"/>
  <c r="C181" i="19"/>
  <c r="D181" i="19"/>
  <c r="E181" i="19"/>
  <c r="F181" i="19"/>
  <c r="H181" i="19"/>
  <c r="I181" i="19"/>
  <c r="J181" i="19"/>
  <c r="K181" i="19"/>
  <c r="L181" i="19"/>
  <c r="M181" i="19"/>
  <c r="N181" i="19"/>
  <c r="P181" i="19"/>
  <c r="Q181" i="19"/>
  <c r="S181" i="19"/>
  <c r="V181" i="19"/>
  <c r="W181" i="19"/>
  <c r="X181" i="19"/>
  <c r="Z181" i="19"/>
  <c r="D180" i="32" s="1"/>
  <c r="AA181" i="19"/>
  <c r="D180" i="33" s="1"/>
  <c r="C182" i="19"/>
  <c r="D182" i="19"/>
  <c r="E182" i="19"/>
  <c r="F182" i="19"/>
  <c r="H182" i="19"/>
  <c r="I182" i="19"/>
  <c r="J182" i="19"/>
  <c r="K182" i="19"/>
  <c r="L182" i="19"/>
  <c r="M182" i="19"/>
  <c r="N182" i="19"/>
  <c r="P182" i="19"/>
  <c r="Q182" i="19"/>
  <c r="S182" i="19"/>
  <c r="V182" i="19"/>
  <c r="W182" i="19"/>
  <c r="X182" i="19"/>
  <c r="Z182" i="19"/>
  <c r="D181" i="32" s="1"/>
  <c r="AA182" i="19"/>
  <c r="D181" i="33" s="1"/>
  <c r="C183" i="19"/>
  <c r="D183" i="19"/>
  <c r="E183" i="19"/>
  <c r="F183" i="19"/>
  <c r="H183" i="19"/>
  <c r="I183" i="19"/>
  <c r="J183" i="19"/>
  <c r="K183" i="19"/>
  <c r="L183" i="19"/>
  <c r="M183" i="19"/>
  <c r="N183" i="19"/>
  <c r="P183" i="19"/>
  <c r="Q183" i="19"/>
  <c r="S183" i="19"/>
  <c r="V183" i="19"/>
  <c r="W183" i="19"/>
  <c r="X183" i="19"/>
  <c r="Z183" i="19"/>
  <c r="D182" i="32" s="1"/>
  <c r="AA183" i="19"/>
  <c r="D182" i="33" s="1"/>
  <c r="C184" i="19"/>
  <c r="D184" i="19"/>
  <c r="E184" i="19"/>
  <c r="F184" i="19"/>
  <c r="H184" i="19"/>
  <c r="I184" i="19"/>
  <c r="J184" i="19"/>
  <c r="K184" i="19"/>
  <c r="L184" i="19"/>
  <c r="M184" i="19"/>
  <c r="N184" i="19"/>
  <c r="P184" i="19"/>
  <c r="Q184" i="19"/>
  <c r="S184" i="19"/>
  <c r="V184" i="19"/>
  <c r="W184" i="19"/>
  <c r="X184" i="19"/>
  <c r="Z184" i="19"/>
  <c r="D183" i="32" s="1"/>
  <c r="AA184" i="19"/>
  <c r="D183" i="33" s="1"/>
  <c r="C185" i="19"/>
  <c r="D185" i="19"/>
  <c r="E185" i="19"/>
  <c r="F185" i="19"/>
  <c r="H185" i="19"/>
  <c r="I185" i="19"/>
  <c r="J185" i="19"/>
  <c r="K185" i="19"/>
  <c r="L185" i="19"/>
  <c r="M185" i="19"/>
  <c r="N185" i="19"/>
  <c r="P185" i="19"/>
  <c r="Q185" i="19"/>
  <c r="S185" i="19"/>
  <c r="V185" i="19"/>
  <c r="W185" i="19"/>
  <c r="X185" i="19"/>
  <c r="Z185" i="19"/>
  <c r="D184" i="32" s="1"/>
  <c r="AA185" i="19"/>
  <c r="D184" i="33" s="1"/>
  <c r="C186" i="19"/>
  <c r="D186" i="19"/>
  <c r="E186" i="19"/>
  <c r="F186" i="19"/>
  <c r="H186" i="19"/>
  <c r="I186" i="19"/>
  <c r="J186" i="19"/>
  <c r="K186" i="19"/>
  <c r="L186" i="19"/>
  <c r="M186" i="19"/>
  <c r="N186" i="19"/>
  <c r="P186" i="19"/>
  <c r="Q186" i="19"/>
  <c r="S186" i="19"/>
  <c r="V186" i="19"/>
  <c r="W186" i="19"/>
  <c r="X186" i="19"/>
  <c r="Z186" i="19"/>
  <c r="D185" i="32" s="1"/>
  <c r="AA186" i="19"/>
  <c r="D185" i="33" s="1"/>
  <c r="C187" i="19"/>
  <c r="D187" i="19"/>
  <c r="E187" i="19"/>
  <c r="F187" i="19"/>
  <c r="H187" i="19"/>
  <c r="I187" i="19"/>
  <c r="J187" i="19"/>
  <c r="K187" i="19"/>
  <c r="L187" i="19"/>
  <c r="M187" i="19"/>
  <c r="N187" i="19"/>
  <c r="P187" i="19"/>
  <c r="Q187" i="19"/>
  <c r="S187" i="19"/>
  <c r="V187" i="19"/>
  <c r="W187" i="19"/>
  <c r="X187" i="19"/>
  <c r="Z187" i="19"/>
  <c r="D186" i="32" s="1"/>
  <c r="AA187" i="19"/>
  <c r="D186" i="33" s="1"/>
  <c r="C188" i="19"/>
  <c r="D188" i="19"/>
  <c r="E188" i="19"/>
  <c r="F188" i="19"/>
  <c r="H188" i="19"/>
  <c r="I188" i="19"/>
  <c r="J188" i="19"/>
  <c r="K188" i="19"/>
  <c r="L188" i="19"/>
  <c r="M188" i="19"/>
  <c r="N188" i="19"/>
  <c r="P188" i="19"/>
  <c r="Q188" i="19"/>
  <c r="S188" i="19"/>
  <c r="V188" i="19"/>
  <c r="W188" i="19"/>
  <c r="X188" i="19"/>
  <c r="Z188" i="19"/>
  <c r="D187" i="32" s="1"/>
  <c r="AA188" i="19"/>
  <c r="D187" i="33" s="1"/>
  <c r="C189" i="19"/>
  <c r="D189" i="19"/>
  <c r="E189" i="19"/>
  <c r="F189" i="19"/>
  <c r="H189" i="19"/>
  <c r="I189" i="19"/>
  <c r="J189" i="19"/>
  <c r="K189" i="19"/>
  <c r="L189" i="19"/>
  <c r="M189" i="19"/>
  <c r="N189" i="19"/>
  <c r="P189" i="19"/>
  <c r="Q189" i="19"/>
  <c r="S189" i="19"/>
  <c r="V189" i="19"/>
  <c r="W189" i="19"/>
  <c r="X189" i="19"/>
  <c r="Z189" i="19"/>
  <c r="D188" i="32" s="1"/>
  <c r="AA189" i="19"/>
  <c r="D188" i="33" s="1"/>
  <c r="C190" i="19"/>
  <c r="D190" i="19"/>
  <c r="E190" i="19"/>
  <c r="F190" i="19"/>
  <c r="H190" i="19"/>
  <c r="I190" i="19"/>
  <c r="J190" i="19"/>
  <c r="K190" i="19"/>
  <c r="L190" i="19"/>
  <c r="M190" i="19"/>
  <c r="N190" i="19"/>
  <c r="P190" i="19"/>
  <c r="Q190" i="19"/>
  <c r="S190" i="19"/>
  <c r="V190" i="19"/>
  <c r="W190" i="19"/>
  <c r="X190" i="19"/>
  <c r="Z190" i="19"/>
  <c r="D189" i="32" s="1"/>
  <c r="AA190" i="19"/>
  <c r="D189" i="33" s="1"/>
  <c r="C191" i="19"/>
  <c r="D191" i="19"/>
  <c r="E191" i="19"/>
  <c r="F191" i="19"/>
  <c r="H191" i="19"/>
  <c r="I191" i="19"/>
  <c r="J191" i="19"/>
  <c r="K191" i="19"/>
  <c r="L191" i="19"/>
  <c r="M191" i="19"/>
  <c r="N191" i="19"/>
  <c r="P191" i="19"/>
  <c r="Q191" i="19"/>
  <c r="S191" i="19"/>
  <c r="V191" i="19"/>
  <c r="W191" i="19"/>
  <c r="X191" i="19"/>
  <c r="Z191" i="19"/>
  <c r="D190" i="32" s="1"/>
  <c r="AA191" i="19"/>
  <c r="D190" i="33" s="1"/>
  <c r="C192" i="19"/>
  <c r="D192" i="19"/>
  <c r="E192" i="19"/>
  <c r="F192" i="19"/>
  <c r="H192" i="19"/>
  <c r="I192" i="19"/>
  <c r="J192" i="19"/>
  <c r="K192" i="19"/>
  <c r="L192" i="19"/>
  <c r="M192" i="19"/>
  <c r="N192" i="19"/>
  <c r="P192" i="19"/>
  <c r="Q192" i="19"/>
  <c r="S192" i="19"/>
  <c r="V192" i="19"/>
  <c r="W192" i="19"/>
  <c r="X192" i="19"/>
  <c r="Z192" i="19"/>
  <c r="D191" i="32" s="1"/>
  <c r="AA192" i="19"/>
  <c r="D191" i="33" s="1"/>
  <c r="C193" i="19"/>
  <c r="D193" i="19"/>
  <c r="E193" i="19"/>
  <c r="F193" i="19"/>
  <c r="H193" i="19"/>
  <c r="I193" i="19"/>
  <c r="J193" i="19"/>
  <c r="K193" i="19"/>
  <c r="L193" i="19"/>
  <c r="M193" i="19"/>
  <c r="N193" i="19"/>
  <c r="P193" i="19"/>
  <c r="Q193" i="19"/>
  <c r="S193" i="19"/>
  <c r="V193" i="19"/>
  <c r="W193" i="19"/>
  <c r="X193" i="19"/>
  <c r="Z193" i="19"/>
  <c r="D192" i="32" s="1"/>
  <c r="AA193" i="19"/>
  <c r="D192" i="33" s="1"/>
  <c r="C194" i="19"/>
  <c r="D194" i="19"/>
  <c r="E194" i="19"/>
  <c r="F194" i="19"/>
  <c r="H194" i="19"/>
  <c r="I194" i="19"/>
  <c r="J194" i="19"/>
  <c r="K194" i="19"/>
  <c r="L194" i="19"/>
  <c r="M194" i="19"/>
  <c r="N194" i="19"/>
  <c r="P194" i="19"/>
  <c r="Q194" i="19"/>
  <c r="S194" i="19"/>
  <c r="V194" i="19"/>
  <c r="W194" i="19"/>
  <c r="X194" i="19"/>
  <c r="Z194" i="19"/>
  <c r="D193" i="32" s="1"/>
  <c r="AA194" i="19"/>
  <c r="D193" i="33" s="1"/>
  <c r="C195" i="19"/>
  <c r="D195" i="19"/>
  <c r="E195" i="19"/>
  <c r="F195" i="19"/>
  <c r="H195" i="19"/>
  <c r="I195" i="19"/>
  <c r="J195" i="19"/>
  <c r="K195" i="19"/>
  <c r="L195" i="19"/>
  <c r="M195" i="19"/>
  <c r="N195" i="19"/>
  <c r="P195" i="19"/>
  <c r="Q195" i="19"/>
  <c r="S195" i="19"/>
  <c r="V195" i="19"/>
  <c r="W195" i="19"/>
  <c r="X195" i="19"/>
  <c r="Z195" i="19"/>
  <c r="D194" i="32" s="1"/>
  <c r="AA195" i="19"/>
  <c r="D194" i="33" s="1"/>
  <c r="C196" i="19"/>
  <c r="D196" i="19"/>
  <c r="E196" i="19"/>
  <c r="F196" i="19"/>
  <c r="H196" i="19"/>
  <c r="I196" i="19"/>
  <c r="J196" i="19"/>
  <c r="K196" i="19"/>
  <c r="L196" i="19"/>
  <c r="M196" i="19"/>
  <c r="N196" i="19"/>
  <c r="P196" i="19"/>
  <c r="Q196" i="19"/>
  <c r="S196" i="19"/>
  <c r="V196" i="19"/>
  <c r="W196" i="19"/>
  <c r="X196" i="19"/>
  <c r="Z196" i="19"/>
  <c r="D195" i="32" s="1"/>
  <c r="AA196" i="19"/>
  <c r="D195" i="33" s="1"/>
  <c r="C197" i="19"/>
  <c r="D197" i="19"/>
  <c r="E197" i="19"/>
  <c r="F197" i="19"/>
  <c r="H197" i="19"/>
  <c r="I197" i="19"/>
  <c r="J197" i="19"/>
  <c r="K197" i="19"/>
  <c r="L197" i="19"/>
  <c r="M197" i="19"/>
  <c r="N197" i="19"/>
  <c r="P197" i="19"/>
  <c r="Q197" i="19"/>
  <c r="S197" i="19"/>
  <c r="V197" i="19"/>
  <c r="W197" i="19"/>
  <c r="X197" i="19"/>
  <c r="Z197" i="19"/>
  <c r="D196" i="32" s="1"/>
  <c r="AA197" i="19"/>
  <c r="D196" i="33" s="1"/>
  <c r="C198" i="19"/>
  <c r="D198" i="19"/>
  <c r="E198" i="19"/>
  <c r="F198" i="19"/>
  <c r="H198" i="19"/>
  <c r="I198" i="19"/>
  <c r="J198" i="19"/>
  <c r="K198" i="19"/>
  <c r="L198" i="19"/>
  <c r="M198" i="19"/>
  <c r="N198" i="19"/>
  <c r="P198" i="19"/>
  <c r="Q198" i="19"/>
  <c r="S198" i="19"/>
  <c r="V198" i="19"/>
  <c r="W198" i="19"/>
  <c r="X198" i="19"/>
  <c r="Z198" i="19"/>
  <c r="D197" i="32" s="1"/>
  <c r="AA198" i="19"/>
  <c r="D197" i="33" s="1"/>
  <c r="C199" i="19"/>
  <c r="D199" i="19"/>
  <c r="E199" i="19"/>
  <c r="F199" i="19"/>
  <c r="H199" i="19"/>
  <c r="I199" i="19"/>
  <c r="J199" i="19"/>
  <c r="K199" i="19"/>
  <c r="L199" i="19"/>
  <c r="M199" i="19"/>
  <c r="N199" i="19"/>
  <c r="P199" i="19"/>
  <c r="Q199" i="19"/>
  <c r="S199" i="19"/>
  <c r="V199" i="19"/>
  <c r="W199" i="19"/>
  <c r="X199" i="19"/>
  <c r="Z199" i="19"/>
  <c r="D198" i="32" s="1"/>
  <c r="AA199" i="19"/>
  <c r="D198" i="33" s="1"/>
  <c r="C200" i="19"/>
  <c r="D200" i="19"/>
  <c r="E200" i="19"/>
  <c r="F200" i="19"/>
  <c r="H200" i="19"/>
  <c r="I200" i="19"/>
  <c r="J200" i="19"/>
  <c r="K200" i="19"/>
  <c r="L200" i="19"/>
  <c r="M200" i="19"/>
  <c r="N200" i="19"/>
  <c r="P200" i="19"/>
  <c r="Q200" i="19"/>
  <c r="S200" i="19"/>
  <c r="V200" i="19"/>
  <c r="W200" i="19"/>
  <c r="X200" i="19"/>
  <c r="Z200" i="19"/>
  <c r="D199" i="32" s="1"/>
  <c r="AA200" i="19"/>
  <c r="D199" i="33" s="1"/>
  <c r="C201" i="19"/>
  <c r="D201" i="19"/>
  <c r="E201" i="19"/>
  <c r="F201" i="19"/>
  <c r="H201" i="19"/>
  <c r="I201" i="19"/>
  <c r="J201" i="19"/>
  <c r="K201" i="19"/>
  <c r="L201" i="19"/>
  <c r="M201" i="19"/>
  <c r="N201" i="19"/>
  <c r="P201" i="19"/>
  <c r="Q201" i="19"/>
  <c r="S201" i="19"/>
  <c r="V201" i="19"/>
  <c r="W201" i="19"/>
  <c r="X201" i="19"/>
  <c r="Z201" i="19"/>
  <c r="D200" i="32" s="1"/>
  <c r="AA201" i="19"/>
  <c r="D200" i="33" s="1"/>
  <c r="C202" i="19"/>
  <c r="D202" i="19"/>
  <c r="E202" i="19"/>
  <c r="F202" i="19"/>
  <c r="H202" i="19"/>
  <c r="I202" i="19"/>
  <c r="J202" i="19"/>
  <c r="K202" i="19"/>
  <c r="L202" i="19"/>
  <c r="M202" i="19"/>
  <c r="N202" i="19"/>
  <c r="P202" i="19"/>
  <c r="Q202" i="19"/>
  <c r="S202" i="19"/>
  <c r="V202" i="19"/>
  <c r="W202" i="19"/>
  <c r="X202" i="19"/>
  <c r="Z202" i="19"/>
  <c r="D201" i="32" s="1"/>
  <c r="AA202" i="19"/>
  <c r="D201" i="33" s="1"/>
  <c r="C203" i="19"/>
  <c r="D203" i="19"/>
  <c r="E203" i="19"/>
  <c r="F203" i="19"/>
  <c r="H203" i="19"/>
  <c r="I203" i="19"/>
  <c r="J203" i="19"/>
  <c r="K203" i="19"/>
  <c r="L203" i="19"/>
  <c r="M203" i="19"/>
  <c r="N203" i="19"/>
  <c r="P203" i="19"/>
  <c r="Q203" i="19"/>
  <c r="S203" i="19"/>
  <c r="V203" i="19"/>
  <c r="W203" i="19"/>
  <c r="X203" i="19"/>
  <c r="Z203" i="19"/>
  <c r="D202" i="32" s="1"/>
  <c r="AA203" i="19"/>
  <c r="D202" i="33" s="1"/>
  <c r="C204" i="19"/>
  <c r="D204" i="19"/>
  <c r="E204" i="19"/>
  <c r="F204" i="19"/>
  <c r="H204" i="19"/>
  <c r="I204" i="19"/>
  <c r="J204" i="19"/>
  <c r="K204" i="19"/>
  <c r="L204" i="19"/>
  <c r="M204" i="19"/>
  <c r="N204" i="19"/>
  <c r="P204" i="19"/>
  <c r="Q204" i="19"/>
  <c r="S204" i="19"/>
  <c r="V204" i="19"/>
  <c r="W204" i="19"/>
  <c r="X204" i="19"/>
  <c r="Z204" i="19"/>
  <c r="D203" i="32" s="1"/>
  <c r="AA204" i="19"/>
  <c r="D203" i="33" s="1"/>
  <c r="C205" i="19"/>
  <c r="D205" i="19"/>
  <c r="E205" i="19"/>
  <c r="F205" i="19"/>
  <c r="H205" i="19"/>
  <c r="I205" i="19"/>
  <c r="J205" i="19"/>
  <c r="K205" i="19"/>
  <c r="L205" i="19"/>
  <c r="M205" i="19"/>
  <c r="N205" i="19"/>
  <c r="P205" i="19"/>
  <c r="Q205" i="19"/>
  <c r="S205" i="19"/>
  <c r="V205" i="19"/>
  <c r="W205" i="19"/>
  <c r="X205" i="19"/>
  <c r="Z205" i="19"/>
  <c r="D204" i="32" s="1"/>
  <c r="AA205" i="19"/>
  <c r="D204" i="33" s="1"/>
  <c r="C206" i="19"/>
  <c r="D206" i="19"/>
  <c r="E206" i="19"/>
  <c r="F206" i="19"/>
  <c r="H206" i="19"/>
  <c r="I206" i="19"/>
  <c r="J206" i="19"/>
  <c r="K206" i="19"/>
  <c r="L206" i="19"/>
  <c r="M206" i="19"/>
  <c r="N206" i="19"/>
  <c r="P206" i="19"/>
  <c r="Q206" i="19"/>
  <c r="S206" i="19"/>
  <c r="V206" i="19"/>
  <c r="W206" i="19"/>
  <c r="X206" i="19"/>
  <c r="Z206" i="19"/>
  <c r="D205" i="32" s="1"/>
  <c r="AA206" i="19"/>
  <c r="D205" i="33" s="1"/>
  <c r="C207" i="19"/>
  <c r="D207" i="19"/>
  <c r="E207" i="19"/>
  <c r="F207" i="19"/>
  <c r="H207" i="19"/>
  <c r="I207" i="19"/>
  <c r="J207" i="19"/>
  <c r="K207" i="19"/>
  <c r="L207" i="19"/>
  <c r="M207" i="19"/>
  <c r="N207" i="19"/>
  <c r="P207" i="19"/>
  <c r="Q207" i="19"/>
  <c r="S207" i="19"/>
  <c r="V207" i="19"/>
  <c r="W207" i="19"/>
  <c r="X207" i="19"/>
  <c r="Z207" i="19"/>
  <c r="D206" i="32" s="1"/>
  <c r="AA207" i="19"/>
  <c r="D206" i="33" s="1"/>
  <c r="C208" i="19"/>
  <c r="D208" i="19"/>
  <c r="E208" i="19"/>
  <c r="F208" i="19"/>
  <c r="H208" i="19"/>
  <c r="I208" i="19"/>
  <c r="J208" i="19"/>
  <c r="K208" i="19"/>
  <c r="L208" i="19"/>
  <c r="M208" i="19"/>
  <c r="N208" i="19"/>
  <c r="P208" i="19"/>
  <c r="Q208" i="19"/>
  <c r="S208" i="19"/>
  <c r="V208" i="19"/>
  <c r="W208" i="19"/>
  <c r="X208" i="19"/>
  <c r="Z208" i="19"/>
  <c r="D207" i="32" s="1"/>
  <c r="AA208" i="19"/>
  <c r="D207" i="33" s="1"/>
  <c r="C209" i="19"/>
  <c r="D209" i="19"/>
  <c r="E209" i="19"/>
  <c r="F209" i="19"/>
  <c r="H209" i="19"/>
  <c r="I209" i="19"/>
  <c r="J209" i="19"/>
  <c r="K209" i="19"/>
  <c r="L209" i="19"/>
  <c r="M209" i="19"/>
  <c r="N209" i="19"/>
  <c r="P209" i="19"/>
  <c r="Q209" i="19"/>
  <c r="S209" i="19"/>
  <c r="V209" i="19"/>
  <c r="W209" i="19"/>
  <c r="X209" i="19"/>
  <c r="Z209" i="19"/>
  <c r="D208" i="32" s="1"/>
  <c r="AA209" i="19"/>
  <c r="D208" i="33" s="1"/>
  <c r="C210" i="19"/>
  <c r="D210" i="19"/>
  <c r="E210" i="19"/>
  <c r="F210" i="19"/>
  <c r="H210" i="19"/>
  <c r="I210" i="19"/>
  <c r="J210" i="19"/>
  <c r="K210" i="19"/>
  <c r="L210" i="19"/>
  <c r="M210" i="19"/>
  <c r="N210" i="19"/>
  <c r="P210" i="19"/>
  <c r="Q210" i="19"/>
  <c r="S210" i="19"/>
  <c r="V210" i="19"/>
  <c r="W210" i="19"/>
  <c r="X210" i="19"/>
  <c r="Z210" i="19"/>
  <c r="D209" i="32" s="1"/>
  <c r="AA210" i="19"/>
  <c r="D209" i="33" s="1"/>
  <c r="C211" i="19"/>
  <c r="D211" i="19"/>
  <c r="E211" i="19"/>
  <c r="F211" i="19"/>
  <c r="H211" i="19"/>
  <c r="I211" i="19"/>
  <c r="J211" i="19"/>
  <c r="K211" i="19"/>
  <c r="L211" i="19"/>
  <c r="M211" i="19"/>
  <c r="N211" i="19"/>
  <c r="P211" i="19"/>
  <c r="Q211" i="19"/>
  <c r="S211" i="19"/>
  <c r="V211" i="19"/>
  <c r="W211" i="19"/>
  <c r="X211" i="19"/>
  <c r="Z211" i="19"/>
  <c r="D210" i="32" s="1"/>
  <c r="AA211" i="19"/>
  <c r="D210" i="33" s="1"/>
  <c r="C212" i="19"/>
  <c r="D212" i="19"/>
  <c r="E212" i="19"/>
  <c r="F212" i="19"/>
  <c r="H212" i="19"/>
  <c r="I212" i="19"/>
  <c r="J212" i="19"/>
  <c r="K212" i="19"/>
  <c r="L212" i="19"/>
  <c r="M212" i="19"/>
  <c r="N212" i="19"/>
  <c r="P212" i="19"/>
  <c r="Q212" i="19"/>
  <c r="S212" i="19"/>
  <c r="V212" i="19"/>
  <c r="W212" i="19"/>
  <c r="X212" i="19"/>
  <c r="Z212" i="19"/>
  <c r="D211" i="32" s="1"/>
  <c r="AA212" i="19"/>
  <c r="D211" i="33" s="1"/>
  <c r="C213" i="19"/>
  <c r="D213" i="19"/>
  <c r="E213" i="19"/>
  <c r="F213" i="19"/>
  <c r="H213" i="19"/>
  <c r="I213" i="19"/>
  <c r="J213" i="19"/>
  <c r="K213" i="19"/>
  <c r="L213" i="19"/>
  <c r="M213" i="19"/>
  <c r="N213" i="19"/>
  <c r="P213" i="19"/>
  <c r="Q213" i="19"/>
  <c r="S213" i="19"/>
  <c r="V213" i="19"/>
  <c r="W213" i="19"/>
  <c r="X213" i="19"/>
  <c r="Z213" i="19"/>
  <c r="D212" i="32" s="1"/>
  <c r="AA213" i="19"/>
  <c r="D212" i="33" s="1"/>
  <c r="C214" i="19"/>
  <c r="D214" i="19"/>
  <c r="E214" i="19"/>
  <c r="F214" i="19"/>
  <c r="H214" i="19"/>
  <c r="I214" i="19"/>
  <c r="J214" i="19"/>
  <c r="K214" i="19"/>
  <c r="L214" i="19"/>
  <c r="M214" i="19"/>
  <c r="N214" i="19"/>
  <c r="P214" i="19"/>
  <c r="Q214" i="19"/>
  <c r="S214" i="19"/>
  <c r="V214" i="19"/>
  <c r="W214" i="19"/>
  <c r="X214" i="19"/>
  <c r="Z214" i="19"/>
  <c r="D213" i="32" s="1"/>
  <c r="AA214" i="19"/>
  <c r="D213" i="33" s="1"/>
  <c r="C215" i="19"/>
  <c r="D215" i="19"/>
  <c r="E215" i="19"/>
  <c r="F215" i="19"/>
  <c r="H215" i="19"/>
  <c r="I215" i="19"/>
  <c r="J215" i="19"/>
  <c r="K215" i="19"/>
  <c r="L215" i="19"/>
  <c r="M215" i="19"/>
  <c r="N215" i="19"/>
  <c r="P215" i="19"/>
  <c r="Q215" i="19"/>
  <c r="S215" i="19"/>
  <c r="V215" i="19"/>
  <c r="W215" i="19"/>
  <c r="X215" i="19"/>
  <c r="Z215" i="19"/>
  <c r="D214" i="32" s="1"/>
  <c r="AA215" i="19"/>
  <c r="D214" i="33" s="1"/>
  <c r="C216" i="19"/>
  <c r="D216" i="19"/>
  <c r="E216" i="19"/>
  <c r="F216" i="19"/>
  <c r="H216" i="19"/>
  <c r="I216" i="19"/>
  <c r="J216" i="19"/>
  <c r="K216" i="19"/>
  <c r="L216" i="19"/>
  <c r="M216" i="19"/>
  <c r="N216" i="19"/>
  <c r="P216" i="19"/>
  <c r="Q216" i="19"/>
  <c r="S216" i="19"/>
  <c r="V216" i="19"/>
  <c r="W216" i="19"/>
  <c r="X216" i="19"/>
  <c r="Z216" i="19"/>
  <c r="D215" i="32" s="1"/>
  <c r="AA216" i="19"/>
  <c r="D215" i="33" s="1"/>
  <c r="C217" i="19"/>
  <c r="D217" i="19"/>
  <c r="E217" i="19"/>
  <c r="F217" i="19"/>
  <c r="H217" i="19"/>
  <c r="I217" i="19"/>
  <c r="J217" i="19"/>
  <c r="K217" i="19"/>
  <c r="L217" i="19"/>
  <c r="M217" i="19"/>
  <c r="N217" i="19"/>
  <c r="P217" i="19"/>
  <c r="Q217" i="19"/>
  <c r="S217" i="19"/>
  <c r="V217" i="19"/>
  <c r="W217" i="19"/>
  <c r="X217" i="19"/>
  <c r="Z217" i="19"/>
  <c r="D216" i="32" s="1"/>
  <c r="AA217" i="19"/>
  <c r="D216" i="33" s="1"/>
  <c r="C218" i="19"/>
  <c r="D218" i="19"/>
  <c r="E218" i="19"/>
  <c r="F218" i="19"/>
  <c r="H218" i="19"/>
  <c r="I218" i="19"/>
  <c r="J218" i="19"/>
  <c r="K218" i="19"/>
  <c r="L218" i="19"/>
  <c r="M218" i="19"/>
  <c r="N218" i="19"/>
  <c r="P218" i="19"/>
  <c r="Q218" i="19"/>
  <c r="S218" i="19"/>
  <c r="V218" i="19"/>
  <c r="W218" i="19"/>
  <c r="X218" i="19"/>
  <c r="Z218" i="19"/>
  <c r="D217" i="32" s="1"/>
  <c r="AA218" i="19"/>
  <c r="D217" i="33" s="1"/>
  <c r="C219" i="19"/>
  <c r="D219" i="19"/>
  <c r="E219" i="19"/>
  <c r="F219" i="19"/>
  <c r="H219" i="19"/>
  <c r="I219" i="19"/>
  <c r="J219" i="19"/>
  <c r="K219" i="19"/>
  <c r="L219" i="19"/>
  <c r="M219" i="19"/>
  <c r="N219" i="19"/>
  <c r="P219" i="19"/>
  <c r="Q219" i="19"/>
  <c r="S219" i="19"/>
  <c r="V219" i="19"/>
  <c r="W219" i="19"/>
  <c r="X219" i="19"/>
  <c r="Z219" i="19"/>
  <c r="D218" i="32" s="1"/>
  <c r="AA219" i="19"/>
  <c r="D218" i="33" s="1"/>
  <c r="C220" i="19"/>
  <c r="D220" i="19"/>
  <c r="E220" i="19"/>
  <c r="F220" i="19"/>
  <c r="H220" i="19"/>
  <c r="I220" i="19"/>
  <c r="J220" i="19"/>
  <c r="K220" i="19"/>
  <c r="L220" i="19"/>
  <c r="M220" i="19"/>
  <c r="N220" i="19"/>
  <c r="P220" i="19"/>
  <c r="Q220" i="19"/>
  <c r="S220" i="19"/>
  <c r="V220" i="19"/>
  <c r="W220" i="19"/>
  <c r="X220" i="19"/>
  <c r="Z220" i="19"/>
  <c r="D219" i="32" s="1"/>
  <c r="AA220" i="19"/>
  <c r="D219" i="33" s="1"/>
  <c r="C221" i="19"/>
  <c r="D221" i="19"/>
  <c r="E221" i="19"/>
  <c r="F221" i="19"/>
  <c r="H221" i="19"/>
  <c r="I221" i="19"/>
  <c r="J221" i="19"/>
  <c r="K221" i="19"/>
  <c r="L221" i="19"/>
  <c r="M221" i="19"/>
  <c r="N221" i="19"/>
  <c r="P221" i="19"/>
  <c r="Q221" i="19"/>
  <c r="S221" i="19"/>
  <c r="V221" i="19"/>
  <c r="W221" i="19"/>
  <c r="X221" i="19"/>
  <c r="Z221" i="19"/>
  <c r="D220" i="32" s="1"/>
  <c r="AA221" i="19"/>
  <c r="D220" i="33" s="1"/>
  <c r="C222" i="19"/>
  <c r="D222" i="19"/>
  <c r="E222" i="19"/>
  <c r="F222" i="19"/>
  <c r="H222" i="19"/>
  <c r="I222" i="19"/>
  <c r="J222" i="19"/>
  <c r="K222" i="19"/>
  <c r="L222" i="19"/>
  <c r="M222" i="19"/>
  <c r="N222" i="19"/>
  <c r="P222" i="19"/>
  <c r="Q222" i="19"/>
  <c r="S222" i="19"/>
  <c r="V222" i="19"/>
  <c r="W222" i="19"/>
  <c r="X222" i="19"/>
  <c r="Z222" i="19"/>
  <c r="D221" i="32" s="1"/>
  <c r="AA222" i="19"/>
  <c r="D221" i="33" s="1"/>
  <c r="C223" i="19"/>
  <c r="D223" i="19"/>
  <c r="E223" i="19"/>
  <c r="F223" i="19"/>
  <c r="H223" i="19"/>
  <c r="I223" i="19"/>
  <c r="J223" i="19"/>
  <c r="K223" i="19"/>
  <c r="L223" i="19"/>
  <c r="M223" i="19"/>
  <c r="N223" i="19"/>
  <c r="P223" i="19"/>
  <c r="Q223" i="19"/>
  <c r="S223" i="19"/>
  <c r="V223" i="19"/>
  <c r="W223" i="19"/>
  <c r="X223" i="19"/>
  <c r="Z223" i="19"/>
  <c r="D222" i="32" s="1"/>
  <c r="AA223" i="19"/>
  <c r="D222" i="33" s="1"/>
  <c r="C224" i="19"/>
  <c r="D224" i="19"/>
  <c r="E224" i="19"/>
  <c r="F224" i="19"/>
  <c r="H224" i="19"/>
  <c r="I224" i="19"/>
  <c r="J224" i="19"/>
  <c r="K224" i="19"/>
  <c r="L224" i="19"/>
  <c r="M224" i="19"/>
  <c r="N224" i="19"/>
  <c r="P224" i="19"/>
  <c r="Q224" i="19"/>
  <c r="S224" i="19"/>
  <c r="V224" i="19"/>
  <c r="W224" i="19"/>
  <c r="X224" i="19"/>
  <c r="Z224" i="19"/>
  <c r="D223" i="32" s="1"/>
  <c r="AA224" i="19"/>
  <c r="D223" i="33" s="1"/>
  <c r="C225" i="19"/>
  <c r="D225" i="19"/>
  <c r="E225" i="19"/>
  <c r="F225" i="19"/>
  <c r="H225" i="19"/>
  <c r="I225" i="19"/>
  <c r="J225" i="19"/>
  <c r="K225" i="19"/>
  <c r="L225" i="19"/>
  <c r="M225" i="19"/>
  <c r="N225" i="19"/>
  <c r="P225" i="19"/>
  <c r="Q225" i="19"/>
  <c r="S225" i="19"/>
  <c r="V225" i="19"/>
  <c r="W225" i="19"/>
  <c r="X225" i="19"/>
  <c r="Z225" i="19"/>
  <c r="D224" i="32" s="1"/>
  <c r="AA225" i="19"/>
  <c r="D224" i="33" s="1"/>
  <c r="C226" i="19"/>
  <c r="D226" i="19"/>
  <c r="E226" i="19"/>
  <c r="F226" i="19"/>
  <c r="H226" i="19"/>
  <c r="I226" i="19"/>
  <c r="J226" i="19"/>
  <c r="K226" i="19"/>
  <c r="L226" i="19"/>
  <c r="M226" i="19"/>
  <c r="N226" i="19"/>
  <c r="P226" i="19"/>
  <c r="Q226" i="19"/>
  <c r="S226" i="19"/>
  <c r="V226" i="19"/>
  <c r="W226" i="19"/>
  <c r="X226" i="19"/>
  <c r="Z226" i="19"/>
  <c r="D225" i="32" s="1"/>
  <c r="AA226" i="19"/>
  <c r="D225" i="33" s="1"/>
  <c r="C227" i="19"/>
  <c r="D227" i="19"/>
  <c r="E227" i="19"/>
  <c r="F227" i="19"/>
  <c r="H227" i="19"/>
  <c r="I227" i="19"/>
  <c r="J227" i="19"/>
  <c r="K227" i="19"/>
  <c r="L227" i="19"/>
  <c r="M227" i="19"/>
  <c r="N227" i="19"/>
  <c r="P227" i="19"/>
  <c r="Q227" i="19"/>
  <c r="S227" i="19"/>
  <c r="V227" i="19"/>
  <c r="W227" i="19"/>
  <c r="X227" i="19"/>
  <c r="Z227" i="19"/>
  <c r="D226" i="32" s="1"/>
  <c r="AA227" i="19"/>
  <c r="D226" i="33" s="1"/>
  <c r="C228" i="19"/>
  <c r="D228" i="19"/>
  <c r="E228" i="19"/>
  <c r="F228" i="19"/>
  <c r="H228" i="19"/>
  <c r="I228" i="19"/>
  <c r="J228" i="19"/>
  <c r="K228" i="19"/>
  <c r="L228" i="19"/>
  <c r="M228" i="19"/>
  <c r="N228" i="19"/>
  <c r="P228" i="19"/>
  <c r="Q228" i="19"/>
  <c r="S228" i="19"/>
  <c r="V228" i="19"/>
  <c r="W228" i="19"/>
  <c r="X228" i="19"/>
  <c r="Z228" i="19"/>
  <c r="D227" i="32" s="1"/>
  <c r="AA228" i="19"/>
  <c r="D227" i="33" s="1"/>
  <c r="C229" i="19"/>
  <c r="D229" i="19"/>
  <c r="E229" i="19"/>
  <c r="F229" i="19"/>
  <c r="H229" i="19"/>
  <c r="I229" i="19"/>
  <c r="J229" i="19"/>
  <c r="K229" i="19"/>
  <c r="L229" i="19"/>
  <c r="M229" i="19"/>
  <c r="N229" i="19"/>
  <c r="P229" i="19"/>
  <c r="Q229" i="19"/>
  <c r="S229" i="19"/>
  <c r="V229" i="19"/>
  <c r="W229" i="19"/>
  <c r="X229" i="19"/>
  <c r="Z229" i="19"/>
  <c r="D228" i="32" s="1"/>
  <c r="AA229" i="19"/>
  <c r="D228" i="33" s="1"/>
  <c r="C230" i="19"/>
  <c r="D230" i="19"/>
  <c r="E230" i="19"/>
  <c r="F230" i="19"/>
  <c r="H230" i="19"/>
  <c r="I230" i="19"/>
  <c r="J230" i="19"/>
  <c r="K230" i="19"/>
  <c r="L230" i="19"/>
  <c r="M230" i="19"/>
  <c r="N230" i="19"/>
  <c r="P230" i="19"/>
  <c r="Q230" i="19"/>
  <c r="S230" i="19"/>
  <c r="V230" i="19"/>
  <c r="W230" i="19"/>
  <c r="X230" i="19"/>
  <c r="Z230" i="19"/>
  <c r="D229" i="32" s="1"/>
  <c r="AA230" i="19"/>
  <c r="D229" i="33" s="1"/>
  <c r="C231" i="19"/>
  <c r="D231" i="19"/>
  <c r="E231" i="19"/>
  <c r="F231" i="19"/>
  <c r="H231" i="19"/>
  <c r="I231" i="19"/>
  <c r="J231" i="19"/>
  <c r="K231" i="19"/>
  <c r="L231" i="19"/>
  <c r="M231" i="19"/>
  <c r="N231" i="19"/>
  <c r="P231" i="19"/>
  <c r="Q231" i="19"/>
  <c r="S231" i="19"/>
  <c r="V231" i="19"/>
  <c r="W231" i="19"/>
  <c r="X231" i="19"/>
  <c r="Z231" i="19"/>
  <c r="D230" i="32" s="1"/>
  <c r="AA231" i="19"/>
  <c r="D230" i="33" s="1"/>
  <c r="C232" i="19"/>
  <c r="D232" i="19"/>
  <c r="E232" i="19"/>
  <c r="F232" i="19"/>
  <c r="H232" i="19"/>
  <c r="I232" i="19"/>
  <c r="J232" i="19"/>
  <c r="K232" i="19"/>
  <c r="L232" i="19"/>
  <c r="M232" i="19"/>
  <c r="N232" i="19"/>
  <c r="P232" i="19"/>
  <c r="Q232" i="19"/>
  <c r="S232" i="19"/>
  <c r="V232" i="19"/>
  <c r="W232" i="19"/>
  <c r="X232" i="19"/>
  <c r="Z232" i="19"/>
  <c r="D231" i="32" s="1"/>
  <c r="AA232" i="19"/>
  <c r="D231" i="33" s="1"/>
  <c r="C233" i="19"/>
  <c r="D233" i="19"/>
  <c r="E233" i="19"/>
  <c r="F233" i="19"/>
  <c r="H233" i="19"/>
  <c r="I233" i="19"/>
  <c r="J233" i="19"/>
  <c r="K233" i="19"/>
  <c r="L233" i="19"/>
  <c r="M233" i="19"/>
  <c r="N233" i="19"/>
  <c r="P233" i="19"/>
  <c r="Q233" i="19"/>
  <c r="S233" i="19"/>
  <c r="V233" i="19"/>
  <c r="W233" i="19"/>
  <c r="X233" i="19"/>
  <c r="Z233" i="19"/>
  <c r="D232" i="32" s="1"/>
  <c r="AA233" i="19"/>
  <c r="D232" i="33" s="1"/>
  <c r="C234" i="19"/>
  <c r="D234" i="19"/>
  <c r="E234" i="19"/>
  <c r="F234" i="19"/>
  <c r="H234" i="19"/>
  <c r="I234" i="19"/>
  <c r="J234" i="19"/>
  <c r="K234" i="19"/>
  <c r="L234" i="19"/>
  <c r="M234" i="19"/>
  <c r="N234" i="19"/>
  <c r="P234" i="19"/>
  <c r="Q234" i="19"/>
  <c r="S234" i="19"/>
  <c r="V234" i="19"/>
  <c r="W234" i="19"/>
  <c r="X234" i="19"/>
  <c r="Z234" i="19"/>
  <c r="D233" i="32" s="1"/>
  <c r="AA234" i="19"/>
  <c r="D233" i="33" s="1"/>
  <c r="C235" i="19"/>
  <c r="D235" i="19"/>
  <c r="E235" i="19"/>
  <c r="F235" i="19"/>
  <c r="H235" i="19"/>
  <c r="I235" i="19"/>
  <c r="J235" i="19"/>
  <c r="K235" i="19"/>
  <c r="L235" i="19"/>
  <c r="M235" i="19"/>
  <c r="N235" i="19"/>
  <c r="P235" i="19"/>
  <c r="Q235" i="19"/>
  <c r="S235" i="19"/>
  <c r="V235" i="19"/>
  <c r="W235" i="19"/>
  <c r="X235" i="19"/>
  <c r="Z235" i="19"/>
  <c r="D234" i="32" s="1"/>
  <c r="AA235" i="19"/>
  <c r="D234" i="33" s="1"/>
  <c r="C236" i="19"/>
  <c r="D236" i="19"/>
  <c r="E236" i="19"/>
  <c r="F236" i="19"/>
  <c r="H236" i="19"/>
  <c r="I236" i="19"/>
  <c r="J236" i="19"/>
  <c r="K236" i="19"/>
  <c r="L236" i="19"/>
  <c r="M236" i="19"/>
  <c r="N236" i="19"/>
  <c r="P236" i="19"/>
  <c r="Q236" i="19"/>
  <c r="S236" i="19"/>
  <c r="V236" i="19"/>
  <c r="W236" i="19"/>
  <c r="X236" i="19"/>
  <c r="Z236" i="19"/>
  <c r="D235" i="32" s="1"/>
  <c r="AA236" i="19"/>
  <c r="D235" i="33" s="1"/>
  <c r="C237" i="19"/>
  <c r="D237" i="19"/>
  <c r="E237" i="19"/>
  <c r="F237" i="19"/>
  <c r="H237" i="19"/>
  <c r="I237" i="19"/>
  <c r="J237" i="19"/>
  <c r="K237" i="19"/>
  <c r="L237" i="19"/>
  <c r="M237" i="19"/>
  <c r="N237" i="19"/>
  <c r="P237" i="19"/>
  <c r="Q237" i="19"/>
  <c r="S237" i="19"/>
  <c r="V237" i="19"/>
  <c r="W237" i="19"/>
  <c r="X237" i="19"/>
  <c r="Z237" i="19"/>
  <c r="D236" i="32" s="1"/>
  <c r="AA237" i="19"/>
  <c r="D236" i="33" s="1"/>
  <c r="C238" i="19"/>
  <c r="D238" i="19"/>
  <c r="E238" i="19"/>
  <c r="F238" i="19"/>
  <c r="H238" i="19"/>
  <c r="I238" i="19"/>
  <c r="J238" i="19"/>
  <c r="K238" i="19"/>
  <c r="L238" i="19"/>
  <c r="M238" i="19"/>
  <c r="N238" i="19"/>
  <c r="P238" i="19"/>
  <c r="Q238" i="19"/>
  <c r="S238" i="19"/>
  <c r="V238" i="19"/>
  <c r="W238" i="19"/>
  <c r="X238" i="19"/>
  <c r="Z238" i="19"/>
  <c r="D237" i="32" s="1"/>
  <c r="AA238" i="19"/>
  <c r="D237" i="33" s="1"/>
  <c r="C239" i="19"/>
  <c r="D239" i="19"/>
  <c r="E239" i="19"/>
  <c r="F239" i="19"/>
  <c r="H239" i="19"/>
  <c r="I239" i="19"/>
  <c r="J239" i="19"/>
  <c r="K239" i="19"/>
  <c r="L239" i="19"/>
  <c r="M239" i="19"/>
  <c r="N239" i="19"/>
  <c r="P239" i="19"/>
  <c r="Q239" i="19"/>
  <c r="S239" i="19"/>
  <c r="V239" i="19"/>
  <c r="W239" i="19"/>
  <c r="X239" i="19"/>
  <c r="Z239" i="19"/>
  <c r="D238" i="32" s="1"/>
  <c r="AA239" i="19"/>
  <c r="D238" i="33" s="1"/>
  <c r="C240" i="19"/>
  <c r="D240" i="19"/>
  <c r="E240" i="19"/>
  <c r="F240" i="19"/>
  <c r="H240" i="19"/>
  <c r="I240" i="19"/>
  <c r="J240" i="19"/>
  <c r="K240" i="19"/>
  <c r="L240" i="19"/>
  <c r="M240" i="19"/>
  <c r="N240" i="19"/>
  <c r="P240" i="19"/>
  <c r="Q240" i="19"/>
  <c r="S240" i="19"/>
  <c r="V240" i="19"/>
  <c r="W240" i="19"/>
  <c r="X240" i="19"/>
  <c r="Z240" i="19"/>
  <c r="D239" i="32" s="1"/>
  <c r="AA240" i="19"/>
  <c r="D239" i="33" s="1"/>
  <c r="C241" i="19"/>
  <c r="D241" i="19"/>
  <c r="E241" i="19"/>
  <c r="F241" i="19"/>
  <c r="H241" i="19"/>
  <c r="I241" i="19"/>
  <c r="J241" i="19"/>
  <c r="K241" i="19"/>
  <c r="L241" i="19"/>
  <c r="M241" i="19"/>
  <c r="N241" i="19"/>
  <c r="P241" i="19"/>
  <c r="Q241" i="19"/>
  <c r="S241" i="19"/>
  <c r="V241" i="19"/>
  <c r="W241" i="19"/>
  <c r="X241" i="19"/>
  <c r="Z241" i="19"/>
  <c r="D240" i="32" s="1"/>
  <c r="AA241" i="19"/>
  <c r="D240" i="33" s="1"/>
  <c r="C242" i="19"/>
  <c r="D242" i="19"/>
  <c r="E242" i="19"/>
  <c r="F242" i="19"/>
  <c r="H242" i="19"/>
  <c r="I242" i="19"/>
  <c r="J242" i="19"/>
  <c r="K242" i="19"/>
  <c r="L242" i="19"/>
  <c r="M242" i="19"/>
  <c r="N242" i="19"/>
  <c r="P242" i="19"/>
  <c r="Q242" i="19"/>
  <c r="S242" i="19"/>
  <c r="V242" i="19"/>
  <c r="W242" i="19"/>
  <c r="X242" i="19"/>
  <c r="Z242" i="19"/>
  <c r="D241" i="32" s="1"/>
  <c r="AA242" i="19"/>
  <c r="D241" i="33" s="1"/>
  <c r="C243" i="19"/>
  <c r="D243" i="19"/>
  <c r="E243" i="19"/>
  <c r="F243" i="19"/>
  <c r="H243" i="19"/>
  <c r="I243" i="19"/>
  <c r="J243" i="19"/>
  <c r="K243" i="19"/>
  <c r="L243" i="19"/>
  <c r="M243" i="19"/>
  <c r="N243" i="19"/>
  <c r="P243" i="19"/>
  <c r="Q243" i="19"/>
  <c r="S243" i="19"/>
  <c r="V243" i="19"/>
  <c r="W243" i="19"/>
  <c r="X243" i="19"/>
  <c r="Z243" i="19"/>
  <c r="D242" i="32" s="1"/>
  <c r="AA243" i="19"/>
  <c r="D242" i="33" s="1"/>
  <c r="C244" i="19"/>
  <c r="D244" i="19"/>
  <c r="E244" i="19"/>
  <c r="F244" i="19"/>
  <c r="H244" i="19"/>
  <c r="I244" i="19"/>
  <c r="J244" i="19"/>
  <c r="K244" i="19"/>
  <c r="L244" i="19"/>
  <c r="M244" i="19"/>
  <c r="N244" i="19"/>
  <c r="P244" i="19"/>
  <c r="Q244" i="19"/>
  <c r="S244" i="19"/>
  <c r="V244" i="19"/>
  <c r="W244" i="19"/>
  <c r="X244" i="19"/>
  <c r="Z244" i="19"/>
  <c r="D243" i="32" s="1"/>
  <c r="AA244" i="19"/>
  <c r="D243" i="33" s="1"/>
  <c r="C245" i="19"/>
  <c r="D245" i="19"/>
  <c r="E245" i="19"/>
  <c r="F245" i="19"/>
  <c r="H245" i="19"/>
  <c r="I245" i="19"/>
  <c r="J245" i="19"/>
  <c r="K245" i="19"/>
  <c r="L245" i="19"/>
  <c r="M245" i="19"/>
  <c r="N245" i="19"/>
  <c r="P245" i="19"/>
  <c r="Q245" i="19"/>
  <c r="S245" i="19"/>
  <c r="V245" i="19"/>
  <c r="W245" i="19"/>
  <c r="X245" i="19"/>
  <c r="Z245" i="19"/>
  <c r="D244" i="32" s="1"/>
  <c r="AA245" i="19"/>
  <c r="D244" i="33" s="1"/>
  <c r="C246" i="19"/>
  <c r="D246" i="19"/>
  <c r="E246" i="19"/>
  <c r="F246" i="19"/>
  <c r="H246" i="19"/>
  <c r="I246" i="19"/>
  <c r="J246" i="19"/>
  <c r="K246" i="19"/>
  <c r="L246" i="19"/>
  <c r="M246" i="19"/>
  <c r="N246" i="19"/>
  <c r="P246" i="19"/>
  <c r="Q246" i="19"/>
  <c r="S246" i="19"/>
  <c r="V246" i="19"/>
  <c r="W246" i="19"/>
  <c r="X246" i="19"/>
  <c r="Z246" i="19"/>
  <c r="D245" i="32" s="1"/>
  <c r="AA246" i="19"/>
  <c r="D245" i="33" s="1"/>
  <c r="C247" i="19"/>
  <c r="D247" i="19"/>
  <c r="E247" i="19"/>
  <c r="F247" i="19"/>
  <c r="H247" i="19"/>
  <c r="I247" i="19"/>
  <c r="J247" i="19"/>
  <c r="K247" i="19"/>
  <c r="L247" i="19"/>
  <c r="M247" i="19"/>
  <c r="N247" i="19"/>
  <c r="P247" i="19"/>
  <c r="Q247" i="19"/>
  <c r="S247" i="19"/>
  <c r="V247" i="19"/>
  <c r="W247" i="19"/>
  <c r="X247" i="19"/>
  <c r="Z247" i="19"/>
  <c r="D246" i="32" s="1"/>
  <c r="AA247" i="19"/>
  <c r="D246" i="33" s="1"/>
  <c r="C248" i="19"/>
  <c r="D248" i="19"/>
  <c r="E248" i="19"/>
  <c r="F248" i="19"/>
  <c r="H248" i="19"/>
  <c r="I248" i="19"/>
  <c r="J248" i="19"/>
  <c r="K248" i="19"/>
  <c r="L248" i="19"/>
  <c r="M248" i="19"/>
  <c r="N248" i="19"/>
  <c r="P248" i="19"/>
  <c r="Q248" i="19"/>
  <c r="S248" i="19"/>
  <c r="V248" i="19"/>
  <c r="W248" i="19"/>
  <c r="X248" i="19"/>
  <c r="Z248" i="19"/>
  <c r="D247" i="32" s="1"/>
  <c r="AA248" i="19"/>
  <c r="D247" i="33" s="1"/>
  <c r="C249" i="19"/>
  <c r="D249" i="19"/>
  <c r="E249" i="19"/>
  <c r="F249" i="19"/>
  <c r="H249" i="19"/>
  <c r="I249" i="19"/>
  <c r="J249" i="19"/>
  <c r="K249" i="19"/>
  <c r="L249" i="19"/>
  <c r="M249" i="19"/>
  <c r="N249" i="19"/>
  <c r="P249" i="19"/>
  <c r="Q249" i="19"/>
  <c r="S249" i="19"/>
  <c r="V249" i="19"/>
  <c r="W249" i="19"/>
  <c r="X249" i="19"/>
  <c r="Z249" i="19"/>
  <c r="D248" i="32" s="1"/>
  <c r="AA249" i="19"/>
  <c r="D248" i="33" s="1"/>
  <c r="C250" i="19"/>
  <c r="D250" i="19"/>
  <c r="E250" i="19"/>
  <c r="F250" i="19"/>
  <c r="H250" i="19"/>
  <c r="I250" i="19"/>
  <c r="J250" i="19"/>
  <c r="K250" i="19"/>
  <c r="L250" i="19"/>
  <c r="M250" i="19"/>
  <c r="N250" i="19"/>
  <c r="P250" i="19"/>
  <c r="Q250" i="19"/>
  <c r="S250" i="19"/>
  <c r="V250" i="19"/>
  <c r="W250" i="19"/>
  <c r="X250" i="19"/>
  <c r="Z250" i="19"/>
  <c r="D249" i="32" s="1"/>
  <c r="AA250" i="19"/>
  <c r="D249" i="33" s="1"/>
  <c r="C251" i="19"/>
  <c r="D251" i="19"/>
  <c r="E251" i="19"/>
  <c r="F251" i="19"/>
  <c r="H251" i="19"/>
  <c r="I251" i="19"/>
  <c r="J251" i="19"/>
  <c r="K251" i="19"/>
  <c r="L251" i="19"/>
  <c r="M251" i="19"/>
  <c r="N251" i="19"/>
  <c r="P251" i="19"/>
  <c r="Q251" i="19"/>
  <c r="S251" i="19"/>
  <c r="V251" i="19"/>
  <c r="W251" i="19"/>
  <c r="X251" i="19"/>
  <c r="Z251" i="19"/>
  <c r="D250" i="32" s="1"/>
  <c r="AA251" i="19"/>
  <c r="D250" i="33" s="1"/>
  <c r="C252" i="19"/>
  <c r="D252" i="19"/>
  <c r="E252" i="19"/>
  <c r="F252" i="19"/>
  <c r="H252" i="19"/>
  <c r="I252" i="19"/>
  <c r="J252" i="19"/>
  <c r="K252" i="19"/>
  <c r="L252" i="19"/>
  <c r="M252" i="19"/>
  <c r="N252" i="19"/>
  <c r="P252" i="19"/>
  <c r="Q252" i="19"/>
  <c r="S252" i="19"/>
  <c r="V252" i="19"/>
  <c r="W252" i="19"/>
  <c r="X252" i="19"/>
  <c r="Z252" i="19"/>
  <c r="D251" i="32" s="1"/>
  <c r="AA252" i="19"/>
  <c r="D251" i="33" s="1"/>
  <c r="C253" i="19"/>
  <c r="D253" i="19"/>
  <c r="E253" i="19"/>
  <c r="F253" i="19"/>
  <c r="H253" i="19"/>
  <c r="I253" i="19"/>
  <c r="J253" i="19"/>
  <c r="K253" i="19"/>
  <c r="L253" i="19"/>
  <c r="M253" i="19"/>
  <c r="N253" i="19"/>
  <c r="P253" i="19"/>
  <c r="Q253" i="19"/>
  <c r="S253" i="19"/>
  <c r="V253" i="19"/>
  <c r="W253" i="19"/>
  <c r="X253" i="19"/>
  <c r="Z253" i="19"/>
  <c r="D252" i="32" s="1"/>
  <c r="AA253" i="19"/>
  <c r="D252" i="33" s="1"/>
  <c r="C254" i="19"/>
  <c r="D254" i="19"/>
  <c r="E254" i="19"/>
  <c r="F254" i="19"/>
  <c r="H254" i="19"/>
  <c r="I254" i="19"/>
  <c r="J254" i="19"/>
  <c r="K254" i="19"/>
  <c r="L254" i="19"/>
  <c r="M254" i="19"/>
  <c r="N254" i="19"/>
  <c r="P254" i="19"/>
  <c r="Q254" i="19"/>
  <c r="S254" i="19"/>
  <c r="V254" i="19"/>
  <c r="W254" i="19"/>
  <c r="X254" i="19"/>
  <c r="Z254" i="19"/>
  <c r="D253" i="32" s="1"/>
  <c r="AA254" i="19"/>
  <c r="D253" i="33" s="1"/>
  <c r="C255" i="19"/>
  <c r="D255" i="19"/>
  <c r="E255" i="19"/>
  <c r="F255" i="19"/>
  <c r="H255" i="19"/>
  <c r="I255" i="19"/>
  <c r="J255" i="19"/>
  <c r="K255" i="19"/>
  <c r="L255" i="19"/>
  <c r="M255" i="19"/>
  <c r="N255" i="19"/>
  <c r="P255" i="19"/>
  <c r="Q255" i="19"/>
  <c r="S255" i="19"/>
  <c r="V255" i="19"/>
  <c r="W255" i="19"/>
  <c r="X255" i="19"/>
  <c r="Z255" i="19"/>
  <c r="D254" i="32" s="1"/>
  <c r="AA255" i="19"/>
  <c r="D254" i="33" s="1"/>
  <c r="C256" i="19"/>
  <c r="D256" i="19"/>
  <c r="E256" i="19"/>
  <c r="F256" i="19"/>
  <c r="H256" i="19"/>
  <c r="I256" i="19"/>
  <c r="J256" i="19"/>
  <c r="K256" i="19"/>
  <c r="L256" i="19"/>
  <c r="M256" i="19"/>
  <c r="N256" i="19"/>
  <c r="P256" i="19"/>
  <c r="Q256" i="19"/>
  <c r="S256" i="19"/>
  <c r="V256" i="19"/>
  <c r="W256" i="19"/>
  <c r="X256" i="19"/>
  <c r="Z256" i="19"/>
  <c r="D255" i="32" s="1"/>
  <c r="AA256" i="19"/>
  <c r="D255" i="33" s="1"/>
  <c r="C257" i="19"/>
  <c r="D257" i="19"/>
  <c r="E257" i="19"/>
  <c r="F257" i="19"/>
  <c r="H257" i="19"/>
  <c r="I257" i="19"/>
  <c r="J257" i="19"/>
  <c r="K257" i="19"/>
  <c r="L257" i="19"/>
  <c r="M257" i="19"/>
  <c r="N257" i="19"/>
  <c r="P257" i="19"/>
  <c r="Q257" i="19"/>
  <c r="S257" i="19"/>
  <c r="V257" i="19"/>
  <c r="W257" i="19"/>
  <c r="X257" i="19"/>
  <c r="Z257" i="19"/>
  <c r="D256" i="32" s="1"/>
  <c r="AA257" i="19"/>
  <c r="D256" i="33" s="1"/>
  <c r="C258" i="19"/>
  <c r="D258" i="19"/>
  <c r="E258" i="19"/>
  <c r="F258" i="19"/>
  <c r="H258" i="19"/>
  <c r="I258" i="19"/>
  <c r="J258" i="19"/>
  <c r="K258" i="19"/>
  <c r="L258" i="19"/>
  <c r="M258" i="19"/>
  <c r="N258" i="19"/>
  <c r="P258" i="19"/>
  <c r="Q258" i="19"/>
  <c r="S258" i="19"/>
  <c r="V258" i="19"/>
  <c r="W258" i="19"/>
  <c r="X258" i="19"/>
  <c r="Z258" i="19"/>
  <c r="D257" i="32" s="1"/>
  <c r="AA258" i="19"/>
  <c r="D257" i="33" s="1"/>
  <c r="C259" i="19"/>
  <c r="D259" i="19"/>
  <c r="E259" i="19"/>
  <c r="F259" i="19"/>
  <c r="H259" i="19"/>
  <c r="I259" i="19"/>
  <c r="J259" i="19"/>
  <c r="K259" i="19"/>
  <c r="L259" i="19"/>
  <c r="M259" i="19"/>
  <c r="N259" i="19"/>
  <c r="P259" i="19"/>
  <c r="Q259" i="19"/>
  <c r="S259" i="19"/>
  <c r="V259" i="19"/>
  <c r="W259" i="19"/>
  <c r="X259" i="19"/>
  <c r="Z259" i="19"/>
  <c r="D258" i="32" s="1"/>
  <c r="AA259" i="19"/>
  <c r="D258" i="33" s="1"/>
  <c r="C260" i="19"/>
  <c r="D260" i="19"/>
  <c r="E260" i="19"/>
  <c r="F260" i="19"/>
  <c r="H260" i="19"/>
  <c r="I260" i="19"/>
  <c r="J260" i="19"/>
  <c r="K260" i="19"/>
  <c r="L260" i="19"/>
  <c r="M260" i="19"/>
  <c r="N260" i="19"/>
  <c r="P260" i="19"/>
  <c r="Q260" i="19"/>
  <c r="S260" i="19"/>
  <c r="V260" i="19"/>
  <c r="W260" i="19"/>
  <c r="X260" i="19"/>
  <c r="Z260" i="19"/>
  <c r="D259" i="32" s="1"/>
  <c r="AA260" i="19"/>
  <c r="D259" i="33" s="1"/>
  <c r="C261" i="19"/>
  <c r="D261" i="19"/>
  <c r="E261" i="19"/>
  <c r="F261" i="19"/>
  <c r="H261" i="19"/>
  <c r="I261" i="19"/>
  <c r="J261" i="19"/>
  <c r="K261" i="19"/>
  <c r="L261" i="19"/>
  <c r="M261" i="19"/>
  <c r="N261" i="19"/>
  <c r="P261" i="19"/>
  <c r="Q261" i="19"/>
  <c r="S261" i="19"/>
  <c r="V261" i="19"/>
  <c r="W261" i="19"/>
  <c r="X261" i="19"/>
  <c r="Z261" i="19"/>
  <c r="D260" i="32" s="1"/>
  <c r="AA261" i="19"/>
  <c r="D260" i="33" s="1"/>
  <c r="C262" i="19"/>
  <c r="D262" i="19"/>
  <c r="E262" i="19"/>
  <c r="F262" i="19"/>
  <c r="H262" i="19"/>
  <c r="I262" i="19"/>
  <c r="J262" i="19"/>
  <c r="K262" i="19"/>
  <c r="L262" i="19"/>
  <c r="M262" i="19"/>
  <c r="N262" i="19"/>
  <c r="P262" i="19"/>
  <c r="Q262" i="19"/>
  <c r="S262" i="19"/>
  <c r="V262" i="19"/>
  <c r="W262" i="19"/>
  <c r="X262" i="19"/>
  <c r="Z262" i="19"/>
  <c r="D261" i="32" s="1"/>
  <c r="AA262" i="19"/>
  <c r="D261" i="33" s="1"/>
  <c r="C263" i="19"/>
  <c r="D263" i="19"/>
  <c r="E263" i="19"/>
  <c r="F263" i="19"/>
  <c r="H263" i="19"/>
  <c r="I263" i="19"/>
  <c r="J263" i="19"/>
  <c r="K263" i="19"/>
  <c r="L263" i="19"/>
  <c r="M263" i="19"/>
  <c r="N263" i="19"/>
  <c r="P263" i="19"/>
  <c r="Q263" i="19"/>
  <c r="S263" i="19"/>
  <c r="V263" i="19"/>
  <c r="W263" i="19"/>
  <c r="X263" i="19"/>
  <c r="Z263" i="19"/>
  <c r="D262" i="32" s="1"/>
  <c r="AA263" i="19"/>
  <c r="D262" i="33" s="1"/>
  <c r="C264" i="19"/>
  <c r="D264" i="19"/>
  <c r="E264" i="19"/>
  <c r="F264" i="19"/>
  <c r="H264" i="19"/>
  <c r="I264" i="19"/>
  <c r="J264" i="19"/>
  <c r="K264" i="19"/>
  <c r="L264" i="19"/>
  <c r="M264" i="19"/>
  <c r="N264" i="19"/>
  <c r="P264" i="19"/>
  <c r="Q264" i="19"/>
  <c r="S264" i="19"/>
  <c r="V264" i="19"/>
  <c r="W264" i="19"/>
  <c r="X264" i="19"/>
  <c r="Z264" i="19"/>
  <c r="D263" i="32" s="1"/>
  <c r="AA264" i="19"/>
  <c r="D263" i="33" s="1"/>
  <c r="C265" i="19"/>
  <c r="D265" i="19"/>
  <c r="E265" i="19"/>
  <c r="F265" i="19"/>
  <c r="H265" i="19"/>
  <c r="I265" i="19"/>
  <c r="J265" i="19"/>
  <c r="K265" i="19"/>
  <c r="L265" i="19"/>
  <c r="M265" i="19"/>
  <c r="N265" i="19"/>
  <c r="P265" i="19"/>
  <c r="Q265" i="19"/>
  <c r="S265" i="19"/>
  <c r="V265" i="19"/>
  <c r="W265" i="19"/>
  <c r="X265" i="19"/>
  <c r="Z265" i="19"/>
  <c r="D264" i="32" s="1"/>
  <c r="AA265" i="19"/>
  <c r="D264" i="33" s="1"/>
  <c r="C266" i="19"/>
  <c r="D266" i="19"/>
  <c r="E266" i="19"/>
  <c r="F266" i="19"/>
  <c r="H266" i="19"/>
  <c r="I266" i="19"/>
  <c r="J266" i="19"/>
  <c r="K266" i="19"/>
  <c r="L266" i="19"/>
  <c r="M266" i="19"/>
  <c r="N266" i="19"/>
  <c r="P266" i="19"/>
  <c r="Q266" i="19"/>
  <c r="S266" i="19"/>
  <c r="V266" i="19"/>
  <c r="W266" i="19"/>
  <c r="X266" i="19"/>
  <c r="Z266" i="19"/>
  <c r="D265" i="32" s="1"/>
  <c r="AA266" i="19"/>
  <c r="D265" i="33" s="1"/>
  <c r="C267" i="19"/>
  <c r="D267" i="19"/>
  <c r="E267" i="19"/>
  <c r="F267" i="19"/>
  <c r="H267" i="19"/>
  <c r="I267" i="19"/>
  <c r="J267" i="19"/>
  <c r="K267" i="19"/>
  <c r="L267" i="19"/>
  <c r="M267" i="19"/>
  <c r="N267" i="19"/>
  <c r="P267" i="19"/>
  <c r="Q267" i="19"/>
  <c r="S267" i="19"/>
  <c r="V267" i="19"/>
  <c r="W267" i="19"/>
  <c r="X267" i="19"/>
  <c r="Z267" i="19"/>
  <c r="D266" i="32" s="1"/>
  <c r="AA267" i="19"/>
  <c r="D266" i="33" s="1"/>
  <c r="C268" i="19"/>
  <c r="D268" i="19"/>
  <c r="E268" i="19"/>
  <c r="F268" i="19"/>
  <c r="H268" i="19"/>
  <c r="I268" i="19"/>
  <c r="J268" i="19"/>
  <c r="K268" i="19"/>
  <c r="L268" i="19"/>
  <c r="M268" i="19"/>
  <c r="N268" i="19"/>
  <c r="P268" i="19"/>
  <c r="Q268" i="19"/>
  <c r="S268" i="19"/>
  <c r="V268" i="19"/>
  <c r="W268" i="19"/>
  <c r="X268" i="19"/>
  <c r="Z268" i="19"/>
  <c r="D267" i="32" s="1"/>
  <c r="AA268" i="19"/>
  <c r="D267" i="33" s="1"/>
  <c r="C269" i="19"/>
  <c r="D269" i="19"/>
  <c r="E269" i="19"/>
  <c r="F269" i="19"/>
  <c r="H269" i="19"/>
  <c r="I269" i="19"/>
  <c r="J269" i="19"/>
  <c r="K269" i="19"/>
  <c r="L269" i="19"/>
  <c r="M269" i="19"/>
  <c r="N269" i="19"/>
  <c r="P269" i="19"/>
  <c r="Q269" i="19"/>
  <c r="S269" i="19"/>
  <c r="V269" i="19"/>
  <c r="W269" i="19"/>
  <c r="X269" i="19"/>
  <c r="Z269" i="19"/>
  <c r="D268" i="32" s="1"/>
  <c r="AA269" i="19"/>
  <c r="D268" i="33" s="1"/>
  <c r="C270" i="19"/>
  <c r="D270" i="19"/>
  <c r="E270" i="19"/>
  <c r="F270" i="19"/>
  <c r="H270" i="19"/>
  <c r="I270" i="19"/>
  <c r="J270" i="19"/>
  <c r="K270" i="19"/>
  <c r="L270" i="19"/>
  <c r="M270" i="19"/>
  <c r="N270" i="19"/>
  <c r="P270" i="19"/>
  <c r="Q270" i="19"/>
  <c r="S270" i="19"/>
  <c r="V270" i="19"/>
  <c r="W270" i="19"/>
  <c r="X270" i="19"/>
  <c r="Z270" i="19"/>
  <c r="D269" i="32" s="1"/>
  <c r="AA270" i="19"/>
  <c r="D269" i="33" s="1"/>
  <c r="C271" i="19"/>
  <c r="D271" i="19"/>
  <c r="E271" i="19"/>
  <c r="F271" i="19"/>
  <c r="H271" i="19"/>
  <c r="I271" i="19"/>
  <c r="J271" i="19"/>
  <c r="K271" i="19"/>
  <c r="L271" i="19"/>
  <c r="M271" i="19"/>
  <c r="N271" i="19"/>
  <c r="P271" i="19"/>
  <c r="Q271" i="19"/>
  <c r="S271" i="19"/>
  <c r="V271" i="19"/>
  <c r="W271" i="19"/>
  <c r="X271" i="19"/>
  <c r="Z271" i="19"/>
  <c r="D270" i="32" s="1"/>
  <c r="AA271" i="19"/>
  <c r="D270" i="33" s="1"/>
  <c r="C272" i="19"/>
  <c r="D272" i="19"/>
  <c r="E272" i="19"/>
  <c r="F272" i="19"/>
  <c r="H272" i="19"/>
  <c r="I272" i="19"/>
  <c r="J272" i="19"/>
  <c r="K272" i="19"/>
  <c r="L272" i="19"/>
  <c r="M272" i="19"/>
  <c r="N272" i="19"/>
  <c r="P272" i="19"/>
  <c r="Q272" i="19"/>
  <c r="S272" i="19"/>
  <c r="V272" i="19"/>
  <c r="W272" i="19"/>
  <c r="X272" i="19"/>
  <c r="Z272" i="19"/>
  <c r="D271" i="32" s="1"/>
  <c r="AA272" i="19"/>
  <c r="D271" i="33" s="1"/>
  <c r="C273" i="19"/>
  <c r="D273" i="19"/>
  <c r="E273" i="19"/>
  <c r="F273" i="19"/>
  <c r="H273" i="19"/>
  <c r="I273" i="19"/>
  <c r="J273" i="19"/>
  <c r="K273" i="19"/>
  <c r="L273" i="19"/>
  <c r="M273" i="19"/>
  <c r="N273" i="19"/>
  <c r="P273" i="19"/>
  <c r="Q273" i="19"/>
  <c r="S273" i="19"/>
  <c r="V273" i="19"/>
  <c r="W273" i="19"/>
  <c r="X273" i="19"/>
  <c r="Z273" i="19"/>
  <c r="D272" i="32" s="1"/>
  <c r="AA273" i="19"/>
  <c r="D272" i="33" s="1"/>
  <c r="C274" i="19"/>
  <c r="D274" i="19"/>
  <c r="E274" i="19"/>
  <c r="F274" i="19"/>
  <c r="H274" i="19"/>
  <c r="I274" i="19"/>
  <c r="J274" i="19"/>
  <c r="K274" i="19"/>
  <c r="L274" i="19"/>
  <c r="M274" i="19"/>
  <c r="N274" i="19"/>
  <c r="P274" i="19"/>
  <c r="Q274" i="19"/>
  <c r="S274" i="19"/>
  <c r="V274" i="19"/>
  <c r="W274" i="19"/>
  <c r="X274" i="19"/>
  <c r="Z274" i="19"/>
  <c r="D273" i="32" s="1"/>
  <c r="AA274" i="19"/>
  <c r="D273" i="33" s="1"/>
  <c r="C275" i="19"/>
  <c r="D275" i="19"/>
  <c r="E275" i="19"/>
  <c r="F275" i="19"/>
  <c r="H275" i="19"/>
  <c r="I275" i="19"/>
  <c r="J275" i="19"/>
  <c r="K275" i="19"/>
  <c r="L275" i="19"/>
  <c r="M275" i="19"/>
  <c r="N275" i="19"/>
  <c r="P275" i="19"/>
  <c r="Q275" i="19"/>
  <c r="S275" i="19"/>
  <c r="V275" i="19"/>
  <c r="W275" i="19"/>
  <c r="X275" i="19"/>
  <c r="Z275" i="19"/>
  <c r="D274" i="32" s="1"/>
  <c r="AA275" i="19"/>
  <c r="D274" i="33" s="1"/>
  <c r="C276" i="19"/>
  <c r="D276" i="19"/>
  <c r="E276" i="19"/>
  <c r="F276" i="19"/>
  <c r="H276" i="19"/>
  <c r="I276" i="19"/>
  <c r="J276" i="19"/>
  <c r="K276" i="19"/>
  <c r="L276" i="19"/>
  <c r="M276" i="19"/>
  <c r="N276" i="19"/>
  <c r="P276" i="19"/>
  <c r="Q276" i="19"/>
  <c r="S276" i="19"/>
  <c r="V276" i="19"/>
  <c r="W276" i="19"/>
  <c r="X276" i="19"/>
  <c r="Z276" i="19"/>
  <c r="D275" i="32" s="1"/>
  <c r="AA276" i="19"/>
  <c r="D275" i="33" s="1"/>
  <c r="C277" i="19"/>
  <c r="D277" i="19"/>
  <c r="E277" i="19"/>
  <c r="F277" i="19"/>
  <c r="H277" i="19"/>
  <c r="I277" i="19"/>
  <c r="J277" i="19"/>
  <c r="K277" i="19"/>
  <c r="L277" i="19"/>
  <c r="M277" i="19"/>
  <c r="N277" i="19"/>
  <c r="P277" i="19"/>
  <c r="Q277" i="19"/>
  <c r="S277" i="19"/>
  <c r="V277" i="19"/>
  <c r="W277" i="19"/>
  <c r="X277" i="19"/>
  <c r="Z277" i="19"/>
  <c r="D276" i="32" s="1"/>
  <c r="AA277" i="19"/>
  <c r="D276" i="33" s="1"/>
  <c r="C278" i="19"/>
  <c r="D278" i="19"/>
  <c r="E278" i="19"/>
  <c r="F278" i="19"/>
  <c r="H278" i="19"/>
  <c r="I278" i="19"/>
  <c r="J278" i="19"/>
  <c r="K278" i="19"/>
  <c r="L278" i="19"/>
  <c r="M278" i="19"/>
  <c r="N278" i="19"/>
  <c r="P278" i="19"/>
  <c r="Q278" i="19"/>
  <c r="S278" i="19"/>
  <c r="V278" i="19"/>
  <c r="W278" i="19"/>
  <c r="X278" i="19"/>
  <c r="Z278" i="19"/>
  <c r="D277" i="32" s="1"/>
  <c r="AA278" i="19"/>
  <c r="D277" i="33" s="1"/>
  <c r="C279" i="19"/>
  <c r="D279" i="19"/>
  <c r="E279" i="19"/>
  <c r="F279" i="19"/>
  <c r="H279" i="19"/>
  <c r="I279" i="19"/>
  <c r="J279" i="19"/>
  <c r="K279" i="19"/>
  <c r="L279" i="19"/>
  <c r="M279" i="19"/>
  <c r="N279" i="19"/>
  <c r="P279" i="19"/>
  <c r="Q279" i="19"/>
  <c r="S279" i="19"/>
  <c r="V279" i="19"/>
  <c r="W279" i="19"/>
  <c r="X279" i="19"/>
  <c r="Z279" i="19"/>
  <c r="D278" i="32" s="1"/>
  <c r="AA279" i="19"/>
  <c r="D278" i="33" s="1"/>
  <c r="C280" i="19"/>
  <c r="D280" i="19"/>
  <c r="E280" i="19"/>
  <c r="F280" i="19"/>
  <c r="H280" i="19"/>
  <c r="I280" i="19"/>
  <c r="J280" i="19"/>
  <c r="K280" i="19"/>
  <c r="L280" i="19"/>
  <c r="M280" i="19"/>
  <c r="N280" i="19"/>
  <c r="P280" i="19"/>
  <c r="Q280" i="19"/>
  <c r="S280" i="19"/>
  <c r="V280" i="19"/>
  <c r="W280" i="19"/>
  <c r="X280" i="19"/>
  <c r="Z280" i="19"/>
  <c r="D279" i="32" s="1"/>
  <c r="AA280" i="19"/>
  <c r="D279" i="33" s="1"/>
  <c r="C281" i="19"/>
  <c r="D281" i="19"/>
  <c r="E281" i="19"/>
  <c r="F281" i="19"/>
  <c r="H281" i="19"/>
  <c r="I281" i="19"/>
  <c r="J281" i="19"/>
  <c r="K281" i="19"/>
  <c r="L281" i="19"/>
  <c r="M281" i="19"/>
  <c r="N281" i="19"/>
  <c r="P281" i="19"/>
  <c r="Q281" i="19"/>
  <c r="S281" i="19"/>
  <c r="V281" i="19"/>
  <c r="W281" i="19"/>
  <c r="X281" i="19"/>
  <c r="Z281" i="19"/>
  <c r="D280" i="32" s="1"/>
  <c r="AA281" i="19"/>
  <c r="D280" i="33" s="1"/>
  <c r="C282" i="19"/>
  <c r="D282" i="19"/>
  <c r="E282" i="19"/>
  <c r="F282" i="19"/>
  <c r="H282" i="19"/>
  <c r="I282" i="19"/>
  <c r="J282" i="19"/>
  <c r="K282" i="19"/>
  <c r="L282" i="19"/>
  <c r="M282" i="19"/>
  <c r="N282" i="19"/>
  <c r="P282" i="19"/>
  <c r="Q282" i="19"/>
  <c r="S282" i="19"/>
  <c r="V282" i="19"/>
  <c r="W282" i="19"/>
  <c r="X282" i="19"/>
  <c r="Z282" i="19"/>
  <c r="D281" i="32" s="1"/>
  <c r="AA282" i="19"/>
  <c r="D281" i="33" s="1"/>
  <c r="C283" i="19"/>
  <c r="D283" i="19"/>
  <c r="E283" i="19"/>
  <c r="F283" i="19"/>
  <c r="H283" i="19"/>
  <c r="I283" i="19"/>
  <c r="J283" i="19"/>
  <c r="K283" i="19"/>
  <c r="L283" i="19"/>
  <c r="M283" i="19"/>
  <c r="N283" i="19"/>
  <c r="P283" i="19"/>
  <c r="Q283" i="19"/>
  <c r="S283" i="19"/>
  <c r="V283" i="19"/>
  <c r="W283" i="19"/>
  <c r="X283" i="19"/>
  <c r="Z283" i="19"/>
  <c r="D282" i="32" s="1"/>
  <c r="AA283" i="19"/>
  <c r="D282" i="33" s="1"/>
  <c r="C284" i="19"/>
  <c r="D284" i="19"/>
  <c r="E284" i="19"/>
  <c r="F284" i="19"/>
  <c r="H284" i="19"/>
  <c r="I284" i="19"/>
  <c r="J284" i="19"/>
  <c r="K284" i="19"/>
  <c r="L284" i="19"/>
  <c r="M284" i="19"/>
  <c r="N284" i="19"/>
  <c r="P284" i="19"/>
  <c r="Q284" i="19"/>
  <c r="S284" i="19"/>
  <c r="V284" i="19"/>
  <c r="W284" i="19"/>
  <c r="X284" i="19"/>
  <c r="Z284" i="19"/>
  <c r="D283" i="32" s="1"/>
  <c r="AA284" i="19"/>
  <c r="D283" i="33" s="1"/>
  <c r="C285" i="19"/>
  <c r="D285" i="19"/>
  <c r="E285" i="19"/>
  <c r="F285" i="19"/>
  <c r="H285" i="19"/>
  <c r="I285" i="19"/>
  <c r="J285" i="19"/>
  <c r="K285" i="19"/>
  <c r="L285" i="19"/>
  <c r="M285" i="19"/>
  <c r="N285" i="19"/>
  <c r="P285" i="19"/>
  <c r="Q285" i="19"/>
  <c r="S285" i="19"/>
  <c r="V285" i="19"/>
  <c r="W285" i="19"/>
  <c r="X285" i="19"/>
  <c r="Z285" i="19"/>
  <c r="D284" i="32" s="1"/>
  <c r="AA285" i="19"/>
  <c r="D284" i="33" s="1"/>
  <c r="C286" i="19"/>
  <c r="D286" i="19"/>
  <c r="E286" i="19"/>
  <c r="F286" i="19"/>
  <c r="H286" i="19"/>
  <c r="I286" i="19"/>
  <c r="J286" i="19"/>
  <c r="K286" i="19"/>
  <c r="L286" i="19"/>
  <c r="M286" i="19"/>
  <c r="N286" i="19"/>
  <c r="P286" i="19"/>
  <c r="Q286" i="19"/>
  <c r="S286" i="19"/>
  <c r="V286" i="19"/>
  <c r="W286" i="19"/>
  <c r="X286" i="19"/>
  <c r="Z286" i="19"/>
  <c r="D285" i="32" s="1"/>
  <c r="AA286" i="19"/>
  <c r="D285" i="33" s="1"/>
  <c r="C287" i="19"/>
  <c r="D287" i="19"/>
  <c r="E287" i="19"/>
  <c r="F287" i="19"/>
  <c r="H287" i="19"/>
  <c r="I287" i="19"/>
  <c r="J287" i="19"/>
  <c r="K287" i="19"/>
  <c r="L287" i="19"/>
  <c r="M287" i="19"/>
  <c r="N287" i="19"/>
  <c r="P287" i="19"/>
  <c r="Q287" i="19"/>
  <c r="S287" i="19"/>
  <c r="V287" i="19"/>
  <c r="W287" i="19"/>
  <c r="X287" i="19"/>
  <c r="Z287" i="19"/>
  <c r="D286" i="32" s="1"/>
  <c r="AA287" i="19"/>
  <c r="D286" i="33" s="1"/>
  <c r="C288" i="19"/>
  <c r="D288" i="19"/>
  <c r="E288" i="19"/>
  <c r="F288" i="19"/>
  <c r="H288" i="19"/>
  <c r="I288" i="19"/>
  <c r="J288" i="19"/>
  <c r="K288" i="19"/>
  <c r="L288" i="19"/>
  <c r="M288" i="19"/>
  <c r="N288" i="19"/>
  <c r="P288" i="19"/>
  <c r="Q288" i="19"/>
  <c r="S288" i="19"/>
  <c r="V288" i="19"/>
  <c r="W288" i="19"/>
  <c r="X288" i="19"/>
  <c r="Z288" i="19"/>
  <c r="D287" i="32" s="1"/>
  <c r="AA288" i="19"/>
  <c r="D287" i="33" s="1"/>
  <c r="C289" i="19"/>
  <c r="D289" i="19"/>
  <c r="E289" i="19"/>
  <c r="F289" i="19"/>
  <c r="H289" i="19"/>
  <c r="I289" i="19"/>
  <c r="J289" i="19"/>
  <c r="K289" i="19"/>
  <c r="L289" i="19"/>
  <c r="M289" i="19"/>
  <c r="N289" i="19"/>
  <c r="P289" i="19"/>
  <c r="Q289" i="19"/>
  <c r="S289" i="19"/>
  <c r="V289" i="19"/>
  <c r="W289" i="19"/>
  <c r="X289" i="19"/>
  <c r="Z289" i="19"/>
  <c r="D288" i="32" s="1"/>
  <c r="AA289" i="19"/>
  <c r="D288" i="33" s="1"/>
  <c r="C290" i="19"/>
  <c r="D290" i="19"/>
  <c r="E290" i="19"/>
  <c r="F290" i="19"/>
  <c r="H290" i="19"/>
  <c r="I290" i="19"/>
  <c r="J290" i="19"/>
  <c r="K290" i="19"/>
  <c r="L290" i="19"/>
  <c r="M290" i="19"/>
  <c r="N290" i="19"/>
  <c r="P290" i="19"/>
  <c r="Q290" i="19"/>
  <c r="S290" i="19"/>
  <c r="V290" i="19"/>
  <c r="W290" i="19"/>
  <c r="X290" i="19"/>
  <c r="Z290" i="19"/>
  <c r="D289" i="32" s="1"/>
  <c r="AA290" i="19"/>
  <c r="D289" i="33" s="1"/>
  <c r="C291" i="19"/>
  <c r="D291" i="19"/>
  <c r="E291" i="19"/>
  <c r="F291" i="19"/>
  <c r="H291" i="19"/>
  <c r="I291" i="19"/>
  <c r="J291" i="19"/>
  <c r="K291" i="19"/>
  <c r="L291" i="19"/>
  <c r="M291" i="19"/>
  <c r="N291" i="19"/>
  <c r="P291" i="19"/>
  <c r="Q291" i="19"/>
  <c r="S291" i="19"/>
  <c r="V291" i="19"/>
  <c r="W291" i="19"/>
  <c r="X291" i="19"/>
  <c r="Z291" i="19"/>
  <c r="D290" i="32" s="1"/>
  <c r="AA291" i="19"/>
  <c r="D290" i="33" s="1"/>
  <c r="C292" i="19"/>
  <c r="D292" i="19"/>
  <c r="E292" i="19"/>
  <c r="F292" i="19"/>
  <c r="H292" i="19"/>
  <c r="I292" i="19"/>
  <c r="J292" i="19"/>
  <c r="K292" i="19"/>
  <c r="L292" i="19"/>
  <c r="M292" i="19"/>
  <c r="N292" i="19"/>
  <c r="P292" i="19"/>
  <c r="Q292" i="19"/>
  <c r="S292" i="19"/>
  <c r="V292" i="19"/>
  <c r="W292" i="19"/>
  <c r="X292" i="19"/>
  <c r="Z292" i="19"/>
  <c r="D291" i="32" s="1"/>
  <c r="AA292" i="19"/>
  <c r="D291" i="33" s="1"/>
  <c r="C293" i="19"/>
  <c r="D293" i="19"/>
  <c r="E293" i="19"/>
  <c r="F293" i="19"/>
  <c r="H293" i="19"/>
  <c r="I293" i="19"/>
  <c r="J293" i="19"/>
  <c r="K293" i="19"/>
  <c r="L293" i="19"/>
  <c r="M293" i="19"/>
  <c r="N293" i="19"/>
  <c r="P293" i="19"/>
  <c r="Q293" i="19"/>
  <c r="S293" i="19"/>
  <c r="V293" i="19"/>
  <c r="W293" i="19"/>
  <c r="X293" i="19"/>
  <c r="Z293" i="19"/>
  <c r="D292" i="32" s="1"/>
  <c r="AA293" i="19"/>
  <c r="D292" i="33" s="1"/>
  <c r="C294" i="19"/>
  <c r="D294" i="19"/>
  <c r="E294" i="19"/>
  <c r="F294" i="19"/>
  <c r="H294" i="19"/>
  <c r="I294" i="19"/>
  <c r="J294" i="19"/>
  <c r="K294" i="19"/>
  <c r="L294" i="19"/>
  <c r="M294" i="19"/>
  <c r="N294" i="19"/>
  <c r="P294" i="19"/>
  <c r="Q294" i="19"/>
  <c r="S294" i="19"/>
  <c r="V294" i="19"/>
  <c r="W294" i="19"/>
  <c r="X294" i="19"/>
  <c r="Z294" i="19"/>
  <c r="D293" i="32" s="1"/>
  <c r="AA294" i="19"/>
  <c r="D293" i="33" s="1"/>
  <c r="C295" i="19"/>
  <c r="D295" i="19"/>
  <c r="E295" i="19"/>
  <c r="F295" i="19"/>
  <c r="H295" i="19"/>
  <c r="I295" i="19"/>
  <c r="J295" i="19"/>
  <c r="K295" i="19"/>
  <c r="L295" i="19"/>
  <c r="M295" i="19"/>
  <c r="N295" i="19"/>
  <c r="P295" i="19"/>
  <c r="Q295" i="19"/>
  <c r="S295" i="19"/>
  <c r="V295" i="19"/>
  <c r="W295" i="19"/>
  <c r="X295" i="19"/>
  <c r="Z295" i="19"/>
  <c r="D294" i="32" s="1"/>
  <c r="AA295" i="19"/>
  <c r="D294" i="33" s="1"/>
  <c r="C296" i="19"/>
  <c r="D296" i="19"/>
  <c r="E296" i="19"/>
  <c r="F296" i="19"/>
  <c r="H296" i="19"/>
  <c r="I296" i="19"/>
  <c r="J296" i="19"/>
  <c r="K296" i="19"/>
  <c r="L296" i="19"/>
  <c r="M296" i="19"/>
  <c r="N296" i="19"/>
  <c r="P296" i="19"/>
  <c r="Q296" i="19"/>
  <c r="S296" i="19"/>
  <c r="V296" i="19"/>
  <c r="W296" i="19"/>
  <c r="X296" i="19"/>
  <c r="Z296" i="19"/>
  <c r="D295" i="32" s="1"/>
  <c r="AA296" i="19"/>
  <c r="D295" i="33" s="1"/>
  <c r="C297" i="19"/>
  <c r="D297" i="19"/>
  <c r="E297" i="19"/>
  <c r="F297" i="19"/>
  <c r="H297" i="19"/>
  <c r="I297" i="19"/>
  <c r="J297" i="19"/>
  <c r="K297" i="19"/>
  <c r="L297" i="19"/>
  <c r="M297" i="19"/>
  <c r="N297" i="19"/>
  <c r="P297" i="19"/>
  <c r="Q297" i="19"/>
  <c r="S297" i="19"/>
  <c r="V297" i="19"/>
  <c r="W297" i="19"/>
  <c r="X297" i="19"/>
  <c r="Z297" i="19"/>
  <c r="D296" i="32" s="1"/>
  <c r="AA297" i="19"/>
  <c r="D296" i="33" s="1"/>
  <c r="C298" i="19"/>
  <c r="D298" i="19"/>
  <c r="E298" i="19"/>
  <c r="F298" i="19"/>
  <c r="H298" i="19"/>
  <c r="I298" i="19"/>
  <c r="J298" i="19"/>
  <c r="K298" i="19"/>
  <c r="L298" i="19"/>
  <c r="M298" i="19"/>
  <c r="N298" i="19"/>
  <c r="P298" i="19"/>
  <c r="Q298" i="19"/>
  <c r="S298" i="19"/>
  <c r="V298" i="19"/>
  <c r="W298" i="19"/>
  <c r="X298" i="19"/>
  <c r="Z298" i="19"/>
  <c r="D297" i="32" s="1"/>
  <c r="AA298" i="19"/>
  <c r="D297" i="33" s="1"/>
  <c r="C299" i="19"/>
  <c r="D299" i="19"/>
  <c r="E299" i="19"/>
  <c r="F299" i="19"/>
  <c r="H299" i="19"/>
  <c r="I299" i="19"/>
  <c r="J299" i="19"/>
  <c r="K299" i="19"/>
  <c r="L299" i="19"/>
  <c r="M299" i="19"/>
  <c r="N299" i="19"/>
  <c r="P299" i="19"/>
  <c r="Q299" i="19"/>
  <c r="S299" i="19"/>
  <c r="V299" i="19"/>
  <c r="W299" i="19"/>
  <c r="X299" i="19"/>
  <c r="Z299" i="19"/>
  <c r="D298" i="32" s="1"/>
  <c r="AA299" i="19"/>
  <c r="D298" i="33" s="1"/>
  <c r="C300" i="19"/>
  <c r="D300" i="19"/>
  <c r="E300" i="19"/>
  <c r="F300" i="19"/>
  <c r="H300" i="19"/>
  <c r="I300" i="19"/>
  <c r="J300" i="19"/>
  <c r="K300" i="19"/>
  <c r="L300" i="19"/>
  <c r="M300" i="19"/>
  <c r="N300" i="19"/>
  <c r="P300" i="19"/>
  <c r="Q300" i="19"/>
  <c r="S300" i="19"/>
  <c r="V300" i="19"/>
  <c r="W300" i="19"/>
  <c r="X300" i="19"/>
  <c r="Z300" i="19"/>
  <c r="D299" i="32" s="1"/>
  <c r="AA300" i="19"/>
  <c r="D299" i="33" s="1"/>
  <c r="C301" i="19"/>
  <c r="D301" i="19"/>
  <c r="E301" i="19"/>
  <c r="F301" i="19"/>
  <c r="H301" i="19"/>
  <c r="I301" i="19"/>
  <c r="J301" i="19"/>
  <c r="K301" i="19"/>
  <c r="L301" i="19"/>
  <c r="M301" i="19"/>
  <c r="N301" i="19"/>
  <c r="P301" i="19"/>
  <c r="Q301" i="19"/>
  <c r="S301" i="19"/>
  <c r="V301" i="19"/>
  <c r="W301" i="19"/>
  <c r="X301" i="19"/>
  <c r="Z301" i="19"/>
  <c r="D300" i="32" s="1"/>
  <c r="AA301" i="19"/>
  <c r="D300" i="33" s="1"/>
  <c r="C302" i="19"/>
  <c r="D302" i="19"/>
  <c r="E302" i="19"/>
  <c r="F302" i="19"/>
  <c r="H302" i="19"/>
  <c r="I302" i="19"/>
  <c r="J302" i="19"/>
  <c r="K302" i="19"/>
  <c r="L302" i="19"/>
  <c r="M302" i="19"/>
  <c r="N302" i="19"/>
  <c r="P302" i="19"/>
  <c r="Q302" i="19"/>
  <c r="S302" i="19"/>
  <c r="V302" i="19"/>
  <c r="W302" i="19"/>
  <c r="X302" i="19"/>
  <c r="Z302" i="19"/>
  <c r="D301" i="32" s="1"/>
  <c r="AA302" i="19"/>
  <c r="D301" i="33" s="1"/>
  <c r="C303" i="19"/>
  <c r="D303" i="19"/>
  <c r="E303" i="19"/>
  <c r="F303" i="19"/>
  <c r="H303" i="19"/>
  <c r="I303" i="19"/>
  <c r="J303" i="19"/>
  <c r="K303" i="19"/>
  <c r="L303" i="19"/>
  <c r="M303" i="19"/>
  <c r="N303" i="19"/>
  <c r="P303" i="19"/>
  <c r="Q303" i="19"/>
  <c r="S303" i="19"/>
  <c r="V303" i="19"/>
  <c r="W303" i="19"/>
  <c r="X303" i="19"/>
  <c r="Z303" i="19"/>
  <c r="D302" i="32" s="1"/>
  <c r="AA303" i="19"/>
  <c r="D302" i="33" s="1"/>
  <c r="C304" i="19"/>
  <c r="D304" i="19"/>
  <c r="E304" i="19"/>
  <c r="F304" i="19"/>
  <c r="H304" i="19"/>
  <c r="I304" i="19"/>
  <c r="J304" i="19"/>
  <c r="K304" i="19"/>
  <c r="L304" i="19"/>
  <c r="M304" i="19"/>
  <c r="N304" i="19"/>
  <c r="P304" i="19"/>
  <c r="Q304" i="19"/>
  <c r="S304" i="19"/>
  <c r="V304" i="19"/>
  <c r="W304" i="19"/>
  <c r="X304" i="19"/>
  <c r="Z304" i="19"/>
  <c r="D303" i="32" s="1"/>
  <c r="AA304" i="19"/>
  <c r="D303" i="33" s="1"/>
  <c r="C305" i="19"/>
  <c r="D305" i="19"/>
  <c r="E305" i="19"/>
  <c r="F305" i="19"/>
  <c r="H305" i="19"/>
  <c r="I305" i="19"/>
  <c r="J305" i="19"/>
  <c r="K305" i="19"/>
  <c r="L305" i="19"/>
  <c r="M305" i="19"/>
  <c r="N305" i="19"/>
  <c r="P305" i="19"/>
  <c r="Q305" i="19"/>
  <c r="S305" i="19"/>
  <c r="V305" i="19"/>
  <c r="W305" i="19"/>
  <c r="X305" i="19"/>
  <c r="Z305" i="19"/>
  <c r="D304" i="32" s="1"/>
  <c r="AA305" i="19"/>
  <c r="D304" i="33" s="1"/>
  <c r="C306" i="19"/>
  <c r="D306" i="19"/>
  <c r="E306" i="19"/>
  <c r="F306" i="19"/>
  <c r="H306" i="19"/>
  <c r="I306" i="19"/>
  <c r="J306" i="19"/>
  <c r="K306" i="19"/>
  <c r="L306" i="19"/>
  <c r="M306" i="19"/>
  <c r="N306" i="19"/>
  <c r="P306" i="19"/>
  <c r="Q306" i="19"/>
  <c r="S306" i="19"/>
  <c r="V306" i="19"/>
  <c r="W306" i="19"/>
  <c r="X306" i="19"/>
  <c r="Z306" i="19"/>
  <c r="D305" i="32" s="1"/>
  <c r="AA306" i="19"/>
  <c r="D305" i="33" s="1"/>
  <c r="C307" i="19"/>
  <c r="D307" i="19"/>
  <c r="E307" i="19"/>
  <c r="F307" i="19"/>
  <c r="H307" i="19"/>
  <c r="I307" i="19"/>
  <c r="J307" i="19"/>
  <c r="K307" i="19"/>
  <c r="L307" i="19"/>
  <c r="M307" i="19"/>
  <c r="N307" i="19"/>
  <c r="P307" i="19"/>
  <c r="Q307" i="19"/>
  <c r="S307" i="19"/>
  <c r="V307" i="19"/>
  <c r="W307" i="19"/>
  <c r="X307" i="19"/>
  <c r="Z307" i="19"/>
  <c r="D306" i="32" s="1"/>
  <c r="AA307" i="19"/>
  <c r="D306" i="33" s="1"/>
  <c r="C308" i="19"/>
  <c r="D308" i="19"/>
  <c r="E308" i="19"/>
  <c r="F308" i="19"/>
  <c r="H308" i="19"/>
  <c r="I308" i="19"/>
  <c r="J308" i="19"/>
  <c r="K308" i="19"/>
  <c r="L308" i="19"/>
  <c r="M308" i="19"/>
  <c r="N308" i="19"/>
  <c r="P308" i="19"/>
  <c r="Q308" i="19"/>
  <c r="S308" i="19"/>
  <c r="V308" i="19"/>
  <c r="W308" i="19"/>
  <c r="X308" i="19"/>
  <c r="Z308" i="19"/>
  <c r="D307" i="32" s="1"/>
  <c r="AA308" i="19"/>
  <c r="D307" i="33" s="1"/>
  <c r="C309" i="19"/>
  <c r="D309" i="19"/>
  <c r="E309" i="19"/>
  <c r="F309" i="19"/>
  <c r="H309" i="19"/>
  <c r="I309" i="19"/>
  <c r="J309" i="19"/>
  <c r="K309" i="19"/>
  <c r="L309" i="19"/>
  <c r="M309" i="19"/>
  <c r="N309" i="19"/>
  <c r="P309" i="19"/>
  <c r="Q309" i="19"/>
  <c r="S309" i="19"/>
  <c r="V309" i="19"/>
  <c r="W309" i="19"/>
  <c r="X309" i="19"/>
  <c r="Z309" i="19"/>
  <c r="D308" i="32" s="1"/>
  <c r="AA309" i="19"/>
  <c r="D308" i="33" s="1"/>
  <c r="C310" i="19"/>
  <c r="D310" i="19"/>
  <c r="E310" i="19"/>
  <c r="F310" i="19"/>
  <c r="H310" i="19"/>
  <c r="I310" i="19"/>
  <c r="J310" i="19"/>
  <c r="K310" i="19"/>
  <c r="L310" i="19"/>
  <c r="M310" i="19"/>
  <c r="N310" i="19"/>
  <c r="P310" i="19"/>
  <c r="Q310" i="19"/>
  <c r="S310" i="19"/>
  <c r="V310" i="19"/>
  <c r="W310" i="19"/>
  <c r="X310" i="19"/>
  <c r="Z310" i="19"/>
  <c r="D309" i="32" s="1"/>
  <c r="AA310" i="19"/>
  <c r="D309" i="33" s="1"/>
  <c r="C311" i="19"/>
  <c r="D311" i="19"/>
  <c r="E311" i="19"/>
  <c r="F311" i="19"/>
  <c r="H311" i="19"/>
  <c r="I311" i="19"/>
  <c r="J311" i="19"/>
  <c r="K311" i="19"/>
  <c r="L311" i="19"/>
  <c r="M311" i="19"/>
  <c r="N311" i="19"/>
  <c r="P311" i="19"/>
  <c r="Q311" i="19"/>
  <c r="S311" i="19"/>
  <c r="V311" i="19"/>
  <c r="W311" i="19"/>
  <c r="X311" i="19"/>
  <c r="Z311" i="19"/>
  <c r="D310" i="32" s="1"/>
  <c r="AA311" i="19"/>
  <c r="D310" i="33" s="1"/>
  <c r="C312" i="19"/>
  <c r="D312" i="19"/>
  <c r="E312" i="19"/>
  <c r="F312" i="19"/>
  <c r="H312" i="19"/>
  <c r="I312" i="19"/>
  <c r="J312" i="19"/>
  <c r="K312" i="19"/>
  <c r="L312" i="19"/>
  <c r="M312" i="19"/>
  <c r="N312" i="19"/>
  <c r="P312" i="19"/>
  <c r="Q312" i="19"/>
  <c r="S312" i="19"/>
  <c r="V312" i="19"/>
  <c r="W312" i="19"/>
  <c r="X312" i="19"/>
  <c r="Z312" i="19"/>
  <c r="D311" i="32" s="1"/>
  <c r="AA312" i="19"/>
  <c r="D311" i="33" s="1"/>
  <c r="C313" i="19"/>
  <c r="D313" i="19"/>
  <c r="E313" i="19"/>
  <c r="F313" i="19"/>
  <c r="H313" i="19"/>
  <c r="I313" i="19"/>
  <c r="J313" i="19"/>
  <c r="K313" i="19"/>
  <c r="L313" i="19"/>
  <c r="M313" i="19"/>
  <c r="N313" i="19"/>
  <c r="P313" i="19"/>
  <c r="Q313" i="19"/>
  <c r="S313" i="19"/>
  <c r="V313" i="19"/>
  <c r="W313" i="19"/>
  <c r="X313" i="19"/>
  <c r="Z313" i="19"/>
  <c r="D312" i="32" s="1"/>
  <c r="AA313" i="19"/>
  <c r="D312" i="33" s="1"/>
  <c r="C314" i="19"/>
  <c r="D314" i="19"/>
  <c r="E314" i="19"/>
  <c r="F314" i="19"/>
  <c r="H314" i="19"/>
  <c r="I314" i="19"/>
  <c r="J314" i="19"/>
  <c r="K314" i="19"/>
  <c r="L314" i="19"/>
  <c r="M314" i="19"/>
  <c r="N314" i="19"/>
  <c r="P314" i="19"/>
  <c r="Q314" i="19"/>
  <c r="S314" i="19"/>
  <c r="V314" i="19"/>
  <c r="W314" i="19"/>
  <c r="X314" i="19"/>
  <c r="Z314" i="19"/>
  <c r="D313" i="32" s="1"/>
  <c r="AA314" i="19"/>
  <c r="D313" i="33" s="1"/>
  <c r="O258" i="19" l="1"/>
  <c r="O306" i="19"/>
  <c r="Y12" i="19"/>
  <c r="C11" i="32" s="1"/>
  <c r="E11" i="32" s="1"/>
  <c r="O125" i="19"/>
  <c r="O250" i="19"/>
  <c r="O302" i="19"/>
  <c r="O294" i="19"/>
  <c r="O286" i="19"/>
  <c r="O254" i="19"/>
  <c r="O246" i="19"/>
  <c r="Y102" i="19"/>
  <c r="C101" i="32" s="1"/>
  <c r="E101" i="32" s="1"/>
  <c r="Y79" i="19"/>
  <c r="C78" i="32" s="1"/>
  <c r="E78" i="32" s="1"/>
  <c r="Y63" i="19"/>
  <c r="C62" i="32" s="1"/>
  <c r="E62" i="32" s="1"/>
  <c r="O63" i="19"/>
  <c r="O59" i="19"/>
  <c r="O311" i="19"/>
  <c r="O307" i="19"/>
  <c r="O12" i="19"/>
  <c r="Y133" i="19"/>
  <c r="C132" i="32" s="1"/>
  <c r="E132" i="32" s="1"/>
  <c r="O308" i="19"/>
  <c r="G307" i="19"/>
  <c r="T307" i="19" s="1"/>
  <c r="Y291" i="19"/>
  <c r="C290" i="32" s="1"/>
  <c r="E290" i="32" s="1"/>
  <c r="O291" i="19"/>
  <c r="Y290" i="19"/>
  <c r="C289" i="32" s="1"/>
  <c r="E289" i="32" s="1"/>
  <c r="O279" i="19"/>
  <c r="O275" i="19"/>
  <c r="O256" i="19"/>
  <c r="Y238" i="19"/>
  <c r="C237" i="32" s="1"/>
  <c r="E237" i="32" s="1"/>
  <c r="Y218" i="19"/>
  <c r="C217" i="32" s="1"/>
  <c r="E217" i="32" s="1"/>
  <c r="O196" i="19"/>
  <c r="O195" i="19"/>
  <c r="O151" i="19"/>
  <c r="O139" i="19"/>
  <c r="O135" i="19"/>
  <c r="O131" i="19"/>
  <c r="O127" i="19"/>
  <c r="O112" i="19"/>
  <c r="O100" i="19"/>
  <c r="O96" i="19"/>
  <c r="O84" i="19"/>
  <c r="O234" i="19"/>
  <c r="O230" i="19"/>
  <c r="O222" i="19"/>
  <c r="O113" i="19"/>
  <c r="O109" i="19"/>
  <c r="O105" i="19"/>
  <c r="O69" i="19"/>
  <c r="O65" i="19"/>
  <c r="O61" i="19"/>
  <c r="Y14" i="19"/>
  <c r="C13" i="32" s="1"/>
  <c r="E13" i="32" s="1"/>
  <c r="Y301" i="19"/>
  <c r="C300" i="32" s="1"/>
  <c r="E300" i="32" s="1"/>
  <c r="Y285" i="19"/>
  <c r="C284" i="32" s="1"/>
  <c r="E284" i="32" s="1"/>
  <c r="Y281" i="19"/>
  <c r="C280" i="32" s="1"/>
  <c r="E280" i="32" s="1"/>
  <c r="Y269" i="19"/>
  <c r="C268" i="32" s="1"/>
  <c r="E268" i="32" s="1"/>
  <c r="Y121" i="19"/>
  <c r="C120" i="32" s="1"/>
  <c r="E120" i="32" s="1"/>
  <c r="O289" i="19"/>
  <c r="O273" i="19"/>
  <c r="G254" i="19"/>
  <c r="G250" i="19"/>
  <c r="Y239" i="19"/>
  <c r="C238" i="32" s="1"/>
  <c r="E238" i="32" s="1"/>
  <c r="O180" i="19"/>
  <c r="O176" i="19"/>
  <c r="O168" i="19"/>
  <c r="Y163" i="19"/>
  <c r="C162" i="32" s="1"/>
  <c r="E162" i="32" s="1"/>
  <c r="O160" i="19"/>
  <c r="Y151" i="19"/>
  <c r="C150" i="32" s="1"/>
  <c r="E150" i="32" s="1"/>
  <c r="O148" i="19"/>
  <c r="O144" i="19"/>
  <c r="O124" i="19"/>
  <c r="G123" i="19"/>
  <c r="T123" i="19" s="1"/>
  <c r="Y119" i="19"/>
  <c r="C118" i="32" s="1"/>
  <c r="E118" i="32" s="1"/>
  <c r="O119" i="19"/>
  <c r="Y118" i="19"/>
  <c r="C117" i="32" s="1"/>
  <c r="E117" i="32" s="1"/>
  <c r="O115" i="19"/>
  <c r="O103" i="19"/>
  <c r="Y78" i="19"/>
  <c r="C77" i="32" s="1"/>
  <c r="E77" i="32" s="1"/>
  <c r="O51" i="19"/>
  <c r="O39" i="19"/>
  <c r="O35" i="19"/>
  <c r="O32" i="19"/>
  <c r="O28" i="19"/>
  <c r="O24" i="19"/>
  <c r="O20" i="19"/>
  <c r="Y260" i="19"/>
  <c r="C259" i="32" s="1"/>
  <c r="E259" i="32" s="1"/>
  <c r="O197" i="19"/>
  <c r="O173" i="19"/>
  <c r="Y170" i="19"/>
  <c r="C169" i="32" s="1"/>
  <c r="E169" i="32" s="1"/>
  <c r="O166" i="19"/>
  <c r="O162" i="19"/>
  <c r="Y152" i="19"/>
  <c r="C151" i="32" s="1"/>
  <c r="E151" i="32" s="1"/>
  <c r="G147" i="19"/>
  <c r="T147" i="19" s="1"/>
  <c r="O53" i="19"/>
  <c r="O44" i="19"/>
  <c r="G16" i="19"/>
  <c r="G15" i="19"/>
  <c r="T15" i="19" s="1"/>
  <c r="O8" i="19"/>
  <c r="Y209" i="19"/>
  <c r="C208" i="32" s="1"/>
  <c r="E208" i="32" s="1"/>
  <c r="Y186" i="19"/>
  <c r="C185" i="32" s="1"/>
  <c r="E185" i="32" s="1"/>
  <c r="O106" i="19"/>
  <c r="G51" i="19"/>
  <c r="Y41" i="19"/>
  <c r="C40" i="32" s="1"/>
  <c r="E40" i="32" s="1"/>
  <c r="G39" i="19"/>
  <c r="T39" i="19" s="1"/>
  <c r="Y33" i="19"/>
  <c r="C32" i="32" s="1"/>
  <c r="E32" i="32" s="1"/>
  <c r="Y30" i="19"/>
  <c r="C29" i="32" s="1"/>
  <c r="E29" i="32" s="1"/>
  <c r="O309" i="19"/>
  <c r="G309" i="19"/>
  <c r="O295" i="19"/>
  <c r="G263" i="19"/>
  <c r="Y261" i="19"/>
  <c r="C260" i="32" s="1"/>
  <c r="E260" i="32" s="1"/>
  <c r="G259" i="19"/>
  <c r="T259" i="19" s="1"/>
  <c r="O248" i="19"/>
  <c r="O228" i="19"/>
  <c r="G212" i="19"/>
  <c r="T212" i="19" s="1"/>
  <c r="G204" i="19"/>
  <c r="T204" i="19" s="1"/>
  <c r="Y198" i="19"/>
  <c r="C197" i="32" s="1"/>
  <c r="E197" i="32" s="1"/>
  <c r="G172" i="19"/>
  <c r="T172" i="19" s="1"/>
  <c r="G171" i="19"/>
  <c r="T171" i="19" s="1"/>
  <c r="Y168" i="19"/>
  <c r="C167" i="32" s="1"/>
  <c r="E167" i="32" s="1"/>
  <c r="O149" i="19"/>
  <c r="G143" i="19"/>
  <c r="T143" i="19" s="1"/>
  <c r="O137" i="19"/>
  <c r="G134" i="19"/>
  <c r="Y131" i="19"/>
  <c r="C130" i="32" s="1"/>
  <c r="E130" i="32" s="1"/>
  <c r="Y110" i="19"/>
  <c r="C109" i="32" s="1"/>
  <c r="E109" i="32" s="1"/>
  <c r="O101" i="19"/>
  <c r="O97" i="19"/>
  <c r="O90" i="19"/>
  <c r="O85" i="19"/>
  <c r="G79" i="19"/>
  <c r="T79" i="19" s="1"/>
  <c r="Y76" i="19"/>
  <c r="C75" i="32" s="1"/>
  <c r="E75" i="32" s="1"/>
  <c r="O76" i="19"/>
  <c r="O72" i="19"/>
  <c r="O68" i="19"/>
  <c r="O60" i="19"/>
  <c r="O52" i="19"/>
  <c r="O50" i="19"/>
  <c r="Y45" i="19"/>
  <c r="C44" i="32" s="1"/>
  <c r="E44" i="32" s="1"/>
  <c r="G45" i="19"/>
  <c r="G44" i="19"/>
  <c r="T44" i="19" s="1"/>
  <c r="O43" i="19"/>
  <c r="O42" i="19"/>
  <c r="O15" i="19"/>
  <c r="G8" i="19"/>
  <c r="T8" i="19" s="1"/>
  <c r="Y39" i="19"/>
  <c r="C38" i="32" s="1"/>
  <c r="E38" i="32" s="1"/>
  <c r="Y32" i="19"/>
  <c r="C31" i="32" s="1"/>
  <c r="E31" i="32" s="1"/>
  <c r="Y31" i="19"/>
  <c r="C30" i="32" s="1"/>
  <c r="E30" i="32" s="1"/>
  <c r="Y28" i="19"/>
  <c r="C27" i="32" s="1"/>
  <c r="E27" i="32" s="1"/>
  <c r="Y20" i="19"/>
  <c r="C19" i="32" s="1"/>
  <c r="E19" i="32" s="1"/>
  <c r="O296" i="19"/>
  <c r="G295" i="19"/>
  <c r="T295" i="19" s="1"/>
  <c r="O272" i="19"/>
  <c r="G271" i="19"/>
  <c r="T271" i="19" s="1"/>
  <c r="G270" i="19"/>
  <c r="Y267" i="19"/>
  <c r="C266" i="32" s="1"/>
  <c r="E266" i="32" s="1"/>
  <c r="O267" i="19"/>
  <c r="O263" i="19"/>
  <c r="R263" i="19" s="1"/>
  <c r="U263" i="19" s="1"/>
  <c r="Y254" i="19"/>
  <c r="C253" i="32" s="1"/>
  <c r="E253" i="32" s="1"/>
  <c r="Y252" i="19"/>
  <c r="C251" i="32" s="1"/>
  <c r="E251" i="32" s="1"/>
  <c r="G252" i="19"/>
  <c r="T252" i="19" s="1"/>
  <c r="O233" i="19"/>
  <c r="O229" i="19"/>
  <c r="G224" i="19"/>
  <c r="T224" i="19" s="1"/>
  <c r="G219" i="19"/>
  <c r="Y216" i="19"/>
  <c r="C215" i="32" s="1"/>
  <c r="E215" i="32" s="1"/>
  <c r="O216" i="19"/>
  <c r="O212" i="19"/>
  <c r="Y191" i="19"/>
  <c r="C190" i="32" s="1"/>
  <c r="E190" i="32" s="1"/>
  <c r="O188" i="19"/>
  <c r="Y182" i="19"/>
  <c r="C181" i="32" s="1"/>
  <c r="E181" i="32" s="1"/>
  <c r="G160" i="19"/>
  <c r="T160" i="19" s="1"/>
  <c r="Y158" i="19"/>
  <c r="C157" i="32" s="1"/>
  <c r="E157" i="32" s="1"/>
  <c r="Y157" i="19"/>
  <c r="C156" i="32" s="1"/>
  <c r="E156" i="32" s="1"/>
  <c r="O143" i="19"/>
  <c r="O142" i="19"/>
  <c r="O117" i="19"/>
  <c r="O87" i="19"/>
  <c r="Y86" i="19"/>
  <c r="C85" i="32" s="1"/>
  <c r="E85" i="32" s="1"/>
  <c r="G68" i="19"/>
  <c r="Y66" i="19"/>
  <c r="C65" i="32" s="1"/>
  <c r="E65" i="32" s="1"/>
  <c r="Y65" i="19"/>
  <c r="C64" i="32" s="1"/>
  <c r="E64" i="32" s="1"/>
  <c r="G64" i="19"/>
  <c r="T64" i="19" s="1"/>
  <c r="O62" i="19"/>
  <c r="O45" i="19"/>
  <c r="G299" i="19"/>
  <c r="T299" i="19" s="1"/>
  <c r="G279" i="19"/>
  <c r="T279" i="19" s="1"/>
  <c r="O265" i="19"/>
  <c r="G258" i="19"/>
  <c r="T258" i="19" s="1"/>
  <c r="G228" i="19"/>
  <c r="T228" i="19" s="1"/>
  <c r="O218" i="19"/>
  <c r="O214" i="19"/>
  <c r="O202" i="19"/>
  <c r="G196" i="19"/>
  <c r="T196" i="19" s="1"/>
  <c r="G192" i="19"/>
  <c r="T192" i="19" s="1"/>
  <c r="O190" i="19"/>
  <c r="G187" i="19"/>
  <c r="T187" i="19" s="1"/>
  <c r="Y184" i="19"/>
  <c r="C183" i="32" s="1"/>
  <c r="E183" i="32" s="1"/>
  <c r="O184" i="19"/>
  <c r="Y138" i="19"/>
  <c r="C137" i="32" s="1"/>
  <c r="E137" i="32" s="1"/>
  <c r="Y129" i="19"/>
  <c r="C128" i="32" s="1"/>
  <c r="E128" i="32" s="1"/>
  <c r="G108" i="19"/>
  <c r="T108" i="19" s="1"/>
  <c r="G104" i="19"/>
  <c r="G103" i="19"/>
  <c r="O80" i="19"/>
  <c r="O75" i="19"/>
  <c r="G24" i="19"/>
  <c r="T24" i="19" s="1"/>
  <c r="Y22" i="19"/>
  <c r="C21" i="32" s="1"/>
  <c r="E21" i="32" s="1"/>
  <c r="Y21" i="19"/>
  <c r="C20" i="32" s="1"/>
  <c r="E20" i="32" s="1"/>
  <c r="G20" i="19"/>
  <c r="T20" i="19" s="1"/>
  <c r="G122" i="19"/>
  <c r="T122" i="19" s="1"/>
  <c r="O116" i="19"/>
  <c r="G114" i="19"/>
  <c r="O111" i="19"/>
  <c r="Y94" i="19"/>
  <c r="C93" i="32" s="1"/>
  <c r="E93" i="32" s="1"/>
  <c r="Y82" i="19"/>
  <c r="C81" i="32" s="1"/>
  <c r="E81" i="32" s="1"/>
  <c r="O73" i="19"/>
  <c r="O303" i="19"/>
  <c r="Y297" i="19"/>
  <c r="C296" i="32" s="1"/>
  <c r="E296" i="32" s="1"/>
  <c r="O288" i="19"/>
  <c r="G287" i="19"/>
  <c r="T287" i="19" s="1"/>
  <c r="G286" i="19"/>
  <c r="T286" i="19" s="1"/>
  <c r="Y283" i="19"/>
  <c r="C282" i="32" s="1"/>
  <c r="E282" i="32" s="1"/>
  <c r="O283" i="19"/>
  <c r="Y277" i="19"/>
  <c r="C276" i="32" s="1"/>
  <c r="E276" i="32" s="1"/>
  <c r="Y276" i="19"/>
  <c r="C275" i="32" s="1"/>
  <c r="E275" i="32" s="1"/>
  <c r="G275" i="19"/>
  <c r="T275" i="19" s="1"/>
  <c r="O264" i="19"/>
  <c r="O262" i="19"/>
  <c r="G246" i="19"/>
  <c r="T246" i="19" s="1"/>
  <c r="Y153" i="19"/>
  <c r="C152" i="32" s="1"/>
  <c r="E152" i="32" s="1"/>
  <c r="G149" i="19"/>
  <c r="Y145" i="19"/>
  <c r="C144" i="32" s="1"/>
  <c r="E144" i="32" s="1"/>
  <c r="G127" i="19"/>
  <c r="T127" i="19" s="1"/>
  <c r="O314" i="19"/>
  <c r="Y309" i="19"/>
  <c r="C308" i="32" s="1"/>
  <c r="E308" i="32" s="1"/>
  <c r="G302" i="19"/>
  <c r="Y299" i="19"/>
  <c r="C298" i="32" s="1"/>
  <c r="E298" i="32" s="1"/>
  <c r="O299" i="19"/>
  <c r="Y293" i="19"/>
  <c r="C292" i="32" s="1"/>
  <c r="E292" i="32" s="1"/>
  <c r="Y292" i="19"/>
  <c r="C291" i="32" s="1"/>
  <c r="E291" i="32" s="1"/>
  <c r="G291" i="19"/>
  <c r="T291" i="19" s="1"/>
  <c r="O281" i="19"/>
  <c r="O280" i="19"/>
  <c r="O278" i="19"/>
  <c r="Y273" i="19"/>
  <c r="C272" i="32" s="1"/>
  <c r="E272" i="32" s="1"/>
  <c r="G273" i="19"/>
  <c r="T273" i="19" s="1"/>
  <c r="G272" i="19"/>
  <c r="T272" i="19" s="1"/>
  <c r="O271" i="19"/>
  <c r="O270" i="19"/>
  <c r="G267" i="19"/>
  <c r="T267" i="19" s="1"/>
  <c r="Y259" i="19"/>
  <c r="C258" i="32" s="1"/>
  <c r="E258" i="32" s="1"/>
  <c r="O259" i="19"/>
  <c r="Y258" i="19"/>
  <c r="C257" i="32" s="1"/>
  <c r="E257" i="32" s="1"/>
  <c r="Y256" i="19"/>
  <c r="C255" i="32" s="1"/>
  <c r="E255" i="32" s="1"/>
  <c r="G256" i="19"/>
  <c r="T256" i="19" s="1"/>
  <c r="O252" i="19"/>
  <c r="Y250" i="19"/>
  <c r="C249" i="32" s="1"/>
  <c r="E249" i="32" s="1"/>
  <c r="Y248" i="19"/>
  <c r="C247" i="32" s="1"/>
  <c r="E247" i="32" s="1"/>
  <c r="G248" i="19"/>
  <c r="T248" i="19" s="1"/>
  <c r="O241" i="19"/>
  <c r="G240" i="19"/>
  <c r="T240" i="19" s="1"/>
  <c r="G239" i="19"/>
  <c r="T239" i="19" s="1"/>
  <c r="Y236" i="19"/>
  <c r="C235" i="32" s="1"/>
  <c r="E235" i="32" s="1"/>
  <c r="O236" i="19"/>
  <c r="Y232" i="19"/>
  <c r="C231" i="32" s="1"/>
  <c r="E231" i="32" s="1"/>
  <c r="O232" i="19"/>
  <c r="Y225" i="19"/>
  <c r="C224" i="32" s="1"/>
  <c r="E224" i="32" s="1"/>
  <c r="G220" i="19"/>
  <c r="T220" i="19" s="1"/>
  <c r="O213" i="19"/>
  <c r="O211" i="19"/>
  <c r="Y210" i="19"/>
  <c r="C209" i="32" s="1"/>
  <c r="E209" i="32" s="1"/>
  <c r="Y206" i="19"/>
  <c r="C205" i="32" s="1"/>
  <c r="E205" i="32" s="1"/>
  <c r="G206" i="19"/>
  <c r="G205" i="19"/>
  <c r="T205" i="19" s="1"/>
  <c r="Y202" i="19"/>
  <c r="C201" i="32" s="1"/>
  <c r="E201" i="32" s="1"/>
  <c r="G180" i="19"/>
  <c r="T180" i="19" s="1"/>
  <c r="Y178" i="19"/>
  <c r="C177" i="32" s="1"/>
  <c r="E177" i="32" s="1"/>
  <c r="Y177" i="19"/>
  <c r="C176" i="32" s="1"/>
  <c r="E176" i="32" s="1"/>
  <c r="G176" i="19"/>
  <c r="T176" i="19" s="1"/>
  <c r="O165" i="19"/>
  <c r="O161" i="19"/>
  <c r="O159" i="19"/>
  <c r="O155" i="19"/>
  <c r="G72" i="19"/>
  <c r="Y61" i="19"/>
  <c r="C60" i="32" s="1"/>
  <c r="E60" i="32" s="1"/>
  <c r="Y57" i="19"/>
  <c r="C56" i="32" s="1"/>
  <c r="E56" i="32" s="1"/>
  <c r="Y313" i="19"/>
  <c r="C312" i="32" s="1"/>
  <c r="E312" i="32" s="1"/>
  <c r="Y312" i="19"/>
  <c r="C311" i="32" s="1"/>
  <c r="E311" i="32" s="1"/>
  <c r="Y303" i="19"/>
  <c r="C302" i="32" s="1"/>
  <c r="E302" i="32" s="1"/>
  <c r="O244" i="19"/>
  <c r="G200" i="19"/>
  <c r="T200" i="19" s="1"/>
  <c r="Y311" i="19"/>
  <c r="C310" i="32" s="1"/>
  <c r="E310" i="32" s="1"/>
  <c r="Y305" i="19"/>
  <c r="C304" i="32" s="1"/>
  <c r="E304" i="32" s="1"/>
  <c r="Y304" i="19"/>
  <c r="C303" i="32" s="1"/>
  <c r="E303" i="32" s="1"/>
  <c r="O297" i="19"/>
  <c r="Y289" i="19"/>
  <c r="C288" i="32" s="1"/>
  <c r="E288" i="32" s="1"/>
  <c r="G289" i="19"/>
  <c r="G288" i="19"/>
  <c r="O287" i="19"/>
  <c r="G283" i="19"/>
  <c r="T283" i="19" s="1"/>
  <c r="Y275" i="19"/>
  <c r="C274" i="32" s="1"/>
  <c r="E274" i="32" s="1"/>
  <c r="Y274" i="19"/>
  <c r="C273" i="32" s="1"/>
  <c r="E273" i="32" s="1"/>
  <c r="Y265" i="19"/>
  <c r="C264" i="32" s="1"/>
  <c r="E264" i="32" s="1"/>
  <c r="G244" i="19"/>
  <c r="T244" i="19" s="1"/>
  <c r="Y241" i="19"/>
  <c r="C240" i="32" s="1"/>
  <c r="E240" i="32" s="1"/>
  <c r="Y234" i="19"/>
  <c r="C233" i="32" s="1"/>
  <c r="E233" i="32" s="1"/>
  <c r="O227" i="19"/>
  <c r="Y226" i="19"/>
  <c r="C225" i="32" s="1"/>
  <c r="E225" i="32" s="1"/>
  <c r="Y222" i="19"/>
  <c r="C221" i="32" s="1"/>
  <c r="E221" i="32" s="1"/>
  <c r="G222" i="19"/>
  <c r="T222" i="19" s="1"/>
  <c r="G221" i="19"/>
  <c r="T221" i="19" s="1"/>
  <c r="G216" i="19"/>
  <c r="T216" i="19" s="1"/>
  <c r="O208" i="19"/>
  <c r="Y207" i="19"/>
  <c r="C206" i="32" s="1"/>
  <c r="E206" i="32" s="1"/>
  <c r="O204" i="19"/>
  <c r="R204" i="19" s="1"/>
  <c r="U204" i="19" s="1"/>
  <c r="G35" i="19"/>
  <c r="R35" i="19" s="1"/>
  <c r="U35" i="19" s="1"/>
  <c r="G101" i="19"/>
  <c r="Y98" i="19"/>
  <c r="C97" i="32" s="1"/>
  <c r="E97" i="32" s="1"/>
  <c r="G98" i="19"/>
  <c r="O95" i="19"/>
  <c r="O93" i="19"/>
  <c r="G92" i="19"/>
  <c r="T92" i="19" s="1"/>
  <c r="O89" i="19"/>
  <c r="G88" i="19"/>
  <c r="G87" i="19"/>
  <c r="T87" i="19" s="1"/>
  <c r="G85" i="19"/>
  <c r="O83" i="19"/>
  <c r="G80" i="19"/>
  <c r="T80" i="19" s="1"/>
  <c r="O77" i="19"/>
  <c r="Y70" i="19"/>
  <c r="C69" i="32" s="1"/>
  <c r="E69" i="32" s="1"/>
  <c r="O70" i="19"/>
  <c r="Y69" i="19"/>
  <c r="C68" i="32" s="1"/>
  <c r="E68" i="32" s="1"/>
  <c r="G69" i="19"/>
  <c r="T69" i="19" s="1"/>
  <c r="O67" i="19"/>
  <c r="G61" i="19"/>
  <c r="T61" i="19" s="1"/>
  <c r="O58" i="19"/>
  <c r="G55" i="19"/>
  <c r="T55" i="19" s="1"/>
  <c r="Y47" i="19"/>
  <c r="C46" i="32" s="1"/>
  <c r="E46" i="32" s="1"/>
  <c r="O47" i="19"/>
  <c r="Y46" i="19"/>
  <c r="C45" i="32" s="1"/>
  <c r="E45" i="32" s="1"/>
  <c r="Y37" i="19"/>
  <c r="C36" i="32" s="1"/>
  <c r="E36" i="32" s="1"/>
  <c r="O26" i="19"/>
  <c r="O25" i="19"/>
  <c r="O23" i="19"/>
  <c r="Y18" i="19"/>
  <c r="C17" i="32" s="1"/>
  <c r="E17" i="32" s="1"/>
  <c r="G18" i="19"/>
  <c r="T18" i="19" s="1"/>
  <c r="O16" i="19"/>
  <c r="O10" i="19"/>
  <c r="O9" i="19"/>
  <c r="Y246" i="19"/>
  <c r="C245" i="32" s="1"/>
  <c r="E245" i="32" s="1"/>
  <c r="O245" i="19"/>
  <c r="O243" i="19"/>
  <c r="Y242" i="19"/>
  <c r="C241" i="32" s="1"/>
  <c r="E241" i="32" s="1"/>
  <c r="G242" i="19"/>
  <c r="G241" i="19"/>
  <c r="T241" i="19" s="1"/>
  <c r="O240" i="19"/>
  <c r="O239" i="19"/>
  <c r="G236" i="19"/>
  <c r="T236" i="19" s="1"/>
  <c r="G232" i="19"/>
  <c r="T232" i="19" s="1"/>
  <c r="O224" i="19"/>
  <c r="Y223" i="19"/>
  <c r="C222" i="32" s="1"/>
  <c r="E222" i="32" s="1"/>
  <c r="O220" i="19"/>
  <c r="Y214" i="19"/>
  <c r="C213" i="32" s="1"/>
  <c r="E213" i="32" s="1"/>
  <c r="G208" i="19"/>
  <c r="T208" i="19" s="1"/>
  <c r="O206" i="19"/>
  <c r="G203" i="19"/>
  <c r="T203" i="19" s="1"/>
  <c r="Y200" i="19"/>
  <c r="C199" i="32" s="1"/>
  <c r="E199" i="32" s="1"/>
  <c r="O200" i="19"/>
  <c r="Y193" i="19"/>
  <c r="C192" i="32" s="1"/>
  <c r="E192" i="32" s="1"/>
  <c r="G188" i="19"/>
  <c r="T188" i="19" s="1"/>
  <c r="O186" i="19"/>
  <c r="O182" i="19"/>
  <c r="O181" i="19"/>
  <c r="O179" i="19"/>
  <c r="Y174" i="19"/>
  <c r="C173" i="32" s="1"/>
  <c r="E173" i="32" s="1"/>
  <c r="G174" i="19"/>
  <c r="T174" i="19" s="1"/>
  <c r="G173" i="19"/>
  <c r="T173" i="19" s="1"/>
  <c r="O172" i="19"/>
  <c r="O171" i="19"/>
  <c r="G168" i="19"/>
  <c r="T168" i="19" s="1"/>
  <c r="G164" i="19"/>
  <c r="T164" i="19" s="1"/>
  <c r="Y156" i="19"/>
  <c r="C155" i="32" s="1"/>
  <c r="E155" i="32" s="1"/>
  <c r="G154" i="19"/>
  <c r="T154" i="19" s="1"/>
  <c r="G153" i="19"/>
  <c r="T153" i="19" s="1"/>
  <c r="G152" i="19"/>
  <c r="T152" i="19" s="1"/>
  <c r="G151" i="19"/>
  <c r="T151" i="19" s="1"/>
  <c r="O147" i="19"/>
  <c r="Y140" i="19"/>
  <c r="C139" i="32" s="1"/>
  <c r="E139" i="32" s="1"/>
  <c r="G139" i="19"/>
  <c r="T139" i="19" s="1"/>
  <c r="G135" i="19"/>
  <c r="T135" i="19" s="1"/>
  <c r="O133" i="19"/>
  <c r="O129" i="19"/>
  <c r="O128" i="19"/>
  <c r="O126" i="19"/>
  <c r="Y125" i="19"/>
  <c r="C124" i="32" s="1"/>
  <c r="E124" i="32" s="1"/>
  <c r="G125" i="19"/>
  <c r="G124" i="19"/>
  <c r="O123" i="19"/>
  <c r="O122" i="19"/>
  <c r="O79" i="19"/>
  <c r="G76" i="19"/>
  <c r="Y74" i="19"/>
  <c r="C73" i="32" s="1"/>
  <c r="E73" i="32" s="1"/>
  <c r="Y73" i="19"/>
  <c r="C72" i="32" s="1"/>
  <c r="E72" i="32" s="1"/>
  <c r="G73" i="19"/>
  <c r="O71" i="19"/>
  <c r="O64" i="19"/>
  <c r="G63" i="19"/>
  <c r="T63" i="19" s="1"/>
  <c r="G62" i="19"/>
  <c r="Y53" i="19"/>
  <c r="C52" i="32" s="1"/>
  <c r="E52" i="32" s="1"/>
  <c r="G43" i="19"/>
  <c r="T43" i="19" s="1"/>
  <c r="G42" i="19"/>
  <c r="T42" i="19" s="1"/>
  <c r="G32" i="19"/>
  <c r="T32" i="19" s="1"/>
  <c r="G28" i="19"/>
  <c r="T28" i="19" s="1"/>
  <c r="Y19" i="19"/>
  <c r="C18" i="32" s="1"/>
  <c r="E18" i="32" s="1"/>
  <c r="G12" i="19"/>
  <c r="T12" i="19" s="1"/>
  <c r="O198" i="19"/>
  <c r="Y194" i="19"/>
  <c r="C193" i="32" s="1"/>
  <c r="E193" i="32" s="1"/>
  <c r="O192" i="19"/>
  <c r="Y190" i="19"/>
  <c r="C189" i="32" s="1"/>
  <c r="E189" i="32" s="1"/>
  <c r="G190" i="19"/>
  <c r="G189" i="19"/>
  <c r="G184" i="19"/>
  <c r="T184" i="19" s="1"/>
  <c r="Y176" i="19"/>
  <c r="C175" i="32" s="1"/>
  <c r="E175" i="32" s="1"/>
  <c r="Y175" i="19"/>
  <c r="C174" i="32" s="1"/>
  <c r="E174" i="32" s="1"/>
  <c r="Y166" i="19"/>
  <c r="C165" i="32" s="1"/>
  <c r="E165" i="32" s="1"/>
  <c r="Y162" i="19"/>
  <c r="C161" i="32" s="1"/>
  <c r="E161" i="32" s="1"/>
  <c r="G162" i="19"/>
  <c r="T162" i="19" s="1"/>
  <c r="G155" i="19"/>
  <c r="Y149" i="19"/>
  <c r="C148" i="32" s="1"/>
  <c r="E148" i="32" s="1"/>
  <c r="Y147" i="19"/>
  <c r="C146" i="32" s="1"/>
  <c r="E146" i="32" s="1"/>
  <c r="O145" i="19"/>
  <c r="Y141" i="19"/>
  <c r="C140" i="32" s="1"/>
  <c r="E140" i="32" s="1"/>
  <c r="Y137" i="19"/>
  <c r="C136" i="32" s="1"/>
  <c r="E136" i="32" s="1"/>
  <c r="G137" i="19"/>
  <c r="T137" i="19" s="1"/>
  <c r="G136" i="19"/>
  <c r="T136" i="19" s="1"/>
  <c r="G131" i="19"/>
  <c r="T131" i="19" s="1"/>
  <c r="O114" i="19"/>
  <c r="G112" i="19"/>
  <c r="R112" i="19" s="1"/>
  <c r="U112" i="19" s="1"/>
  <c r="G111" i="19"/>
  <c r="T111" i="19" s="1"/>
  <c r="G109" i="19"/>
  <c r="O108" i="19"/>
  <c r="Y106" i="19"/>
  <c r="C105" i="32" s="1"/>
  <c r="E105" i="32" s="1"/>
  <c r="G106" i="19"/>
  <c r="T106" i="19" s="1"/>
  <c r="O104" i="19"/>
  <c r="G100" i="19"/>
  <c r="T100" i="19" s="1"/>
  <c r="O98" i="19"/>
  <c r="G96" i="19"/>
  <c r="T96" i="19" s="1"/>
  <c r="G95" i="19"/>
  <c r="T95" i="19" s="1"/>
  <c r="G93" i="19"/>
  <c r="O92" i="19"/>
  <c r="Y90" i="19"/>
  <c r="C89" i="32" s="1"/>
  <c r="E89" i="32" s="1"/>
  <c r="G90" i="19"/>
  <c r="O88" i="19"/>
  <c r="G84" i="19"/>
  <c r="T84" i="19" s="1"/>
  <c r="Y80" i="19"/>
  <c r="C79" i="32" s="1"/>
  <c r="E79" i="32" s="1"/>
  <c r="G59" i="19"/>
  <c r="T59" i="19" s="1"/>
  <c r="G58" i="19"/>
  <c r="T58" i="19" s="1"/>
  <c r="Y55" i="19"/>
  <c r="C54" i="32" s="1"/>
  <c r="E54" i="32" s="1"/>
  <c r="O55" i="19"/>
  <c r="Y49" i="19"/>
  <c r="C48" i="32" s="1"/>
  <c r="E48" i="32" s="1"/>
  <c r="Y48" i="19"/>
  <c r="C47" i="32" s="1"/>
  <c r="E47" i="32" s="1"/>
  <c r="G47" i="19"/>
  <c r="T47" i="19" s="1"/>
  <c r="O37" i="19"/>
  <c r="O36" i="19"/>
  <c r="O34" i="19"/>
  <c r="Y26" i="19"/>
  <c r="C25" i="32" s="1"/>
  <c r="E25" i="32" s="1"/>
  <c r="O18" i="19"/>
  <c r="O17" i="19"/>
  <c r="Y10" i="19"/>
  <c r="C9" i="32" s="1"/>
  <c r="E9" i="32" s="1"/>
  <c r="Y314" i="19"/>
  <c r="C313" i="32" s="1"/>
  <c r="E313" i="32" s="1"/>
  <c r="G313" i="19"/>
  <c r="T313" i="19" s="1"/>
  <c r="G312" i="19"/>
  <c r="G311" i="19"/>
  <c r="T311" i="19" s="1"/>
  <c r="O310" i="19"/>
  <c r="Y308" i="19"/>
  <c r="C307" i="32" s="1"/>
  <c r="E307" i="32" s="1"/>
  <c r="Y306" i="19"/>
  <c r="C305" i="32" s="1"/>
  <c r="E305" i="32" s="1"/>
  <c r="G305" i="19"/>
  <c r="G304" i="19"/>
  <c r="T304" i="19" s="1"/>
  <c r="O301" i="19"/>
  <c r="O300" i="19"/>
  <c r="O298" i="19"/>
  <c r="Y296" i="19"/>
  <c r="C295" i="32" s="1"/>
  <c r="E295" i="32" s="1"/>
  <c r="Y294" i="19"/>
  <c r="C293" i="32" s="1"/>
  <c r="E293" i="32" s="1"/>
  <c r="G293" i="19"/>
  <c r="T293" i="19" s="1"/>
  <c r="G292" i="19"/>
  <c r="T292" i="19" s="1"/>
  <c r="G290" i="19"/>
  <c r="T290" i="19" s="1"/>
  <c r="Y287" i="19"/>
  <c r="C286" i="32" s="1"/>
  <c r="E286" i="32" s="1"/>
  <c r="O285" i="19"/>
  <c r="O284" i="19"/>
  <c r="O282" i="19"/>
  <c r="Y280" i="19"/>
  <c r="C279" i="32" s="1"/>
  <c r="E279" i="32" s="1"/>
  <c r="Y278" i="19"/>
  <c r="C277" i="32" s="1"/>
  <c r="E277" i="32" s="1"/>
  <c r="G277" i="19"/>
  <c r="T277" i="19" s="1"/>
  <c r="G276" i="19"/>
  <c r="T276" i="19" s="1"/>
  <c r="G274" i="19"/>
  <c r="T274" i="19" s="1"/>
  <c r="Y271" i="19"/>
  <c r="C270" i="32" s="1"/>
  <c r="E270" i="32" s="1"/>
  <c r="O269" i="19"/>
  <c r="O268" i="19"/>
  <c r="O266" i="19"/>
  <c r="Y264" i="19"/>
  <c r="C263" i="32" s="1"/>
  <c r="E263" i="32" s="1"/>
  <c r="Y262" i="19"/>
  <c r="C261" i="32" s="1"/>
  <c r="E261" i="32" s="1"/>
  <c r="G260" i="19"/>
  <c r="Y257" i="19"/>
  <c r="C256" i="32" s="1"/>
  <c r="E256" i="32" s="1"/>
  <c r="O257" i="19"/>
  <c r="G255" i="19"/>
  <c r="Y253" i="19"/>
  <c r="C252" i="32" s="1"/>
  <c r="E252" i="32" s="1"/>
  <c r="O253" i="19"/>
  <c r="G251" i="19"/>
  <c r="Y249" i="19"/>
  <c r="C248" i="32" s="1"/>
  <c r="E248" i="32" s="1"/>
  <c r="O249" i="19"/>
  <c r="G247" i="19"/>
  <c r="Y245" i="19"/>
  <c r="C244" i="32" s="1"/>
  <c r="E244" i="32" s="1"/>
  <c r="G238" i="19"/>
  <c r="G237" i="19"/>
  <c r="G308" i="19"/>
  <c r="T308" i="19" s="1"/>
  <c r="G303" i="19"/>
  <c r="T303" i="19" s="1"/>
  <c r="Y300" i="19"/>
  <c r="C299" i="32" s="1"/>
  <c r="E299" i="32" s="1"/>
  <c r="Y298" i="19"/>
  <c r="C297" i="32" s="1"/>
  <c r="E297" i="32" s="1"/>
  <c r="G297" i="19"/>
  <c r="T297" i="19" s="1"/>
  <c r="G296" i="19"/>
  <c r="G294" i="19"/>
  <c r="Y284" i="19"/>
  <c r="C283" i="32" s="1"/>
  <c r="E283" i="32" s="1"/>
  <c r="Y282" i="19"/>
  <c r="C281" i="32" s="1"/>
  <c r="E281" i="32" s="1"/>
  <c r="G281" i="19"/>
  <c r="G280" i="19"/>
  <c r="T280" i="19" s="1"/>
  <c r="G278" i="19"/>
  <c r="Y268" i="19"/>
  <c r="C267" i="32" s="1"/>
  <c r="E267" i="32" s="1"/>
  <c r="Y266" i="19"/>
  <c r="C265" i="32" s="1"/>
  <c r="E265" i="32" s="1"/>
  <c r="G265" i="19"/>
  <c r="T265" i="19" s="1"/>
  <c r="G264" i="19"/>
  <c r="T264" i="19" s="1"/>
  <c r="G262" i="19"/>
  <c r="T262" i="19" s="1"/>
  <c r="Y230" i="19"/>
  <c r="C229" i="32" s="1"/>
  <c r="E229" i="32" s="1"/>
  <c r="G314" i="19"/>
  <c r="T314" i="19" s="1"/>
  <c r="Y310" i="19"/>
  <c r="C309" i="32" s="1"/>
  <c r="E309" i="32" s="1"/>
  <c r="G306" i="19"/>
  <c r="O313" i="19"/>
  <c r="O312" i="19"/>
  <c r="G310" i="19"/>
  <c r="T310" i="19" s="1"/>
  <c r="Y307" i="19"/>
  <c r="C306" i="32" s="1"/>
  <c r="E306" i="32" s="1"/>
  <c r="O305" i="19"/>
  <c r="O304" i="19"/>
  <c r="Y302" i="19"/>
  <c r="C301" i="32" s="1"/>
  <c r="E301" i="32" s="1"/>
  <c r="G301" i="19"/>
  <c r="T301" i="19" s="1"/>
  <c r="G300" i="19"/>
  <c r="T300" i="19" s="1"/>
  <c r="G298" i="19"/>
  <c r="T298" i="19" s="1"/>
  <c r="Y295" i="19"/>
  <c r="C294" i="32" s="1"/>
  <c r="E294" i="32" s="1"/>
  <c r="O293" i="19"/>
  <c r="O292" i="19"/>
  <c r="O290" i="19"/>
  <c r="Y288" i="19"/>
  <c r="C287" i="32" s="1"/>
  <c r="E287" i="32" s="1"/>
  <c r="Y286" i="19"/>
  <c r="C285" i="32" s="1"/>
  <c r="E285" i="32" s="1"/>
  <c r="G285" i="19"/>
  <c r="T285" i="19" s="1"/>
  <c r="G284" i="19"/>
  <c r="T284" i="19" s="1"/>
  <c r="G282" i="19"/>
  <c r="T282" i="19" s="1"/>
  <c r="Y279" i="19"/>
  <c r="C278" i="32" s="1"/>
  <c r="E278" i="32" s="1"/>
  <c r="O277" i="19"/>
  <c r="O276" i="19"/>
  <c r="O274" i="19"/>
  <c r="Y272" i="19"/>
  <c r="C271" i="32" s="1"/>
  <c r="E271" i="32" s="1"/>
  <c r="Y270" i="19"/>
  <c r="C269" i="32" s="1"/>
  <c r="E269" i="32" s="1"/>
  <c r="G269" i="19"/>
  <c r="T269" i="19" s="1"/>
  <c r="G268" i="19"/>
  <c r="T268" i="19" s="1"/>
  <c r="G266" i="19"/>
  <c r="T266" i="19" s="1"/>
  <c r="Y263" i="19"/>
  <c r="C262" i="32" s="1"/>
  <c r="E262" i="32" s="1"/>
  <c r="O260" i="19"/>
  <c r="G257" i="19"/>
  <c r="Y255" i="19"/>
  <c r="C254" i="32" s="1"/>
  <c r="E254" i="32" s="1"/>
  <c r="O255" i="19"/>
  <c r="G253" i="19"/>
  <c r="Y251" i="19"/>
  <c r="C250" i="32" s="1"/>
  <c r="E250" i="32" s="1"/>
  <c r="O251" i="19"/>
  <c r="G249" i="19"/>
  <c r="Y247" i="19"/>
  <c r="C246" i="32" s="1"/>
  <c r="E246" i="32" s="1"/>
  <c r="O247" i="19"/>
  <c r="G235" i="19"/>
  <c r="T235" i="19" s="1"/>
  <c r="T263" i="19"/>
  <c r="G161" i="19"/>
  <c r="T161" i="19" s="1"/>
  <c r="G159" i="19"/>
  <c r="T159" i="19" s="1"/>
  <c r="Y155" i="19"/>
  <c r="C154" i="32" s="1"/>
  <c r="E154" i="32" s="1"/>
  <c r="O154" i="19"/>
  <c r="O153" i="19"/>
  <c r="O152" i="19"/>
  <c r="G148" i="19"/>
  <c r="T148" i="19" s="1"/>
  <c r="G145" i="19"/>
  <c r="G142" i="19"/>
  <c r="T142" i="19" s="1"/>
  <c r="Y139" i="19"/>
  <c r="C138" i="32" s="1"/>
  <c r="E138" i="32" s="1"/>
  <c r="O136" i="19"/>
  <c r="O134" i="19"/>
  <c r="Y132" i="19"/>
  <c r="C131" i="32" s="1"/>
  <c r="E131" i="32" s="1"/>
  <c r="Y130" i="19"/>
  <c r="C129" i="32" s="1"/>
  <c r="E129" i="32" s="1"/>
  <c r="G129" i="19"/>
  <c r="G128" i="19"/>
  <c r="T128" i="19" s="1"/>
  <c r="Y120" i="19"/>
  <c r="C119" i="32" s="1"/>
  <c r="E119" i="32" s="1"/>
  <c r="G119" i="19"/>
  <c r="T119" i="19" s="1"/>
  <c r="O231" i="19"/>
  <c r="Y229" i="19"/>
  <c r="C228" i="32" s="1"/>
  <c r="E228" i="32" s="1"/>
  <c r="Y227" i="19"/>
  <c r="C226" i="32" s="1"/>
  <c r="E226" i="32" s="1"/>
  <c r="G226" i="19"/>
  <c r="T226" i="19" s="1"/>
  <c r="G225" i="19"/>
  <c r="T225" i="19" s="1"/>
  <c r="G223" i="19"/>
  <c r="T223" i="19" s="1"/>
  <c r="Y220" i="19"/>
  <c r="C219" i="32" s="1"/>
  <c r="E219" i="32" s="1"/>
  <c r="O217" i="19"/>
  <c r="O215" i="19"/>
  <c r="Y213" i="19"/>
  <c r="C212" i="32" s="1"/>
  <c r="E212" i="32" s="1"/>
  <c r="Y211" i="19"/>
  <c r="C210" i="32" s="1"/>
  <c r="E210" i="32" s="1"/>
  <c r="G210" i="19"/>
  <c r="T210" i="19" s="1"/>
  <c r="G209" i="19"/>
  <c r="T209" i="19" s="1"/>
  <c r="G207" i="19"/>
  <c r="T207" i="19" s="1"/>
  <c r="Y204" i="19"/>
  <c r="C203" i="32" s="1"/>
  <c r="E203" i="32" s="1"/>
  <c r="O201" i="19"/>
  <c r="O199" i="19"/>
  <c r="Y197" i="19"/>
  <c r="C196" i="32" s="1"/>
  <c r="E196" i="32" s="1"/>
  <c r="Y195" i="19"/>
  <c r="C194" i="32" s="1"/>
  <c r="E194" i="32" s="1"/>
  <c r="G194" i="19"/>
  <c r="T194" i="19" s="1"/>
  <c r="G193" i="19"/>
  <c r="T193" i="19" s="1"/>
  <c r="G191" i="19"/>
  <c r="T191" i="19" s="1"/>
  <c r="Y188" i="19"/>
  <c r="C187" i="32" s="1"/>
  <c r="E187" i="32" s="1"/>
  <c r="O185" i="19"/>
  <c r="O183" i="19"/>
  <c r="Y181" i="19"/>
  <c r="C180" i="32" s="1"/>
  <c r="E180" i="32" s="1"/>
  <c r="Y179" i="19"/>
  <c r="C178" i="32" s="1"/>
  <c r="E178" i="32" s="1"/>
  <c r="G178" i="19"/>
  <c r="T178" i="19" s="1"/>
  <c r="G177" i="19"/>
  <c r="T177" i="19" s="1"/>
  <c r="G175" i="19"/>
  <c r="T175" i="19" s="1"/>
  <c r="Y172" i="19"/>
  <c r="C171" i="32" s="1"/>
  <c r="E171" i="32" s="1"/>
  <c r="O170" i="19"/>
  <c r="O169" i="19"/>
  <c r="O167" i="19"/>
  <c r="Y165" i="19"/>
  <c r="C164" i="32" s="1"/>
  <c r="E164" i="32" s="1"/>
  <c r="G163" i="19"/>
  <c r="T163" i="19" s="1"/>
  <c r="Y160" i="19"/>
  <c r="C159" i="32" s="1"/>
  <c r="E159" i="32" s="1"/>
  <c r="O158" i="19"/>
  <c r="O157" i="19"/>
  <c r="O150" i="19"/>
  <c r="G146" i="19"/>
  <c r="T146" i="19" s="1"/>
  <c r="Y143" i="19"/>
  <c r="C142" i="32" s="1"/>
  <c r="E142" i="32" s="1"/>
  <c r="O141" i="19"/>
  <c r="O140" i="19"/>
  <c r="O138" i="19"/>
  <c r="Y136" i="19"/>
  <c r="C135" i="32" s="1"/>
  <c r="E135" i="32" s="1"/>
  <c r="Y134" i="19"/>
  <c r="C133" i="32" s="1"/>
  <c r="E133" i="32" s="1"/>
  <c r="G133" i="19"/>
  <c r="T133" i="19" s="1"/>
  <c r="G132" i="19"/>
  <c r="T132" i="19" s="1"/>
  <c r="G130" i="19"/>
  <c r="T130" i="19" s="1"/>
  <c r="Y127" i="19"/>
  <c r="C126" i="32" s="1"/>
  <c r="E126" i="32" s="1"/>
  <c r="Y117" i="19"/>
  <c r="C116" i="32" s="1"/>
  <c r="E116" i="32" s="1"/>
  <c r="G243" i="19"/>
  <c r="T243" i="19" s="1"/>
  <c r="Y240" i="19"/>
  <c r="C239" i="32" s="1"/>
  <c r="E239" i="32" s="1"/>
  <c r="O238" i="19"/>
  <c r="O237" i="19"/>
  <c r="O235" i="19"/>
  <c r="Y233" i="19"/>
  <c r="C232" i="32" s="1"/>
  <c r="E232" i="32" s="1"/>
  <c r="Y231" i="19"/>
  <c r="C230" i="32" s="1"/>
  <c r="E230" i="32" s="1"/>
  <c r="G230" i="19"/>
  <c r="G229" i="19"/>
  <c r="R229" i="19" s="1"/>
  <c r="U229" i="19" s="1"/>
  <c r="G227" i="19"/>
  <c r="T227" i="19" s="1"/>
  <c r="Y224" i="19"/>
  <c r="C223" i="32" s="1"/>
  <c r="E223" i="32" s="1"/>
  <c r="O221" i="19"/>
  <c r="O219" i="19"/>
  <c r="R219" i="19" s="1"/>
  <c r="U219" i="19" s="1"/>
  <c r="Y217" i="19"/>
  <c r="C216" i="32" s="1"/>
  <c r="E216" i="32" s="1"/>
  <c r="Y215" i="19"/>
  <c r="C214" i="32" s="1"/>
  <c r="E214" i="32" s="1"/>
  <c r="G214" i="19"/>
  <c r="T214" i="19" s="1"/>
  <c r="G213" i="19"/>
  <c r="T213" i="19" s="1"/>
  <c r="G211" i="19"/>
  <c r="T211" i="19" s="1"/>
  <c r="Y208" i="19"/>
  <c r="C207" i="32" s="1"/>
  <c r="E207" i="32" s="1"/>
  <c r="O205" i="19"/>
  <c r="O203" i="19"/>
  <c r="Y201" i="19"/>
  <c r="C200" i="32" s="1"/>
  <c r="E200" i="32" s="1"/>
  <c r="Y199" i="19"/>
  <c r="C198" i="32" s="1"/>
  <c r="E198" i="32" s="1"/>
  <c r="G198" i="19"/>
  <c r="G197" i="19"/>
  <c r="T197" i="19" s="1"/>
  <c r="G195" i="19"/>
  <c r="T195" i="19" s="1"/>
  <c r="Y192" i="19"/>
  <c r="C191" i="32" s="1"/>
  <c r="E191" i="32" s="1"/>
  <c r="O189" i="19"/>
  <c r="O187" i="19"/>
  <c r="R187" i="19" s="1"/>
  <c r="U187" i="19" s="1"/>
  <c r="Y185" i="19"/>
  <c r="C184" i="32" s="1"/>
  <c r="E184" i="32" s="1"/>
  <c r="Y183" i="19"/>
  <c r="C182" i="32" s="1"/>
  <c r="E182" i="32" s="1"/>
  <c r="G182" i="19"/>
  <c r="T182" i="19" s="1"/>
  <c r="G181" i="19"/>
  <c r="T181" i="19" s="1"/>
  <c r="G179" i="19"/>
  <c r="T179" i="19" s="1"/>
  <c r="Y169" i="19"/>
  <c r="C168" i="32" s="1"/>
  <c r="E168" i="32" s="1"/>
  <c r="Y167" i="19"/>
  <c r="C166" i="32" s="1"/>
  <c r="E166" i="32" s="1"/>
  <c r="G166" i="19"/>
  <c r="G165" i="19"/>
  <c r="Y244" i="19"/>
  <c r="C243" i="32" s="1"/>
  <c r="E243" i="32" s="1"/>
  <c r="O242" i="19"/>
  <c r="Y237" i="19"/>
  <c r="C236" i="32" s="1"/>
  <c r="E236" i="32" s="1"/>
  <c r="Y235" i="19"/>
  <c r="C234" i="32" s="1"/>
  <c r="E234" i="32" s="1"/>
  <c r="G234" i="19"/>
  <c r="T234" i="19" s="1"/>
  <c r="G233" i="19"/>
  <c r="T233" i="19" s="1"/>
  <c r="G231" i="19"/>
  <c r="T231" i="19" s="1"/>
  <c r="Y228" i="19"/>
  <c r="C227" i="32" s="1"/>
  <c r="E227" i="32" s="1"/>
  <c r="O226" i="19"/>
  <c r="O225" i="19"/>
  <c r="O223" i="19"/>
  <c r="Y221" i="19"/>
  <c r="C220" i="32" s="1"/>
  <c r="E220" i="32" s="1"/>
  <c r="Y219" i="19"/>
  <c r="C218" i="32" s="1"/>
  <c r="E218" i="32" s="1"/>
  <c r="G218" i="19"/>
  <c r="T218" i="19" s="1"/>
  <c r="G217" i="19"/>
  <c r="T217" i="19" s="1"/>
  <c r="G215" i="19"/>
  <c r="T215" i="19" s="1"/>
  <c r="Y212" i="19"/>
  <c r="C211" i="32" s="1"/>
  <c r="E211" i="32" s="1"/>
  <c r="O210" i="19"/>
  <c r="O209" i="19"/>
  <c r="O207" i="19"/>
  <c r="Y205" i="19"/>
  <c r="C204" i="32" s="1"/>
  <c r="E204" i="32" s="1"/>
  <c r="Y203" i="19"/>
  <c r="C202" i="32" s="1"/>
  <c r="E202" i="32" s="1"/>
  <c r="G202" i="19"/>
  <c r="G201" i="19"/>
  <c r="T201" i="19" s="1"/>
  <c r="G199" i="19"/>
  <c r="T199" i="19" s="1"/>
  <c r="Y196" i="19"/>
  <c r="C195" i="32" s="1"/>
  <c r="E195" i="32" s="1"/>
  <c r="O194" i="19"/>
  <c r="O193" i="19"/>
  <c r="O191" i="19"/>
  <c r="Y189" i="19"/>
  <c r="C188" i="32" s="1"/>
  <c r="E188" i="32" s="1"/>
  <c r="Y187" i="19"/>
  <c r="C186" i="32" s="1"/>
  <c r="E186" i="32" s="1"/>
  <c r="G186" i="19"/>
  <c r="T186" i="19" s="1"/>
  <c r="G185" i="19"/>
  <c r="G183" i="19"/>
  <c r="T183" i="19" s="1"/>
  <c r="Y180" i="19"/>
  <c r="C179" i="32" s="1"/>
  <c r="E179" i="32" s="1"/>
  <c r="O178" i="19"/>
  <c r="O177" i="19"/>
  <c r="O175" i="19"/>
  <c r="Y173" i="19"/>
  <c r="C172" i="32" s="1"/>
  <c r="E172" i="32" s="1"/>
  <c r="Y171" i="19"/>
  <c r="C170" i="32" s="1"/>
  <c r="E170" i="32" s="1"/>
  <c r="G170" i="19"/>
  <c r="T170" i="19" s="1"/>
  <c r="G169" i="19"/>
  <c r="G167" i="19"/>
  <c r="Y164" i="19"/>
  <c r="C163" i="32" s="1"/>
  <c r="E163" i="32" s="1"/>
  <c r="O164" i="19"/>
  <c r="O163" i="19"/>
  <c r="Y161" i="19"/>
  <c r="C160" i="32" s="1"/>
  <c r="E160" i="32" s="1"/>
  <c r="Y159" i="19"/>
  <c r="C158" i="32" s="1"/>
  <c r="E158" i="32" s="1"/>
  <c r="G158" i="19"/>
  <c r="T158" i="19" s="1"/>
  <c r="G157" i="19"/>
  <c r="T157" i="19" s="1"/>
  <c r="G150" i="19"/>
  <c r="T150" i="19" s="1"/>
  <c r="O146" i="19"/>
  <c r="Y144" i="19"/>
  <c r="C143" i="32" s="1"/>
  <c r="E143" i="32" s="1"/>
  <c r="Y142" i="19"/>
  <c r="C141" i="32" s="1"/>
  <c r="E141" i="32" s="1"/>
  <c r="G141" i="19"/>
  <c r="G140" i="19"/>
  <c r="T140" i="19" s="1"/>
  <c r="G138" i="19"/>
  <c r="T138" i="19" s="1"/>
  <c r="Y135" i="19"/>
  <c r="C134" i="32" s="1"/>
  <c r="E134" i="32" s="1"/>
  <c r="O132" i="19"/>
  <c r="O130" i="19"/>
  <c r="Y128" i="19"/>
  <c r="C127" i="32" s="1"/>
  <c r="E127" i="32" s="1"/>
  <c r="Y126" i="19"/>
  <c r="C125" i="32" s="1"/>
  <c r="E125" i="32" s="1"/>
  <c r="G126" i="19"/>
  <c r="T126" i="19" s="1"/>
  <c r="Y123" i="19"/>
  <c r="C122" i="32" s="1"/>
  <c r="E122" i="32" s="1"/>
  <c r="O121" i="19"/>
  <c r="O120" i="19"/>
  <c r="O118" i="19"/>
  <c r="Y116" i="19"/>
  <c r="C115" i="32" s="1"/>
  <c r="E115" i="32" s="1"/>
  <c r="Y112" i="19"/>
  <c r="C111" i="32" s="1"/>
  <c r="E111" i="32" s="1"/>
  <c r="O110" i="19"/>
  <c r="Y108" i="19"/>
  <c r="C107" i="32" s="1"/>
  <c r="E107" i="32" s="1"/>
  <c r="G107" i="19"/>
  <c r="Y104" i="19"/>
  <c r="C103" i="32" s="1"/>
  <c r="E103" i="32" s="1"/>
  <c r="T103" i="19"/>
  <c r="O102" i="19"/>
  <c r="Y100" i="19"/>
  <c r="C99" i="32" s="1"/>
  <c r="E99" i="32" s="1"/>
  <c r="G99" i="19"/>
  <c r="Y96" i="19"/>
  <c r="C95" i="32" s="1"/>
  <c r="E95" i="32" s="1"/>
  <c r="O94" i="19"/>
  <c r="Y92" i="19"/>
  <c r="C91" i="32" s="1"/>
  <c r="E91" i="32" s="1"/>
  <c r="G91" i="19"/>
  <c r="Y88" i="19"/>
  <c r="C87" i="32" s="1"/>
  <c r="E87" i="32" s="1"/>
  <c r="O86" i="19"/>
  <c r="Y84" i="19"/>
  <c r="C83" i="32" s="1"/>
  <c r="E83" i="32" s="1"/>
  <c r="O82" i="19"/>
  <c r="O81" i="19"/>
  <c r="G81" i="19"/>
  <c r="T81" i="19" s="1"/>
  <c r="O78" i="19"/>
  <c r="G74" i="19"/>
  <c r="G70" i="19"/>
  <c r="G65" i="19"/>
  <c r="Y64" i="19"/>
  <c r="C63" i="32" s="1"/>
  <c r="E63" i="32" s="1"/>
  <c r="Y59" i="19"/>
  <c r="C58" i="32" s="1"/>
  <c r="E58" i="32" s="1"/>
  <c r="O57" i="19"/>
  <c r="O56" i="19"/>
  <c r="O54" i="19"/>
  <c r="Y52" i="19"/>
  <c r="C51" i="32" s="1"/>
  <c r="E51" i="32" s="1"/>
  <c r="Y50" i="19"/>
  <c r="C49" i="32" s="1"/>
  <c r="E49" i="32" s="1"/>
  <c r="G49" i="19"/>
  <c r="T49" i="19" s="1"/>
  <c r="G48" i="19"/>
  <c r="G46" i="19"/>
  <c r="T46" i="19" s="1"/>
  <c r="Y43" i="19"/>
  <c r="C42" i="32" s="1"/>
  <c r="E42" i="32" s="1"/>
  <c r="O41" i="19"/>
  <c r="O40" i="19"/>
  <c r="O38" i="19"/>
  <c r="Y36" i="19"/>
  <c r="C35" i="32" s="1"/>
  <c r="E35" i="32" s="1"/>
  <c r="Y34" i="19"/>
  <c r="C33" i="32" s="1"/>
  <c r="E33" i="32" s="1"/>
  <c r="G33" i="19"/>
  <c r="G31" i="19"/>
  <c r="T31" i="19" s="1"/>
  <c r="O30" i="19"/>
  <c r="O29" i="19"/>
  <c r="O27" i="19"/>
  <c r="Y25" i="19"/>
  <c r="C24" i="32" s="1"/>
  <c r="E24" i="32" s="1"/>
  <c r="Y23" i="19"/>
  <c r="C22" i="32" s="1"/>
  <c r="E22" i="32" s="1"/>
  <c r="G21" i="19"/>
  <c r="T21" i="19" s="1"/>
  <c r="G19" i="19"/>
  <c r="T19" i="19" s="1"/>
  <c r="Y16" i="19"/>
  <c r="C15" i="32" s="1"/>
  <c r="E15" i="32" s="1"/>
  <c r="O14" i="19"/>
  <c r="O13" i="19"/>
  <c r="O11" i="19"/>
  <c r="Y9" i="19"/>
  <c r="C8" i="32" s="1"/>
  <c r="E8" i="32" s="1"/>
  <c r="G117" i="19"/>
  <c r="T117" i="19" s="1"/>
  <c r="G116" i="19"/>
  <c r="T116" i="19" s="1"/>
  <c r="Y109" i="19"/>
  <c r="C108" i="32" s="1"/>
  <c r="E108" i="32" s="1"/>
  <c r="Y101" i="19"/>
  <c r="C100" i="32" s="1"/>
  <c r="E100" i="32" s="1"/>
  <c r="Y93" i="19"/>
  <c r="C92" i="32" s="1"/>
  <c r="E92" i="32" s="1"/>
  <c r="Y85" i="19"/>
  <c r="C84" i="32" s="1"/>
  <c r="E84" i="32" s="1"/>
  <c r="Y81" i="19"/>
  <c r="C80" i="32" s="1"/>
  <c r="E80" i="32" s="1"/>
  <c r="Y77" i="19"/>
  <c r="C76" i="32" s="1"/>
  <c r="E76" i="32" s="1"/>
  <c r="Y75" i="19"/>
  <c r="C74" i="32" s="1"/>
  <c r="E74" i="32" s="1"/>
  <c r="G75" i="19"/>
  <c r="G71" i="19"/>
  <c r="G67" i="19"/>
  <c r="T67" i="19" s="1"/>
  <c r="Y56" i="19"/>
  <c r="C55" i="32" s="1"/>
  <c r="E55" i="32" s="1"/>
  <c r="Y54" i="19"/>
  <c r="C53" i="32" s="1"/>
  <c r="E53" i="32" s="1"/>
  <c r="G53" i="19"/>
  <c r="R53" i="19" s="1"/>
  <c r="U53" i="19" s="1"/>
  <c r="G52" i="19"/>
  <c r="T52" i="19" s="1"/>
  <c r="G50" i="19"/>
  <c r="T50" i="19" s="1"/>
  <c r="Y40" i="19"/>
  <c r="C39" i="32" s="1"/>
  <c r="E39" i="32" s="1"/>
  <c r="Y38" i="19"/>
  <c r="C37" i="32" s="1"/>
  <c r="E37" i="32" s="1"/>
  <c r="G37" i="19"/>
  <c r="G36" i="19"/>
  <c r="T36" i="19" s="1"/>
  <c r="G34" i="19"/>
  <c r="T34" i="19" s="1"/>
  <c r="Y29" i="19"/>
  <c r="C28" i="32" s="1"/>
  <c r="E28" i="32" s="1"/>
  <c r="Y27" i="19"/>
  <c r="C26" i="32" s="1"/>
  <c r="E26" i="32" s="1"/>
  <c r="G26" i="19"/>
  <c r="T26" i="19" s="1"/>
  <c r="G25" i="19"/>
  <c r="T25" i="19" s="1"/>
  <c r="G23" i="19"/>
  <c r="T23" i="19" s="1"/>
  <c r="T16" i="19"/>
  <c r="Y13" i="19"/>
  <c r="C12" i="32" s="1"/>
  <c r="E12" i="32" s="1"/>
  <c r="Y11" i="19"/>
  <c r="C10" i="32" s="1"/>
  <c r="E10" i="32" s="1"/>
  <c r="G10" i="19"/>
  <c r="G9" i="19"/>
  <c r="T9" i="19" s="1"/>
  <c r="Y124" i="19"/>
  <c r="C123" i="32" s="1"/>
  <c r="E123" i="32" s="1"/>
  <c r="Y122" i="19"/>
  <c r="C121" i="32" s="1"/>
  <c r="E121" i="32" s="1"/>
  <c r="G121" i="19"/>
  <c r="G120" i="19"/>
  <c r="T120" i="19" s="1"/>
  <c r="G118" i="19"/>
  <c r="T118" i="19" s="1"/>
  <c r="Y115" i="19"/>
  <c r="C114" i="32" s="1"/>
  <c r="E114" i="32" s="1"/>
  <c r="Y114" i="19"/>
  <c r="C113" i="32" s="1"/>
  <c r="E113" i="32" s="1"/>
  <c r="Y111" i="19"/>
  <c r="C110" i="32" s="1"/>
  <c r="E110" i="32" s="1"/>
  <c r="G110" i="19"/>
  <c r="T110" i="19" s="1"/>
  <c r="O107" i="19"/>
  <c r="Y105" i="19"/>
  <c r="C104" i="32" s="1"/>
  <c r="E104" i="32" s="1"/>
  <c r="Y103" i="19"/>
  <c r="C102" i="32" s="1"/>
  <c r="E102" i="32" s="1"/>
  <c r="G102" i="19"/>
  <c r="O99" i="19"/>
  <c r="Y97" i="19"/>
  <c r="C96" i="32" s="1"/>
  <c r="E96" i="32" s="1"/>
  <c r="Y95" i="19"/>
  <c r="C94" i="32" s="1"/>
  <c r="E94" i="32" s="1"/>
  <c r="G94" i="19"/>
  <c r="T94" i="19" s="1"/>
  <c r="O91" i="19"/>
  <c r="Y89" i="19"/>
  <c r="C88" i="32" s="1"/>
  <c r="E88" i="32" s="1"/>
  <c r="Y87" i="19"/>
  <c r="C86" i="32" s="1"/>
  <c r="E86" i="32" s="1"/>
  <c r="G86" i="19"/>
  <c r="G82" i="19"/>
  <c r="G78" i="19"/>
  <c r="G77" i="19"/>
  <c r="T77" i="19" s="1"/>
  <c r="O74" i="19"/>
  <c r="Y72" i="19"/>
  <c r="C71" i="32" s="1"/>
  <c r="E71" i="32" s="1"/>
  <c r="Y71" i="19"/>
  <c r="C70" i="32" s="1"/>
  <c r="E70" i="32" s="1"/>
  <c r="Y67" i="19"/>
  <c r="C66" i="32" s="1"/>
  <c r="E66" i="32" s="1"/>
  <c r="Y62" i="19"/>
  <c r="C61" i="32" s="1"/>
  <c r="E61" i="32" s="1"/>
  <c r="Y60" i="19"/>
  <c r="C59" i="32" s="1"/>
  <c r="E59" i="32" s="1"/>
  <c r="Y58" i="19"/>
  <c r="C57" i="32" s="1"/>
  <c r="E57" i="32" s="1"/>
  <c r="G57" i="19"/>
  <c r="T57" i="19" s="1"/>
  <c r="G56" i="19"/>
  <c r="G54" i="19"/>
  <c r="T54" i="19" s="1"/>
  <c r="Y51" i="19"/>
  <c r="C50" i="32" s="1"/>
  <c r="E50" i="32" s="1"/>
  <c r="O49" i="19"/>
  <c r="O48" i="19"/>
  <c r="O46" i="19"/>
  <c r="Y44" i="19"/>
  <c r="C43" i="32" s="1"/>
  <c r="E43" i="32" s="1"/>
  <c r="Y42" i="19"/>
  <c r="C41" i="32" s="1"/>
  <c r="E41" i="32" s="1"/>
  <c r="G41" i="19"/>
  <c r="T41" i="19" s="1"/>
  <c r="G40" i="19"/>
  <c r="G38" i="19"/>
  <c r="T38" i="19" s="1"/>
  <c r="Y35" i="19"/>
  <c r="C34" i="32" s="1"/>
  <c r="E34" i="32" s="1"/>
  <c r="O33" i="19"/>
  <c r="O31" i="19"/>
  <c r="G30" i="19"/>
  <c r="T30" i="19" s="1"/>
  <c r="G29" i="19"/>
  <c r="T29" i="19" s="1"/>
  <c r="G27" i="19"/>
  <c r="T27" i="19" s="1"/>
  <c r="Y24" i="19"/>
  <c r="C23" i="32" s="1"/>
  <c r="E23" i="32" s="1"/>
  <c r="O21" i="19"/>
  <c r="O19" i="19"/>
  <c r="Y17" i="19"/>
  <c r="C16" i="32" s="1"/>
  <c r="E16" i="32" s="1"/>
  <c r="Y15" i="19"/>
  <c r="C14" i="32" s="1"/>
  <c r="E14" i="32" s="1"/>
  <c r="G14" i="19"/>
  <c r="T14" i="19" s="1"/>
  <c r="G13" i="19"/>
  <c r="T13" i="19" s="1"/>
  <c r="G11" i="19"/>
  <c r="T11" i="19" s="1"/>
  <c r="Y8" i="19"/>
  <c r="C7" i="32" s="1"/>
  <c r="E7" i="32" s="1"/>
  <c r="T73" i="19"/>
  <c r="T51" i="19"/>
  <c r="T35" i="19"/>
  <c r="G17" i="19"/>
  <c r="O174" i="19"/>
  <c r="O22" i="19"/>
  <c r="G22" i="19"/>
  <c r="T22" i="19" s="1"/>
  <c r="G83" i="19"/>
  <c r="O261" i="19"/>
  <c r="G261" i="19"/>
  <c r="T261" i="19" s="1"/>
  <c r="T278" i="19"/>
  <c r="T309" i="19"/>
  <c r="T270" i="19"/>
  <c r="T288" i="19"/>
  <c r="R304" i="19"/>
  <c r="U304" i="19" s="1"/>
  <c r="T167" i="19"/>
  <c r="Y243" i="19"/>
  <c r="C242" i="32" s="1"/>
  <c r="E242" i="32" s="1"/>
  <c r="T219" i="19"/>
  <c r="G245" i="19"/>
  <c r="R241" i="19"/>
  <c r="U241" i="19" s="1"/>
  <c r="T254" i="19"/>
  <c r="G156" i="19"/>
  <c r="T134" i="19"/>
  <c r="T125" i="19"/>
  <c r="T114" i="19"/>
  <c r="O156" i="19"/>
  <c r="Y154" i="19"/>
  <c r="C153" i="32" s="1"/>
  <c r="E153" i="32" s="1"/>
  <c r="T145" i="19"/>
  <c r="Y150" i="19"/>
  <c r="C149" i="32" s="1"/>
  <c r="E149" i="32" s="1"/>
  <c r="Y148" i="19"/>
  <c r="C147" i="32" s="1"/>
  <c r="E147" i="32" s="1"/>
  <c r="Y146" i="19"/>
  <c r="C145" i="32" s="1"/>
  <c r="E145" i="32" s="1"/>
  <c r="G144" i="19"/>
  <c r="Y68" i="19"/>
  <c r="C67" i="32" s="1"/>
  <c r="E67" i="32" s="1"/>
  <c r="T68" i="19"/>
  <c r="G66" i="19"/>
  <c r="G115" i="19"/>
  <c r="G113" i="19"/>
  <c r="G105" i="19"/>
  <c r="G97" i="19"/>
  <c r="G89" i="19"/>
  <c r="T72" i="19"/>
  <c r="R72" i="19"/>
  <c r="U72" i="19" s="1"/>
  <c r="Y113" i="19"/>
  <c r="C112" i="32" s="1"/>
  <c r="E112" i="32" s="1"/>
  <c r="Y107" i="19"/>
  <c r="C106" i="32" s="1"/>
  <c r="E106" i="32" s="1"/>
  <c r="Y99" i="19"/>
  <c r="C98" i="32" s="1"/>
  <c r="E98" i="32" s="1"/>
  <c r="Y91" i="19"/>
  <c r="C90" i="32" s="1"/>
  <c r="E90" i="32" s="1"/>
  <c r="Y83" i="19"/>
  <c r="C82" i="32" s="1"/>
  <c r="O66" i="19"/>
  <c r="T104" i="19"/>
  <c r="T88" i="19"/>
  <c r="G60" i="19"/>
  <c r="T45" i="19"/>
  <c r="R39" i="19"/>
  <c r="U39" i="19" s="1"/>
  <c r="R123" i="19" l="1"/>
  <c r="U123" i="19" s="1"/>
  <c r="R18" i="19"/>
  <c r="U18" i="19" s="1"/>
  <c r="C17" i="39" s="1"/>
  <c r="R258" i="19"/>
  <c r="U258" i="19" s="1"/>
  <c r="F257" i="32" s="1"/>
  <c r="G257" i="32" s="1"/>
  <c r="R149" i="19"/>
  <c r="U149" i="19" s="1"/>
  <c r="C148" i="33" s="1"/>
  <c r="R278" i="19"/>
  <c r="U278" i="19" s="1"/>
  <c r="F277" i="32" s="1"/>
  <c r="G277" i="32" s="1"/>
  <c r="R10" i="19"/>
  <c r="U10" i="19" s="1"/>
  <c r="R224" i="19"/>
  <c r="U224" i="19" s="1"/>
  <c r="C223" i="33" s="1"/>
  <c r="R248" i="19"/>
  <c r="U248" i="19" s="1"/>
  <c r="C247" i="39" s="1"/>
  <c r="R310" i="19"/>
  <c r="U310" i="19" s="1"/>
  <c r="C309" i="12" s="1"/>
  <c r="R134" i="19"/>
  <c r="U134" i="19" s="1"/>
  <c r="R306" i="19"/>
  <c r="U306" i="19" s="1"/>
  <c r="F305" i="32" s="1"/>
  <c r="G305" i="32" s="1"/>
  <c r="R262" i="19"/>
  <c r="U262" i="19" s="1"/>
  <c r="C261" i="12" s="1"/>
  <c r="R205" i="19"/>
  <c r="U205" i="19" s="1"/>
  <c r="F204" i="32" s="1"/>
  <c r="G204" i="32" s="1"/>
  <c r="R114" i="19"/>
  <c r="U114" i="19" s="1"/>
  <c r="T229" i="19"/>
  <c r="R276" i="19"/>
  <c r="U276" i="19" s="1"/>
  <c r="C275" i="12" s="1"/>
  <c r="R16" i="19"/>
  <c r="U16" i="19" s="1"/>
  <c r="C15" i="33" s="1"/>
  <c r="T149" i="19"/>
  <c r="R239" i="19"/>
  <c r="U239" i="19" s="1"/>
  <c r="C238" i="39" s="1"/>
  <c r="R259" i="19"/>
  <c r="U259" i="19" s="1"/>
  <c r="C258" i="39" s="1"/>
  <c r="R232" i="19"/>
  <c r="U232" i="19" s="1"/>
  <c r="C231" i="12" s="1"/>
  <c r="R157" i="19"/>
  <c r="U157" i="19" s="1"/>
  <c r="C156" i="39" s="1"/>
  <c r="R266" i="19"/>
  <c r="U266" i="19" s="1"/>
  <c r="F265" i="32" s="1"/>
  <c r="G265" i="32" s="1"/>
  <c r="R103" i="19"/>
  <c r="U103" i="19" s="1"/>
  <c r="C102" i="39" s="1"/>
  <c r="R148" i="19"/>
  <c r="U148" i="19" s="1"/>
  <c r="C147" i="39" s="1"/>
  <c r="R125" i="19"/>
  <c r="U125" i="19" s="1"/>
  <c r="C124" i="33" s="1"/>
  <c r="R256" i="19"/>
  <c r="U256" i="19" s="1"/>
  <c r="F255" i="32" s="1"/>
  <c r="G255" i="32" s="1"/>
  <c r="R270" i="19"/>
  <c r="U270" i="19" s="1"/>
  <c r="C269" i="39" s="1"/>
  <c r="R200" i="19"/>
  <c r="U200" i="19" s="1"/>
  <c r="C199" i="39" s="1"/>
  <c r="R45" i="19"/>
  <c r="U45" i="19" s="1"/>
  <c r="R294" i="19"/>
  <c r="U294" i="19" s="1"/>
  <c r="F293" i="32" s="1"/>
  <c r="G293" i="32" s="1"/>
  <c r="R227" i="19"/>
  <c r="U227" i="19" s="1"/>
  <c r="C226" i="12" s="1"/>
  <c r="R296" i="19"/>
  <c r="U296" i="19" s="1"/>
  <c r="C295" i="12" s="1"/>
  <c r="R155" i="19"/>
  <c r="U155" i="19" s="1"/>
  <c r="C154" i="33" s="1"/>
  <c r="R190" i="19"/>
  <c r="U190" i="19" s="1"/>
  <c r="C189" i="12" s="1"/>
  <c r="R62" i="19"/>
  <c r="U62" i="19" s="1"/>
  <c r="C61" i="12" s="1"/>
  <c r="R302" i="19"/>
  <c r="U302" i="19" s="1"/>
  <c r="C301" i="12" s="1"/>
  <c r="R40" i="19"/>
  <c r="U40" i="19" s="1"/>
  <c r="C39" i="12" s="1"/>
  <c r="R250" i="19"/>
  <c r="U250" i="19" s="1"/>
  <c r="C249" i="33" s="1"/>
  <c r="T302" i="19"/>
  <c r="R287" i="19"/>
  <c r="U287" i="19" s="1"/>
  <c r="C286" i="12" s="1"/>
  <c r="R181" i="19"/>
  <c r="U181" i="19" s="1"/>
  <c r="C180" i="12" s="1"/>
  <c r="R197" i="19"/>
  <c r="U197" i="19" s="1"/>
  <c r="C196" i="12" s="1"/>
  <c r="R51" i="19"/>
  <c r="U51" i="19" s="1"/>
  <c r="C50" i="39" s="1"/>
  <c r="R86" i="19"/>
  <c r="U86" i="19" s="1"/>
  <c r="F85" i="32" s="1"/>
  <c r="G85" i="32" s="1"/>
  <c r="R102" i="19"/>
  <c r="U102" i="19" s="1"/>
  <c r="C101" i="39" s="1"/>
  <c r="R141" i="19"/>
  <c r="U141" i="19" s="1"/>
  <c r="C140" i="12" s="1"/>
  <c r="R185" i="19"/>
  <c r="U185" i="19" s="1"/>
  <c r="C184" i="33" s="1"/>
  <c r="R260" i="19"/>
  <c r="U260" i="19" s="1"/>
  <c r="C259" i="39" s="1"/>
  <c r="R92" i="19"/>
  <c r="U92" i="19" s="1"/>
  <c r="C91" i="12" s="1"/>
  <c r="R314" i="19"/>
  <c r="U314" i="19" s="1"/>
  <c r="C313" i="12" s="1"/>
  <c r="T294" i="19"/>
  <c r="R43" i="19"/>
  <c r="U43" i="19" s="1"/>
  <c r="C42" i="39" s="1"/>
  <c r="R64" i="19"/>
  <c r="U64" i="19" s="1"/>
  <c r="C63" i="39" s="1"/>
  <c r="R84" i="19"/>
  <c r="U84" i="19" s="1"/>
  <c r="F83" i="32" s="1"/>
  <c r="G83" i="32" s="1"/>
  <c r="R24" i="19"/>
  <c r="U24" i="19" s="1"/>
  <c r="C23" i="12" s="1"/>
  <c r="R184" i="19"/>
  <c r="U184" i="19" s="1"/>
  <c r="C183" i="33" s="1"/>
  <c r="R209" i="19"/>
  <c r="U209" i="19" s="1"/>
  <c r="C208" i="33" s="1"/>
  <c r="R267" i="19"/>
  <c r="U267" i="19" s="1"/>
  <c r="C266" i="33" s="1"/>
  <c r="T260" i="19"/>
  <c r="T112" i="19"/>
  <c r="R222" i="19"/>
  <c r="U222" i="19" s="1"/>
  <c r="F221" i="32" s="1"/>
  <c r="G221" i="32" s="1"/>
  <c r="R122" i="19"/>
  <c r="U122" i="19" s="1"/>
  <c r="C121" i="39" s="1"/>
  <c r="R26" i="19"/>
  <c r="U26" i="19" s="1"/>
  <c r="F25" i="32" s="1"/>
  <c r="G25" i="32" s="1"/>
  <c r="R246" i="19"/>
  <c r="U246" i="19" s="1"/>
  <c r="F245" i="32" s="1"/>
  <c r="G245" i="32" s="1"/>
  <c r="R49" i="19"/>
  <c r="U49" i="19" s="1"/>
  <c r="C48" i="39" s="1"/>
  <c r="R210" i="19"/>
  <c r="U210" i="19" s="1"/>
  <c r="C209" i="12" s="1"/>
  <c r="R211" i="19"/>
  <c r="U211" i="19" s="1"/>
  <c r="C210" i="39" s="1"/>
  <c r="R159" i="19"/>
  <c r="U159" i="19" s="1"/>
  <c r="F158" i="32" s="1"/>
  <c r="G158" i="32" s="1"/>
  <c r="R311" i="19"/>
  <c r="U311" i="19" s="1"/>
  <c r="C310" i="12" s="1"/>
  <c r="R76" i="19"/>
  <c r="U76" i="19" s="1"/>
  <c r="F75" i="32" s="1"/>
  <c r="G75" i="32" s="1"/>
  <c r="R307" i="19"/>
  <c r="U307" i="19" s="1"/>
  <c r="C306" i="39" s="1"/>
  <c r="R136" i="19"/>
  <c r="U136" i="19" s="1"/>
  <c r="C135" i="12" s="1"/>
  <c r="R195" i="19"/>
  <c r="U195" i="19" s="1"/>
  <c r="C194" i="39" s="1"/>
  <c r="R220" i="19"/>
  <c r="U220" i="19" s="1"/>
  <c r="C219" i="33" s="1"/>
  <c r="R58" i="19"/>
  <c r="U58" i="19" s="1"/>
  <c r="F57" i="32" s="1"/>
  <c r="G57" i="32" s="1"/>
  <c r="R73" i="19"/>
  <c r="U73" i="19" s="1"/>
  <c r="F72" i="32" s="1"/>
  <c r="G72" i="32" s="1"/>
  <c r="R117" i="19"/>
  <c r="U117" i="19" s="1"/>
  <c r="C116" i="12" s="1"/>
  <c r="R272" i="19"/>
  <c r="U272" i="19" s="1"/>
  <c r="F271" i="32" s="1"/>
  <c r="G271" i="32" s="1"/>
  <c r="R228" i="19"/>
  <c r="U228" i="19" s="1"/>
  <c r="C227" i="12" s="1"/>
  <c r="R8" i="19"/>
  <c r="U8" i="19" s="1"/>
  <c r="C7" i="12" s="1"/>
  <c r="R119" i="19"/>
  <c r="U119" i="19" s="1"/>
  <c r="C118" i="39" s="1"/>
  <c r="R279" i="19"/>
  <c r="U279" i="19" s="1"/>
  <c r="C278" i="33" s="1"/>
  <c r="R254" i="19"/>
  <c r="U254" i="19" s="1"/>
  <c r="F253" i="32" s="1"/>
  <c r="G253" i="32" s="1"/>
  <c r="R166" i="19"/>
  <c r="U166" i="19" s="1"/>
  <c r="C165" i="39" s="1"/>
  <c r="T102" i="19"/>
  <c r="R80" i="19"/>
  <c r="U80" i="19" s="1"/>
  <c r="C79" i="33" s="1"/>
  <c r="T62" i="19"/>
  <c r="R61" i="19"/>
  <c r="U61" i="19" s="1"/>
  <c r="C60" i="12" s="1"/>
  <c r="R218" i="19"/>
  <c r="U218" i="19" s="1"/>
  <c r="C217" i="39" s="1"/>
  <c r="R174" i="19"/>
  <c r="U174" i="19" s="1"/>
  <c r="C173" i="33" s="1"/>
  <c r="R96" i="19"/>
  <c r="U96" i="19" s="1"/>
  <c r="F95" i="32" s="1"/>
  <c r="G95" i="32" s="1"/>
  <c r="T166" i="19"/>
  <c r="R252" i="19"/>
  <c r="U252" i="19" s="1"/>
  <c r="C251" i="33" s="1"/>
  <c r="R132" i="19"/>
  <c r="U132" i="19" s="1"/>
  <c r="C131" i="39" s="1"/>
  <c r="R23" i="19"/>
  <c r="U23" i="19" s="1"/>
  <c r="C22" i="12" s="1"/>
  <c r="R244" i="19"/>
  <c r="U244" i="19" s="1"/>
  <c r="C243" i="39" s="1"/>
  <c r="T306" i="19"/>
  <c r="R145" i="19"/>
  <c r="U145" i="19" s="1"/>
  <c r="C144" i="33" s="1"/>
  <c r="R129" i="19"/>
  <c r="U129" i="19" s="1"/>
  <c r="C128" i="12" s="1"/>
  <c r="R143" i="19"/>
  <c r="U143" i="19" s="1"/>
  <c r="C142" i="12" s="1"/>
  <c r="R216" i="19"/>
  <c r="U216" i="19" s="1"/>
  <c r="C215" i="33" s="1"/>
  <c r="R30" i="19"/>
  <c r="U30" i="19" s="1"/>
  <c r="C29" i="33" s="1"/>
  <c r="R41" i="19"/>
  <c r="U41" i="19" s="1"/>
  <c r="C40" i="39" s="1"/>
  <c r="R37" i="19"/>
  <c r="U37" i="19" s="1"/>
  <c r="C36" i="12" s="1"/>
  <c r="R57" i="19"/>
  <c r="U57" i="19" s="1"/>
  <c r="C56" i="39" s="1"/>
  <c r="R202" i="19"/>
  <c r="U202" i="19" s="1"/>
  <c r="C201" i="39" s="1"/>
  <c r="R165" i="19"/>
  <c r="U165" i="19" s="1"/>
  <c r="C164" i="33" s="1"/>
  <c r="R153" i="19"/>
  <c r="U153" i="19" s="1"/>
  <c r="F152" i="32" s="1"/>
  <c r="G152" i="32" s="1"/>
  <c r="R313" i="19"/>
  <c r="U313" i="19" s="1"/>
  <c r="C312" i="39" s="1"/>
  <c r="R289" i="19"/>
  <c r="U289" i="19" s="1"/>
  <c r="F288" i="32" s="1"/>
  <c r="G288" i="32" s="1"/>
  <c r="R81" i="19"/>
  <c r="U81" i="19" s="1"/>
  <c r="C80" i="12" s="1"/>
  <c r="T165" i="19"/>
  <c r="R234" i="19"/>
  <c r="U234" i="19" s="1"/>
  <c r="C233" i="39" s="1"/>
  <c r="R299" i="19"/>
  <c r="U299" i="19" s="1"/>
  <c r="F298" i="32" s="1"/>
  <c r="G298" i="32" s="1"/>
  <c r="R56" i="19"/>
  <c r="U56" i="19" s="1"/>
  <c r="C55" i="33" s="1"/>
  <c r="R94" i="19"/>
  <c r="U94" i="19" s="1"/>
  <c r="F93" i="32" s="1"/>
  <c r="G93" i="32" s="1"/>
  <c r="R281" i="19"/>
  <c r="U281" i="19" s="1"/>
  <c r="C280" i="33" s="1"/>
  <c r="R90" i="19"/>
  <c r="U90" i="19" s="1"/>
  <c r="C89" i="12" s="1"/>
  <c r="R104" i="19"/>
  <c r="U104" i="19" s="1"/>
  <c r="C103" i="12" s="1"/>
  <c r="T37" i="19"/>
  <c r="T86" i="19"/>
  <c r="R215" i="19"/>
  <c r="U215" i="19" s="1"/>
  <c r="F214" i="32" s="1"/>
  <c r="G214" i="32" s="1"/>
  <c r="R226" i="19"/>
  <c r="U226" i="19" s="1"/>
  <c r="F225" i="32" s="1"/>
  <c r="G225" i="32" s="1"/>
  <c r="R192" i="19"/>
  <c r="U192" i="19" s="1"/>
  <c r="C191" i="39" s="1"/>
  <c r="T141" i="19"/>
  <c r="R163" i="19"/>
  <c r="U163" i="19" s="1"/>
  <c r="C162" i="39" s="1"/>
  <c r="R137" i="19"/>
  <c r="U137" i="19" s="1"/>
  <c r="C136" i="12" s="1"/>
  <c r="R309" i="19"/>
  <c r="U309" i="19" s="1"/>
  <c r="C308" i="39" s="1"/>
  <c r="R162" i="19"/>
  <c r="U162" i="19" s="1"/>
  <c r="C161" i="39" s="1"/>
  <c r="R28" i="19"/>
  <c r="U28" i="19" s="1"/>
  <c r="F27" i="32" s="1"/>
  <c r="G27" i="32" s="1"/>
  <c r="R273" i="19"/>
  <c r="U273" i="19" s="1"/>
  <c r="C272" i="12" s="1"/>
  <c r="R12" i="19"/>
  <c r="U12" i="19" s="1"/>
  <c r="F11" i="32" s="1"/>
  <c r="G11" i="32" s="1"/>
  <c r="R111" i="19"/>
  <c r="U111" i="19" s="1"/>
  <c r="F110" i="32" s="1"/>
  <c r="G110" i="32" s="1"/>
  <c r="R44" i="19"/>
  <c r="U44" i="19" s="1"/>
  <c r="F43" i="32" s="1"/>
  <c r="G43" i="32" s="1"/>
  <c r="R180" i="19"/>
  <c r="U180" i="19" s="1"/>
  <c r="C179" i="12" s="1"/>
  <c r="R63" i="19"/>
  <c r="U63" i="19" s="1"/>
  <c r="C62" i="39" s="1"/>
  <c r="R55" i="19"/>
  <c r="U55" i="19" s="1"/>
  <c r="F54" i="32" s="1"/>
  <c r="G54" i="32" s="1"/>
  <c r="R27" i="19"/>
  <c r="U27" i="19" s="1"/>
  <c r="C26" i="39" s="1"/>
  <c r="T76" i="19"/>
  <c r="R164" i="19"/>
  <c r="U164" i="19" s="1"/>
  <c r="C163" i="12" s="1"/>
  <c r="R191" i="19"/>
  <c r="U191" i="19" s="1"/>
  <c r="C190" i="39" s="1"/>
  <c r="R199" i="19"/>
  <c r="U199" i="19" s="1"/>
  <c r="C198" i="39" s="1"/>
  <c r="T56" i="19"/>
  <c r="T185" i="19"/>
  <c r="R170" i="19"/>
  <c r="U170" i="19" s="1"/>
  <c r="C169" i="12" s="1"/>
  <c r="R237" i="19"/>
  <c r="U237" i="19" s="1"/>
  <c r="F236" i="32" s="1"/>
  <c r="G236" i="32" s="1"/>
  <c r="R133" i="19"/>
  <c r="U133" i="19" s="1"/>
  <c r="C132" i="39" s="1"/>
  <c r="R25" i="19"/>
  <c r="U25" i="19" s="1"/>
  <c r="C24" i="33" s="1"/>
  <c r="R98" i="19"/>
  <c r="U98" i="19" s="1"/>
  <c r="C97" i="39" s="1"/>
  <c r="R54" i="19"/>
  <c r="U54" i="19" s="1"/>
  <c r="F53" i="32" s="1"/>
  <c r="G53" i="32" s="1"/>
  <c r="R182" i="19"/>
  <c r="U182" i="19" s="1"/>
  <c r="C181" i="39" s="1"/>
  <c r="T40" i="19"/>
  <c r="R50" i="19"/>
  <c r="U50" i="19" s="1"/>
  <c r="C49" i="39" s="1"/>
  <c r="R138" i="19"/>
  <c r="U138" i="19" s="1"/>
  <c r="F137" i="32" s="1"/>
  <c r="G137" i="32" s="1"/>
  <c r="R17" i="19"/>
  <c r="U17" i="19" s="1"/>
  <c r="C16" i="12" s="1"/>
  <c r="R20" i="19"/>
  <c r="U20" i="19" s="1"/>
  <c r="C19" i="39" s="1"/>
  <c r="R13" i="19"/>
  <c r="U13" i="19" s="1"/>
  <c r="C12" i="39" s="1"/>
  <c r="R79" i="19"/>
  <c r="U79" i="19" s="1"/>
  <c r="C78" i="12" s="1"/>
  <c r="R87" i="19"/>
  <c r="U87" i="19" s="1"/>
  <c r="F86" i="32" s="1"/>
  <c r="G86" i="32" s="1"/>
  <c r="R95" i="19"/>
  <c r="U95" i="19" s="1"/>
  <c r="C94" i="33" s="1"/>
  <c r="R34" i="19"/>
  <c r="U34" i="19" s="1"/>
  <c r="C33" i="39" s="1"/>
  <c r="R173" i="19"/>
  <c r="U173" i="19" s="1"/>
  <c r="F172" i="32" s="1"/>
  <c r="G172" i="32" s="1"/>
  <c r="R286" i="19"/>
  <c r="U286" i="19" s="1"/>
  <c r="C285" i="12" s="1"/>
  <c r="R31" i="19"/>
  <c r="U31" i="19" s="1"/>
  <c r="C30" i="12" s="1"/>
  <c r="R78" i="19"/>
  <c r="U78" i="19" s="1"/>
  <c r="C77" i="33" s="1"/>
  <c r="R121" i="19"/>
  <c r="U121" i="19" s="1"/>
  <c r="C120" i="39" s="1"/>
  <c r="R71" i="19"/>
  <c r="U71" i="19" s="1"/>
  <c r="C70" i="12" s="1"/>
  <c r="R233" i="19"/>
  <c r="U233" i="19" s="1"/>
  <c r="C232" i="12" s="1"/>
  <c r="T17" i="19"/>
  <c r="R42" i="19"/>
  <c r="U42" i="19" s="1"/>
  <c r="C41" i="39" s="1"/>
  <c r="T53" i="19"/>
  <c r="T98" i="19"/>
  <c r="R127" i="19"/>
  <c r="U127" i="19" s="1"/>
  <c r="F126" i="32" s="1"/>
  <c r="G126" i="32" s="1"/>
  <c r="R130" i="19"/>
  <c r="U130" i="19" s="1"/>
  <c r="C129" i="39" s="1"/>
  <c r="R240" i="19"/>
  <c r="U240" i="19" s="1"/>
  <c r="C239" i="33" s="1"/>
  <c r="R171" i="19"/>
  <c r="U171" i="19" s="1"/>
  <c r="C170" i="39" s="1"/>
  <c r="T237" i="19"/>
  <c r="R271" i="19"/>
  <c r="U271" i="19" s="1"/>
  <c r="F270" i="32" s="1"/>
  <c r="G270" i="32" s="1"/>
  <c r="R290" i="19"/>
  <c r="U290" i="19" s="1"/>
  <c r="C289" i="39" s="1"/>
  <c r="R100" i="19"/>
  <c r="U100" i="19" s="1"/>
  <c r="F99" i="32" s="1"/>
  <c r="G99" i="32" s="1"/>
  <c r="R108" i="19"/>
  <c r="U108" i="19" s="1"/>
  <c r="C107" i="33" s="1"/>
  <c r="R47" i="19"/>
  <c r="U47" i="19" s="1"/>
  <c r="C46" i="12" s="1"/>
  <c r="R196" i="19"/>
  <c r="U196" i="19" s="1"/>
  <c r="F195" i="32" s="1"/>
  <c r="G195" i="32" s="1"/>
  <c r="R178" i="19"/>
  <c r="U178" i="19" s="1"/>
  <c r="C177" i="33" s="1"/>
  <c r="R186" i="19"/>
  <c r="U186" i="19" s="1"/>
  <c r="C185" i="39" s="1"/>
  <c r="R201" i="19"/>
  <c r="U201" i="19" s="1"/>
  <c r="F200" i="32" s="1"/>
  <c r="G200" i="32" s="1"/>
  <c r="R221" i="19"/>
  <c r="U221" i="19" s="1"/>
  <c r="C220" i="12" s="1"/>
  <c r="R230" i="19"/>
  <c r="U230" i="19" s="1"/>
  <c r="C229" i="33" s="1"/>
  <c r="R154" i="19"/>
  <c r="U154" i="19" s="1"/>
  <c r="F153" i="32" s="1"/>
  <c r="G153" i="32" s="1"/>
  <c r="R268" i="19"/>
  <c r="U268" i="19" s="1"/>
  <c r="C267" i="39" s="1"/>
  <c r="R274" i="19"/>
  <c r="U274" i="19" s="1"/>
  <c r="C273" i="39" s="1"/>
  <c r="R282" i="19"/>
  <c r="U282" i="19" s="1"/>
  <c r="C281" i="39" s="1"/>
  <c r="R297" i="19"/>
  <c r="U297" i="19" s="1"/>
  <c r="C296" i="33" s="1"/>
  <c r="R312" i="19"/>
  <c r="U312" i="19" s="1"/>
  <c r="C311" i="33" s="1"/>
  <c r="R124" i="19"/>
  <c r="U124" i="19" s="1"/>
  <c r="C123" i="12" s="1"/>
  <c r="R208" i="19"/>
  <c r="U208" i="19" s="1"/>
  <c r="C207" i="12" s="1"/>
  <c r="R68" i="19"/>
  <c r="U68" i="19" s="1"/>
  <c r="C67" i="33" s="1"/>
  <c r="R160" i="19"/>
  <c r="U160" i="19" s="1"/>
  <c r="F159" i="32" s="1"/>
  <c r="G159" i="32" s="1"/>
  <c r="R212" i="19"/>
  <c r="U212" i="19" s="1"/>
  <c r="C211" i="12" s="1"/>
  <c r="R120" i="19"/>
  <c r="U120" i="19" s="1"/>
  <c r="C119" i="12" s="1"/>
  <c r="R70" i="19"/>
  <c r="U70" i="19" s="1"/>
  <c r="C69" i="39" s="1"/>
  <c r="R194" i="19"/>
  <c r="U194" i="19" s="1"/>
  <c r="C193" i="39" s="1"/>
  <c r="R285" i="19"/>
  <c r="U285" i="19" s="1"/>
  <c r="C284" i="33" s="1"/>
  <c r="R300" i="19"/>
  <c r="U300" i="19" s="1"/>
  <c r="C299" i="39" s="1"/>
  <c r="C17" i="33"/>
  <c r="F17" i="32"/>
  <c r="G17" i="32" s="1"/>
  <c r="C118" i="12"/>
  <c r="C203" i="39"/>
  <c r="C203" i="12"/>
  <c r="C203" i="33"/>
  <c r="F203" i="32"/>
  <c r="G203" i="32" s="1"/>
  <c r="C303" i="39"/>
  <c r="C303" i="12"/>
  <c r="C303" i="33"/>
  <c r="F303" i="32"/>
  <c r="G303" i="32" s="1"/>
  <c r="C277" i="39"/>
  <c r="C277" i="12"/>
  <c r="C277" i="33"/>
  <c r="C9" i="39"/>
  <c r="C9" i="12"/>
  <c r="C9" i="33"/>
  <c r="F9" i="32"/>
  <c r="G9" i="32" s="1"/>
  <c r="C52" i="39"/>
  <c r="C52" i="12"/>
  <c r="C52" i="33"/>
  <c r="F52" i="32"/>
  <c r="G52" i="32" s="1"/>
  <c r="R19" i="19"/>
  <c r="U19" i="19" s="1"/>
  <c r="R74" i="19"/>
  <c r="U74" i="19" s="1"/>
  <c r="C38" i="12"/>
  <c r="C38" i="39"/>
  <c r="C38" i="33"/>
  <c r="F38" i="32"/>
  <c r="G38" i="32" s="1"/>
  <c r="C44" i="39"/>
  <c r="C44" i="12"/>
  <c r="C44" i="33"/>
  <c r="F44" i="32"/>
  <c r="G44" i="32" s="1"/>
  <c r="C61" i="39"/>
  <c r="C71" i="39"/>
  <c r="C71" i="12"/>
  <c r="C71" i="33"/>
  <c r="F71" i="32"/>
  <c r="G71" i="32" s="1"/>
  <c r="C113" i="39"/>
  <c r="C113" i="12"/>
  <c r="C113" i="33"/>
  <c r="F113" i="32"/>
  <c r="G113" i="32" s="1"/>
  <c r="C124" i="12"/>
  <c r="C247" i="12"/>
  <c r="C186" i="39"/>
  <c r="C186" i="12"/>
  <c r="F186" i="32"/>
  <c r="G186" i="32" s="1"/>
  <c r="C186" i="33"/>
  <c r="C218" i="39"/>
  <c r="C218" i="12"/>
  <c r="F218" i="32"/>
  <c r="G218" i="32" s="1"/>
  <c r="C218" i="33"/>
  <c r="C39" i="39"/>
  <c r="C305" i="39"/>
  <c r="C305" i="12"/>
  <c r="C305" i="33"/>
  <c r="C122" i="39"/>
  <c r="C122" i="12"/>
  <c r="C122" i="33"/>
  <c r="F122" i="32"/>
  <c r="G122" i="32" s="1"/>
  <c r="C111" i="39"/>
  <c r="C111" i="12"/>
  <c r="C111" i="33"/>
  <c r="F111" i="32"/>
  <c r="G111" i="32" s="1"/>
  <c r="C223" i="39"/>
  <c r="C223" i="12"/>
  <c r="F223" i="32"/>
  <c r="G223" i="32" s="1"/>
  <c r="C228" i="39"/>
  <c r="C228" i="12"/>
  <c r="C228" i="33"/>
  <c r="F228" i="32"/>
  <c r="G228" i="32" s="1"/>
  <c r="C265" i="39"/>
  <c r="C265" i="12"/>
  <c r="C265" i="33"/>
  <c r="C293" i="39"/>
  <c r="C293" i="12"/>
  <c r="C293" i="33"/>
  <c r="C133" i="12"/>
  <c r="C133" i="39"/>
  <c r="C133" i="33"/>
  <c r="F133" i="32"/>
  <c r="G133" i="32" s="1"/>
  <c r="C257" i="39"/>
  <c r="C257" i="12"/>
  <c r="C257" i="33"/>
  <c r="R36" i="19"/>
  <c r="U36" i="19" s="1"/>
  <c r="F189" i="32"/>
  <c r="G189" i="32" s="1"/>
  <c r="R128" i="19"/>
  <c r="U128" i="19" s="1"/>
  <c r="R9" i="19"/>
  <c r="U9" i="19" s="1"/>
  <c r="R280" i="19"/>
  <c r="U280" i="19" s="1"/>
  <c r="C148" i="39"/>
  <c r="C148" i="12"/>
  <c r="F148" i="32"/>
  <c r="G148" i="32" s="1"/>
  <c r="R264" i="19"/>
  <c r="U264" i="19" s="1"/>
  <c r="R283" i="19"/>
  <c r="U283" i="19" s="1"/>
  <c r="R214" i="19"/>
  <c r="U214" i="19" s="1"/>
  <c r="R265" i="19"/>
  <c r="U265" i="19" s="1"/>
  <c r="R142" i="19"/>
  <c r="U142" i="19" s="1"/>
  <c r="R52" i="19"/>
  <c r="U52" i="19" s="1"/>
  <c r="R106" i="19"/>
  <c r="U106" i="19" s="1"/>
  <c r="R168" i="19"/>
  <c r="U168" i="19" s="1"/>
  <c r="C249" i="39"/>
  <c r="C249" i="12"/>
  <c r="F249" i="32"/>
  <c r="G249" i="32" s="1"/>
  <c r="C34" i="39"/>
  <c r="C34" i="12"/>
  <c r="C34" i="33"/>
  <c r="F34" i="32"/>
  <c r="G34" i="32" s="1"/>
  <c r="C101" i="33"/>
  <c r="C240" i="39"/>
  <c r="C240" i="12"/>
  <c r="C240" i="33"/>
  <c r="F240" i="32"/>
  <c r="G240" i="32" s="1"/>
  <c r="C156" i="12"/>
  <c r="F156" i="32"/>
  <c r="G156" i="32" s="1"/>
  <c r="C262" i="39"/>
  <c r="C262" i="12"/>
  <c r="C262" i="33"/>
  <c r="F262" i="32"/>
  <c r="G262" i="32" s="1"/>
  <c r="F275" i="32"/>
  <c r="G275" i="32" s="1"/>
  <c r="R14" i="19"/>
  <c r="U14" i="19" s="1"/>
  <c r="R110" i="19"/>
  <c r="U110" i="19" s="1"/>
  <c r="R118" i="19"/>
  <c r="U118" i="19" s="1"/>
  <c r="R167" i="19"/>
  <c r="U167" i="19" s="1"/>
  <c r="R223" i="19"/>
  <c r="U223" i="19" s="1"/>
  <c r="R177" i="19"/>
  <c r="U177" i="19" s="1"/>
  <c r="R183" i="19"/>
  <c r="U183" i="19" s="1"/>
  <c r="R225" i="19"/>
  <c r="U225" i="19" s="1"/>
  <c r="E82" i="32"/>
  <c r="R15" i="19"/>
  <c r="U15" i="19" s="1"/>
  <c r="R38" i="19"/>
  <c r="U38" i="19" s="1"/>
  <c r="T74" i="19"/>
  <c r="T124" i="19"/>
  <c r="T155" i="19"/>
  <c r="T121" i="19"/>
  <c r="T190" i="19"/>
  <c r="R295" i="19"/>
  <c r="U295" i="19" s="1"/>
  <c r="T312" i="19"/>
  <c r="R116" i="19"/>
  <c r="U116" i="19" s="1"/>
  <c r="R169" i="19"/>
  <c r="U169" i="19" s="1"/>
  <c r="R152" i="19"/>
  <c r="U152" i="19" s="1"/>
  <c r="R32" i="19"/>
  <c r="U32" i="19" s="1"/>
  <c r="R46" i="19"/>
  <c r="U46" i="19" s="1"/>
  <c r="R59" i="19"/>
  <c r="U59" i="19" s="1"/>
  <c r="T10" i="19"/>
  <c r="T78" i="19"/>
  <c r="R69" i="19"/>
  <c r="U69" i="19" s="1"/>
  <c r="T90" i="19"/>
  <c r="R131" i="19"/>
  <c r="U131" i="19" s="1"/>
  <c r="T129" i="19"/>
  <c r="R147" i="19"/>
  <c r="U147" i="19" s="1"/>
  <c r="R176" i="19"/>
  <c r="U176" i="19" s="1"/>
  <c r="T250" i="19"/>
  <c r="R308" i="19"/>
  <c r="U308" i="19" s="1"/>
  <c r="T289" i="19"/>
  <c r="T71" i="19"/>
  <c r="R139" i="19"/>
  <c r="U139" i="19" s="1"/>
  <c r="T202" i="19"/>
  <c r="R261" i="19"/>
  <c r="U261" i="19" s="1"/>
  <c r="R77" i="19"/>
  <c r="U77" i="19" s="1"/>
  <c r="R193" i="19"/>
  <c r="U193" i="19" s="1"/>
  <c r="R198" i="19"/>
  <c r="U198" i="19" s="1"/>
  <c r="R293" i="19"/>
  <c r="U293" i="19" s="1"/>
  <c r="R303" i="19"/>
  <c r="U303" i="19" s="1"/>
  <c r="R231" i="19"/>
  <c r="U231" i="19" s="1"/>
  <c r="R22" i="19"/>
  <c r="U22" i="19" s="1"/>
  <c r="R158" i="19"/>
  <c r="U158" i="19" s="1"/>
  <c r="R301" i="19"/>
  <c r="U301" i="19" s="1"/>
  <c r="R238" i="19"/>
  <c r="U238" i="19" s="1"/>
  <c r="R269" i="19"/>
  <c r="U269" i="19" s="1"/>
  <c r="R277" i="19"/>
  <c r="U277" i="19" s="1"/>
  <c r="R284" i="19"/>
  <c r="U284" i="19" s="1"/>
  <c r="R292" i="19"/>
  <c r="U292" i="19" s="1"/>
  <c r="R298" i="19"/>
  <c r="U298" i="19" s="1"/>
  <c r="R305" i="19"/>
  <c r="U305" i="19" s="1"/>
  <c r="R88" i="19"/>
  <c r="U88" i="19" s="1"/>
  <c r="R189" i="19"/>
  <c r="U189" i="19" s="1"/>
  <c r="R172" i="19"/>
  <c r="U172" i="19" s="1"/>
  <c r="R179" i="19"/>
  <c r="U179" i="19" s="1"/>
  <c r="R242" i="19"/>
  <c r="U242" i="19" s="1"/>
  <c r="R288" i="19"/>
  <c r="U288" i="19" s="1"/>
  <c r="R161" i="19"/>
  <c r="U161" i="19" s="1"/>
  <c r="R206" i="19"/>
  <c r="U206" i="19" s="1"/>
  <c r="R213" i="19"/>
  <c r="U213" i="19" s="1"/>
  <c r="R82" i="19"/>
  <c r="U82" i="19" s="1"/>
  <c r="R21" i="19"/>
  <c r="U21" i="19" s="1"/>
  <c r="R29" i="19"/>
  <c r="U29" i="19" s="1"/>
  <c r="R33" i="19"/>
  <c r="U33" i="19" s="1"/>
  <c r="R48" i="19"/>
  <c r="U48" i="19" s="1"/>
  <c r="R217" i="19"/>
  <c r="U217" i="19" s="1"/>
  <c r="T70" i="19"/>
  <c r="T93" i="19"/>
  <c r="R93" i="19"/>
  <c r="U93" i="19" s="1"/>
  <c r="T85" i="19"/>
  <c r="R85" i="19"/>
  <c r="U85" i="19" s="1"/>
  <c r="T189" i="19"/>
  <c r="R203" i="19"/>
  <c r="U203" i="19" s="1"/>
  <c r="T206" i="19"/>
  <c r="R235" i="19"/>
  <c r="U235" i="19" s="1"/>
  <c r="T238" i="19"/>
  <c r="T109" i="19"/>
  <c r="R109" i="19"/>
  <c r="U109" i="19" s="1"/>
  <c r="T101" i="19"/>
  <c r="R101" i="19"/>
  <c r="U101" i="19" s="1"/>
  <c r="T198" i="19"/>
  <c r="T230" i="19"/>
  <c r="T33" i="19"/>
  <c r="T48" i="19"/>
  <c r="R11" i="19"/>
  <c r="U11" i="19" s="1"/>
  <c r="T82" i="19"/>
  <c r="R135" i="19"/>
  <c r="U135" i="19" s="1"/>
  <c r="R126" i="19"/>
  <c r="U126" i="19" s="1"/>
  <c r="R151" i="19"/>
  <c r="U151" i="19" s="1"/>
  <c r="R175" i="19"/>
  <c r="U175" i="19" s="1"/>
  <c r="R207" i="19"/>
  <c r="U207" i="19" s="1"/>
  <c r="T242" i="19"/>
  <c r="R275" i="19"/>
  <c r="U275" i="19" s="1"/>
  <c r="R291" i="19"/>
  <c r="U291" i="19" s="1"/>
  <c r="T305" i="19"/>
  <c r="T281" i="19"/>
  <c r="T296" i="19"/>
  <c r="R67" i="19"/>
  <c r="U67" i="19" s="1"/>
  <c r="R188" i="19"/>
  <c r="U188" i="19" s="1"/>
  <c r="R236" i="19"/>
  <c r="U236" i="19" s="1"/>
  <c r="R146" i="19"/>
  <c r="U146" i="19" s="1"/>
  <c r="R243" i="19"/>
  <c r="U243" i="19" s="1"/>
  <c r="T169" i="19"/>
  <c r="R107" i="19"/>
  <c r="U107" i="19" s="1"/>
  <c r="T107" i="19"/>
  <c r="T255" i="19"/>
  <c r="R255" i="19"/>
  <c r="U255" i="19" s="1"/>
  <c r="R150" i="19"/>
  <c r="U150" i="19" s="1"/>
  <c r="T257" i="19"/>
  <c r="R257" i="19"/>
  <c r="U257" i="19" s="1"/>
  <c r="T251" i="19"/>
  <c r="R251" i="19"/>
  <c r="U251" i="19" s="1"/>
  <c r="R75" i="19"/>
  <c r="U75" i="19" s="1"/>
  <c r="T75" i="19"/>
  <c r="R91" i="19"/>
  <c r="U91" i="19" s="1"/>
  <c r="T91" i="19"/>
  <c r="T253" i="19"/>
  <c r="R253" i="19"/>
  <c r="U253" i="19" s="1"/>
  <c r="T247" i="19"/>
  <c r="R247" i="19"/>
  <c r="U247" i="19" s="1"/>
  <c r="T65" i="19"/>
  <c r="R65" i="19"/>
  <c r="U65" i="19" s="1"/>
  <c r="R99" i="19"/>
  <c r="U99" i="19" s="1"/>
  <c r="T99" i="19"/>
  <c r="R140" i="19"/>
  <c r="U140" i="19" s="1"/>
  <c r="T249" i="19"/>
  <c r="R249" i="19"/>
  <c r="U249" i="19" s="1"/>
  <c r="R83" i="19"/>
  <c r="U83" i="19" s="1"/>
  <c r="T83" i="19"/>
  <c r="T105" i="19"/>
  <c r="R105" i="19"/>
  <c r="U105" i="19" s="1"/>
  <c r="T115" i="19"/>
  <c r="R115" i="19"/>
  <c r="U115" i="19" s="1"/>
  <c r="T245" i="19"/>
  <c r="R245" i="19"/>
  <c r="U245" i="19" s="1"/>
  <c r="T144" i="19"/>
  <c r="R144" i="19"/>
  <c r="U144" i="19" s="1"/>
  <c r="T97" i="19"/>
  <c r="R97" i="19"/>
  <c r="U97" i="19" s="1"/>
  <c r="T60" i="19"/>
  <c r="R60" i="19"/>
  <c r="U60" i="19" s="1"/>
  <c r="T89" i="19"/>
  <c r="R89" i="19"/>
  <c r="U89" i="19" s="1"/>
  <c r="T156" i="19"/>
  <c r="R156" i="19"/>
  <c r="U156" i="19" s="1"/>
  <c r="T113" i="19"/>
  <c r="R113" i="19"/>
  <c r="U113" i="19" s="1"/>
  <c r="R66" i="19"/>
  <c r="U66" i="19" s="1"/>
  <c r="T66" i="19"/>
  <c r="C275" i="33" l="1"/>
  <c r="C275" i="39"/>
  <c r="F226" i="32"/>
  <c r="G226" i="32" s="1"/>
  <c r="C226" i="33"/>
  <c r="C226" i="39"/>
  <c r="C286" i="39"/>
  <c r="C17" i="12"/>
  <c r="F286" i="32"/>
  <c r="G286" i="32" s="1"/>
  <c r="F147" i="32"/>
  <c r="G147" i="32" s="1"/>
  <c r="F309" i="32"/>
  <c r="G309" i="32" s="1"/>
  <c r="F247" i="32"/>
  <c r="G247" i="32" s="1"/>
  <c r="C147" i="33"/>
  <c r="C309" i="33"/>
  <c r="E309" i="33" s="1"/>
  <c r="D309" i="37" s="1"/>
  <c r="C247" i="33"/>
  <c r="F102" i="32"/>
  <c r="G102" i="32" s="1"/>
  <c r="C147" i="12"/>
  <c r="F15" i="32"/>
  <c r="G15" i="32" s="1"/>
  <c r="C102" i="12"/>
  <c r="C309" i="39"/>
  <c r="C15" i="39"/>
  <c r="C15" i="12"/>
  <c r="C102" i="33"/>
  <c r="F261" i="32"/>
  <c r="G261" i="32" s="1"/>
  <c r="C261" i="33"/>
  <c r="C271" i="34" s="1"/>
  <c r="C261" i="39"/>
  <c r="F258" i="32"/>
  <c r="G258" i="32" s="1"/>
  <c r="C258" i="33"/>
  <c r="C258" i="12"/>
  <c r="C255" i="33"/>
  <c r="E255" i="33" s="1"/>
  <c r="D255" i="37" s="1"/>
  <c r="C255" i="12"/>
  <c r="F238" i="32"/>
  <c r="G238" i="32" s="1"/>
  <c r="C238" i="33"/>
  <c r="C248" i="34" s="1"/>
  <c r="C238" i="12"/>
  <c r="C204" i="12"/>
  <c r="C204" i="39"/>
  <c r="C204" i="33"/>
  <c r="C189" i="33"/>
  <c r="E189" i="33" s="1"/>
  <c r="D189" i="37" s="1"/>
  <c r="C189" i="39"/>
  <c r="C180" i="39"/>
  <c r="C124" i="39"/>
  <c r="F124" i="32"/>
  <c r="G124" i="32" s="1"/>
  <c r="F61" i="32"/>
  <c r="G61" i="32" s="1"/>
  <c r="C61" i="33"/>
  <c r="C231" i="39"/>
  <c r="F199" i="32"/>
  <c r="G199" i="32" s="1"/>
  <c r="C301" i="39"/>
  <c r="F231" i="32"/>
  <c r="G231" i="32" s="1"/>
  <c r="C231" i="33"/>
  <c r="E231" i="33" s="1"/>
  <c r="D231" i="37" s="1"/>
  <c r="F295" i="32"/>
  <c r="G295" i="32" s="1"/>
  <c r="C295" i="39"/>
  <c r="C154" i="12"/>
  <c r="F269" i="32"/>
  <c r="G269" i="32" s="1"/>
  <c r="C269" i="33"/>
  <c r="C279" i="34" s="1"/>
  <c r="C269" i="12"/>
  <c r="F259" i="32"/>
  <c r="G259" i="32" s="1"/>
  <c r="C255" i="39"/>
  <c r="C156" i="33"/>
  <c r="F301" i="32"/>
  <c r="G301" i="32" s="1"/>
  <c r="C199" i="33"/>
  <c r="C209" i="34" s="1"/>
  <c r="C199" i="12"/>
  <c r="C72" i="33"/>
  <c r="C82" i="34" s="1"/>
  <c r="C301" i="33"/>
  <c r="C286" i="33"/>
  <c r="C91" i="33"/>
  <c r="E91" i="33" s="1"/>
  <c r="D91" i="37" s="1"/>
  <c r="C11" i="33"/>
  <c r="C21" i="34" s="1"/>
  <c r="F154" i="32"/>
  <c r="G154" i="32" s="1"/>
  <c r="C295" i="33"/>
  <c r="E295" i="33" s="1"/>
  <c r="D295" i="37" s="1"/>
  <c r="C39" i="33"/>
  <c r="C49" i="34" s="1"/>
  <c r="C7" i="39"/>
  <c r="F243" i="32"/>
  <c r="G243" i="32" s="1"/>
  <c r="C190" i="12"/>
  <c r="C101" i="12"/>
  <c r="C154" i="39"/>
  <c r="F39" i="32"/>
  <c r="G39" i="32" s="1"/>
  <c r="C91" i="39"/>
  <c r="F180" i="32"/>
  <c r="G180" i="32" s="1"/>
  <c r="C245" i="12"/>
  <c r="C50" i="33"/>
  <c r="C16" i="39"/>
  <c r="F50" i="32"/>
  <c r="G50" i="32" s="1"/>
  <c r="F165" i="32"/>
  <c r="G165" i="32" s="1"/>
  <c r="C72" i="12"/>
  <c r="C62" i="12"/>
  <c r="F183" i="32"/>
  <c r="G183" i="32" s="1"/>
  <c r="C135" i="33"/>
  <c r="E135" i="33" s="1"/>
  <c r="D135" i="37" s="1"/>
  <c r="C119" i="39"/>
  <c r="C165" i="12"/>
  <c r="C85" i="12"/>
  <c r="C50" i="12"/>
  <c r="C220" i="39"/>
  <c r="F306" i="32"/>
  <c r="G306" i="32" s="1"/>
  <c r="F42" i="32"/>
  <c r="G42" i="32" s="1"/>
  <c r="C259" i="12"/>
  <c r="C158" i="39"/>
  <c r="C183" i="12"/>
  <c r="C85" i="33"/>
  <c r="C95" i="34" s="1"/>
  <c r="C85" i="39"/>
  <c r="C11" i="39"/>
  <c r="C259" i="33"/>
  <c r="E259" i="33" s="1"/>
  <c r="D259" i="37" s="1"/>
  <c r="C158" i="33"/>
  <c r="C168" i="34" s="1"/>
  <c r="C25" i="33"/>
  <c r="E25" i="33" s="1"/>
  <c r="D25" i="37" s="1"/>
  <c r="C152" i="12"/>
  <c r="C42" i="33"/>
  <c r="C245" i="33"/>
  <c r="C255" i="34" s="1"/>
  <c r="F140" i="32"/>
  <c r="G140" i="32" s="1"/>
  <c r="C121" i="33"/>
  <c r="C131" i="34" s="1"/>
  <c r="C83" i="12"/>
  <c r="C313" i="39"/>
  <c r="C196" i="33"/>
  <c r="E196" i="33" s="1"/>
  <c r="D196" i="37" s="1"/>
  <c r="C196" i="39"/>
  <c r="F91" i="32"/>
  <c r="G91" i="32" s="1"/>
  <c r="F101" i="32"/>
  <c r="G101" i="32" s="1"/>
  <c r="C180" i="33"/>
  <c r="E180" i="33" s="1"/>
  <c r="D180" i="37" s="1"/>
  <c r="C284" i="39"/>
  <c r="C285" i="33"/>
  <c r="E285" i="33" s="1"/>
  <c r="D285" i="37" s="1"/>
  <c r="C123" i="39"/>
  <c r="F132" i="32"/>
  <c r="G132" i="32" s="1"/>
  <c r="C140" i="39"/>
  <c r="F196" i="32"/>
  <c r="G196" i="32" s="1"/>
  <c r="C75" i="33"/>
  <c r="E75" i="33" s="1"/>
  <c r="D75" i="37" s="1"/>
  <c r="C173" i="12"/>
  <c r="C27" i="33"/>
  <c r="E27" i="33" s="1"/>
  <c r="D27" i="37" s="1"/>
  <c r="F266" i="32"/>
  <c r="G266" i="32" s="1"/>
  <c r="C172" i="12"/>
  <c r="F121" i="32"/>
  <c r="G121" i="32" s="1"/>
  <c r="C83" i="33"/>
  <c r="E83" i="33" s="1"/>
  <c r="D83" i="37" s="1"/>
  <c r="C288" i="33"/>
  <c r="F313" i="32"/>
  <c r="G313" i="32" s="1"/>
  <c r="C313" i="33"/>
  <c r="C323" i="34" s="1"/>
  <c r="C311" i="12"/>
  <c r="C272" i="39"/>
  <c r="F273" i="32"/>
  <c r="G273" i="32" s="1"/>
  <c r="C272" i="33"/>
  <c r="C282" i="34" s="1"/>
  <c r="F272" i="32"/>
  <c r="G272" i="32" s="1"/>
  <c r="C271" i="33"/>
  <c r="E271" i="33" s="1"/>
  <c r="D271" i="37" s="1"/>
  <c r="F289" i="32"/>
  <c r="G289" i="32" s="1"/>
  <c r="C306" i="33"/>
  <c r="C316" i="34" s="1"/>
  <c r="C285" i="39"/>
  <c r="F284" i="32"/>
  <c r="G284" i="32" s="1"/>
  <c r="C289" i="33"/>
  <c r="E289" i="33" s="1"/>
  <c r="D289" i="37" s="1"/>
  <c r="C306" i="12"/>
  <c r="C284" i="12"/>
  <c r="C289" i="12"/>
  <c r="F285" i="32"/>
  <c r="G285" i="32" s="1"/>
  <c r="C57" i="33"/>
  <c r="E57" i="33" s="1"/>
  <c r="D57" i="37" s="1"/>
  <c r="C201" i="33"/>
  <c r="C211" i="34" s="1"/>
  <c r="C140" i="33"/>
  <c r="E140" i="33" s="1"/>
  <c r="D140" i="37" s="1"/>
  <c r="C225" i="12"/>
  <c r="C227" i="39"/>
  <c r="C236" i="12"/>
  <c r="C121" i="12"/>
  <c r="F219" i="32"/>
  <c r="G219" i="32" s="1"/>
  <c r="F23" i="32"/>
  <c r="G23" i="32" s="1"/>
  <c r="C83" i="39"/>
  <c r="C266" i="12"/>
  <c r="C209" i="39"/>
  <c r="C128" i="39"/>
  <c r="F184" i="32"/>
  <c r="G184" i="32" s="1"/>
  <c r="F193" i="32"/>
  <c r="G193" i="32" s="1"/>
  <c r="C95" i="33"/>
  <c r="E95" i="33" s="1"/>
  <c r="D95" i="37" s="1"/>
  <c r="C137" i="33"/>
  <c r="C147" i="34" s="1"/>
  <c r="F164" i="32"/>
  <c r="G164" i="32" s="1"/>
  <c r="C55" i="12"/>
  <c r="C266" i="39"/>
  <c r="C210" i="33"/>
  <c r="C220" i="34" s="1"/>
  <c r="C184" i="12"/>
  <c r="F210" i="32"/>
  <c r="G210" i="32" s="1"/>
  <c r="C253" i="33"/>
  <c r="C263" i="34" s="1"/>
  <c r="F128" i="32"/>
  <c r="G128" i="32" s="1"/>
  <c r="C225" i="39"/>
  <c r="C25" i="12"/>
  <c r="C57" i="12"/>
  <c r="F220" i="32"/>
  <c r="G220" i="32" s="1"/>
  <c r="F16" i="32"/>
  <c r="G16" i="32" s="1"/>
  <c r="C253" i="12"/>
  <c r="C164" i="12"/>
  <c r="C132" i="33"/>
  <c r="C142" i="34" s="1"/>
  <c r="C23" i="33"/>
  <c r="E23" i="33" s="1"/>
  <c r="D23" i="37" s="1"/>
  <c r="C128" i="33"/>
  <c r="C138" i="34" s="1"/>
  <c r="C225" i="33"/>
  <c r="C235" i="34" s="1"/>
  <c r="C227" i="33"/>
  <c r="E227" i="33" s="1"/>
  <c r="D227" i="37" s="1"/>
  <c r="C80" i="39"/>
  <c r="C95" i="39"/>
  <c r="C25" i="39"/>
  <c r="C57" i="39"/>
  <c r="C123" i="33"/>
  <c r="E123" i="33" s="1"/>
  <c r="D123" i="37" s="1"/>
  <c r="C103" i="39"/>
  <c r="C220" i="33"/>
  <c r="E220" i="33" s="1"/>
  <c r="D220" i="37" s="1"/>
  <c r="C16" i="33"/>
  <c r="E16" i="33" s="1"/>
  <c r="D16" i="37" s="1"/>
  <c r="C253" i="39"/>
  <c r="C164" i="39"/>
  <c r="C132" i="12"/>
  <c r="F55" i="32"/>
  <c r="G55" i="32" s="1"/>
  <c r="C23" i="39"/>
  <c r="C184" i="39"/>
  <c r="C210" i="12"/>
  <c r="F227" i="32"/>
  <c r="G227" i="32" s="1"/>
  <c r="C136" i="39"/>
  <c r="C95" i="12"/>
  <c r="F123" i="32"/>
  <c r="G123" i="32" s="1"/>
  <c r="C55" i="39"/>
  <c r="C195" i="33"/>
  <c r="C205" i="34" s="1"/>
  <c r="C239" i="12"/>
  <c r="F70" i="32"/>
  <c r="G70" i="32" s="1"/>
  <c r="C54" i="33"/>
  <c r="C64" i="34" s="1"/>
  <c r="C77" i="12"/>
  <c r="C153" i="33"/>
  <c r="C163" i="34" s="1"/>
  <c r="C72" i="39"/>
  <c r="C42" i="12"/>
  <c r="F161" i="32"/>
  <c r="G161" i="32" s="1"/>
  <c r="C158" i="12"/>
  <c r="C245" i="39"/>
  <c r="C183" i="39"/>
  <c r="C135" i="39"/>
  <c r="C165" i="33"/>
  <c r="E165" i="33" s="1"/>
  <c r="D165" i="37" s="1"/>
  <c r="C93" i="39"/>
  <c r="F12" i="32"/>
  <c r="G12" i="32" s="1"/>
  <c r="C60" i="39"/>
  <c r="F142" i="32"/>
  <c r="G142" i="32" s="1"/>
  <c r="F312" i="32"/>
  <c r="G312" i="32" s="1"/>
  <c r="C69" i="12"/>
  <c r="F233" i="32"/>
  <c r="G233" i="32" s="1"/>
  <c r="F56" i="32"/>
  <c r="G56" i="32" s="1"/>
  <c r="C200" i="12"/>
  <c r="C208" i="12"/>
  <c r="F97" i="32"/>
  <c r="G97" i="32" s="1"/>
  <c r="C270" i="33"/>
  <c r="C280" i="34" s="1"/>
  <c r="F194" i="32"/>
  <c r="G194" i="32" s="1"/>
  <c r="F217" i="32"/>
  <c r="G217" i="32" s="1"/>
  <c r="F48" i="32"/>
  <c r="G48" i="32" s="1"/>
  <c r="C67" i="12"/>
  <c r="F185" i="32"/>
  <c r="G185" i="32" s="1"/>
  <c r="C251" i="12"/>
  <c r="F49" i="32"/>
  <c r="G49" i="32" s="1"/>
  <c r="C214" i="33"/>
  <c r="E214" i="33" s="1"/>
  <c r="D214" i="37" s="1"/>
  <c r="F215" i="32"/>
  <c r="G215" i="32" s="1"/>
  <c r="C79" i="12"/>
  <c r="C221" i="33"/>
  <c r="E221" i="33" s="1"/>
  <c r="D221" i="37" s="1"/>
  <c r="C110" i="33"/>
  <c r="E110" i="33" s="1"/>
  <c r="D110" i="37" s="1"/>
  <c r="F33" i="32"/>
  <c r="G33" i="32" s="1"/>
  <c r="F63" i="32"/>
  <c r="G63" i="32" s="1"/>
  <c r="C107" i="12"/>
  <c r="C169" i="39"/>
  <c r="C126" i="33"/>
  <c r="C136" i="34" s="1"/>
  <c r="C116" i="39"/>
  <c r="F69" i="32"/>
  <c r="G69" i="32" s="1"/>
  <c r="C233" i="33"/>
  <c r="E233" i="33" s="1"/>
  <c r="D233" i="37" s="1"/>
  <c r="C217" i="33"/>
  <c r="C227" i="34" s="1"/>
  <c r="C190" i="33"/>
  <c r="C200" i="34" s="1"/>
  <c r="C110" i="39"/>
  <c r="C56" i="33"/>
  <c r="C66" i="34" s="1"/>
  <c r="C48" i="33"/>
  <c r="C58" i="34" s="1"/>
  <c r="C33" i="33"/>
  <c r="C43" i="34" s="1"/>
  <c r="C67" i="39"/>
  <c r="C153" i="12"/>
  <c r="C185" i="33"/>
  <c r="E185" i="33" s="1"/>
  <c r="D185" i="37" s="1"/>
  <c r="C208" i="39"/>
  <c r="C251" i="39"/>
  <c r="C97" i="33"/>
  <c r="E97" i="33" s="1"/>
  <c r="D97" i="37" s="1"/>
  <c r="C49" i="33"/>
  <c r="E49" i="33" s="1"/>
  <c r="D49" i="37" s="1"/>
  <c r="C63" i="33"/>
  <c r="E63" i="33" s="1"/>
  <c r="D63" i="37" s="1"/>
  <c r="C12" i="33"/>
  <c r="E12" i="33" s="1"/>
  <c r="D12" i="37" s="1"/>
  <c r="C107" i="39"/>
  <c r="F169" i="32"/>
  <c r="G169" i="32" s="1"/>
  <c r="C215" i="12"/>
  <c r="C126" i="39"/>
  <c r="C54" i="39"/>
  <c r="C77" i="39"/>
  <c r="C221" i="12"/>
  <c r="C161" i="33"/>
  <c r="E161" i="33" s="1"/>
  <c r="D161" i="37" s="1"/>
  <c r="C194" i="33"/>
  <c r="C204" i="34" s="1"/>
  <c r="F116" i="32"/>
  <c r="G116" i="32" s="1"/>
  <c r="F118" i="32"/>
  <c r="G118" i="32" s="1"/>
  <c r="C69" i="33"/>
  <c r="C79" i="34" s="1"/>
  <c r="C233" i="12"/>
  <c r="C217" i="12"/>
  <c r="F190" i="32"/>
  <c r="G190" i="32" s="1"/>
  <c r="C110" i="12"/>
  <c r="C56" i="12"/>
  <c r="C48" i="12"/>
  <c r="C33" i="12"/>
  <c r="F67" i="32"/>
  <c r="G67" i="32" s="1"/>
  <c r="C153" i="39"/>
  <c r="C185" i="12"/>
  <c r="F208" i="32"/>
  <c r="G208" i="32" s="1"/>
  <c r="F251" i="32"/>
  <c r="G251" i="32" s="1"/>
  <c r="C97" i="12"/>
  <c r="C49" i="12"/>
  <c r="C63" i="12"/>
  <c r="C12" i="12"/>
  <c r="F107" i="32"/>
  <c r="G107" i="32" s="1"/>
  <c r="C169" i="33"/>
  <c r="E169" i="33" s="1"/>
  <c r="D169" i="37" s="1"/>
  <c r="C215" i="39"/>
  <c r="C126" i="12"/>
  <c r="C54" i="12"/>
  <c r="F77" i="32"/>
  <c r="G77" i="32" s="1"/>
  <c r="C221" i="39"/>
  <c r="C161" i="12"/>
  <c r="C194" i="12"/>
  <c r="C116" i="33"/>
  <c r="E116" i="33" s="1"/>
  <c r="D116" i="37" s="1"/>
  <c r="C118" i="33"/>
  <c r="C128" i="34" s="1"/>
  <c r="C280" i="12"/>
  <c r="C296" i="12"/>
  <c r="C310" i="39"/>
  <c r="C312" i="33"/>
  <c r="E312" i="33" s="1"/>
  <c r="D312" i="37" s="1"/>
  <c r="C296" i="39"/>
  <c r="F310" i="32"/>
  <c r="G310" i="32" s="1"/>
  <c r="C280" i="39"/>
  <c r="C312" i="12"/>
  <c r="F296" i="32"/>
  <c r="G296" i="32" s="1"/>
  <c r="C310" i="33"/>
  <c r="C320" i="34" s="1"/>
  <c r="F280" i="32"/>
  <c r="G280" i="32" s="1"/>
  <c r="C311" i="39"/>
  <c r="C278" i="12"/>
  <c r="F311" i="32"/>
  <c r="G311" i="32" s="1"/>
  <c r="F26" i="32"/>
  <c r="G26" i="32" s="1"/>
  <c r="F201" i="32"/>
  <c r="G201" i="32" s="1"/>
  <c r="C193" i="33"/>
  <c r="E193" i="33" s="1"/>
  <c r="D193" i="37" s="1"/>
  <c r="C172" i="39"/>
  <c r="C75" i="12"/>
  <c r="C200" i="39"/>
  <c r="C173" i="39"/>
  <c r="C278" i="39"/>
  <c r="C236" i="39"/>
  <c r="C137" i="12"/>
  <c r="C27" i="12"/>
  <c r="C219" i="12"/>
  <c r="C271" i="12"/>
  <c r="C270" i="12"/>
  <c r="C214" i="12"/>
  <c r="F78" i="32"/>
  <c r="G78" i="32" s="1"/>
  <c r="C79" i="39"/>
  <c r="C209" i="33"/>
  <c r="E209" i="33" s="1"/>
  <c r="D209" i="37" s="1"/>
  <c r="C26" i="12"/>
  <c r="C201" i="12"/>
  <c r="C193" i="12"/>
  <c r="C172" i="33"/>
  <c r="E172" i="33" s="1"/>
  <c r="D172" i="37" s="1"/>
  <c r="C75" i="39"/>
  <c r="C200" i="33"/>
  <c r="E200" i="33" s="1"/>
  <c r="D200" i="37" s="1"/>
  <c r="F173" i="32"/>
  <c r="G173" i="32" s="1"/>
  <c r="F278" i="32"/>
  <c r="G278" i="32" s="1"/>
  <c r="C236" i="33"/>
  <c r="E236" i="33" s="1"/>
  <c r="D236" i="37" s="1"/>
  <c r="C137" i="39"/>
  <c r="C27" i="39"/>
  <c r="C219" i="39"/>
  <c r="C271" i="39"/>
  <c r="C270" i="39"/>
  <c r="C214" i="39"/>
  <c r="F41" i="32"/>
  <c r="G41" i="32" s="1"/>
  <c r="F79" i="32"/>
  <c r="G79" i="32" s="1"/>
  <c r="C298" i="33"/>
  <c r="C308" i="34" s="1"/>
  <c r="F209" i="32"/>
  <c r="G209" i="32" s="1"/>
  <c r="F144" i="32"/>
  <c r="G144" i="32" s="1"/>
  <c r="C41" i="12"/>
  <c r="C298" i="12"/>
  <c r="C144" i="12"/>
  <c r="C36" i="39"/>
  <c r="C41" i="33"/>
  <c r="E41" i="33" s="1"/>
  <c r="D41" i="37" s="1"/>
  <c r="C298" i="39"/>
  <c r="C144" i="39"/>
  <c r="C308" i="33"/>
  <c r="E308" i="33" s="1"/>
  <c r="D308" i="37" s="1"/>
  <c r="C24" i="12"/>
  <c r="C26" i="33"/>
  <c r="C36" i="34" s="1"/>
  <c r="C308" i="12"/>
  <c r="F7" i="32"/>
  <c r="G7" i="32" s="1"/>
  <c r="F135" i="32"/>
  <c r="G135" i="32" s="1"/>
  <c r="C152" i="33"/>
  <c r="C162" i="34" s="1"/>
  <c r="C7" i="33"/>
  <c r="E7" i="33" s="1"/>
  <c r="D7" i="37" s="1"/>
  <c r="C29" i="12"/>
  <c r="C142" i="33"/>
  <c r="E142" i="33" s="1"/>
  <c r="D142" i="37" s="1"/>
  <c r="F281" i="32"/>
  <c r="G281" i="32" s="1"/>
  <c r="C243" i="33"/>
  <c r="E243" i="33" s="1"/>
  <c r="D243" i="37" s="1"/>
  <c r="F36" i="32"/>
  <c r="G36" i="32" s="1"/>
  <c r="C86" i="33"/>
  <c r="E86" i="33" s="1"/>
  <c r="D86" i="37" s="1"/>
  <c r="C78" i="39"/>
  <c r="C29" i="39"/>
  <c r="C288" i="12"/>
  <c r="F131" i="32"/>
  <c r="G131" i="32" s="1"/>
  <c r="C288" i="39"/>
  <c r="C198" i="12"/>
  <c r="C131" i="33"/>
  <c r="E131" i="33" s="1"/>
  <c r="D131" i="37" s="1"/>
  <c r="C43" i="33"/>
  <c r="C53" i="34" s="1"/>
  <c r="C162" i="33"/>
  <c r="C172" i="34" s="1"/>
  <c r="F129" i="32"/>
  <c r="G129" i="32" s="1"/>
  <c r="F120" i="32"/>
  <c r="G120" i="32" s="1"/>
  <c r="C131" i="12"/>
  <c r="C43" i="39"/>
  <c r="C120" i="12"/>
  <c r="C53" i="33"/>
  <c r="C63" i="34" s="1"/>
  <c r="C53" i="12"/>
  <c r="C159" i="33"/>
  <c r="E159" i="33" s="1"/>
  <c r="D159" i="37" s="1"/>
  <c r="C89" i="39"/>
  <c r="F29" i="32"/>
  <c r="G29" i="32" s="1"/>
  <c r="C159" i="39"/>
  <c r="F181" i="32"/>
  <c r="G181" i="32" s="1"/>
  <c r="F179" i="32"/>
  <c r="G179" i="32" s="1"/>
  <c r="C93" i="33"/>
  <c r="C103" i="34" s="1"/>
  <c r="F211" i="32"/>
  <c r="G211" i="32" s="1"/>
  <c r="C273" i="33"/>
  <c r="E273" i="33" s="1"/>
  <c r="D273" i="37" s="1"/>
  <c r="C195" i="12"/>
  <c r="F308" i="32"/>
  <c r="G308" i="32" s="1"/>
  <c r="C152" i="39"/>
  <c r="C239" i="39"/>
  <c r="C36" i="33"/>
  <c r="E36" i="33" s="1"/>
  <c r="D36" i="37" s="1"/>
  <c r="C70" i="33"/>
  <c r="E70" i="33" s="1"/>
  <c r="D70" i="37" s="1"/>
  <c r="C243" i="12"/>
  <c r="C142" i="39"/>
  <c r="C86" i="39"/>
  <c r="C181" i="33"/>
  <c r="E181" i="33" s="1"/>
  <c r="D181" i="37" s="1"/>
  <c r="C179" i="33"/>
  <c r="E179" i="33" s="1"/>
  <c r="D179" i="37" s="1"/>
  <c r="C211" i="33"/>
  <c r="E211" i="33" s="1"/>
  <c r="D211" i="37" s="1"/>
  <c r="C273" i="12"/>
  <c r="C195" i="39"/>
  <c r="C70" i="39"/>
  <c r="F30" i="32"/>
  <c r="G30" i="32" s="1"/>
  <c r="C86" i="12"/>
  <c r="C181" i="12"/>
  <c r="C179" i="39"/>
  <c r="C211" i="39"/>
  <c r="C40" i="33"/>
  <c r="E40" i="33" s="1"/>
  <c r="D40" i="37" s="1"/>
  <c r="F60" i="32"/>
  <c r="G60" i="32" s="1"/>
  <c r="F22" i="32"/>
  <c r="G22" i="32" s="1"/>
  <c r="F62" i="32"/>
  <c r="G62" i="32" s="1"/>
  <c r="F136" i="32"/>
  <c r="G136" i="32" s="1"/>
  <c r="F80" i="32"/>
  <c r="G80" i="32" s="1"/>
  <c r="F103" i="32"/>
  <c r="G103" i="32" s="1"/>
  <c r="C40" i="12"/>
  <c r="C232" i="39"/>
  <c r="C60" i="33"/>
  <c r="C70" i="34" s="1"/>
  <c r="C94" i="39"/>
  <c r="C22" i="33"/>
  <c r="C32" i="34" s="1"/>
  <c r="C62" i="33"/>
  <c r="E62" i="33" s="1"/>
  <c r="D62" i="37" s="1"/>
  <c r="F40" i="32"/>
  <c r="G40" i="32" s="1"/>
  <c r="C136" i="33"/>
  <c r="E136" i="33" s="1"/>
  <c r="D136" i="37" s="1"/>
  <c r="C80" i="33"/>
  <c r="E80" i="33" s="1"/>
  <c r="D80" i="37" s="1"/>
  <c r="C103" i="33"/>
  <c r="E103" i="33" s="1"/>
  <c r="D103" i="37" s="1"/>
  <c r="F239" i="32"/>
  <c r="G239" i="32" s="1"/>
  <c r="F191" i="32"/>
  <c r="G191" i="32" s="1"/>
  <c r="C22" i="39"/>
  <c r="C93" i="12"/>
  <c r="C53" i="39"/>
  <c r="C43" i="12"/>
  <c r="C11" i="12"/>
  <c r="C159" i="12"/>
  <c r="F162" i="32"/>
  <c r="G162" i="32" s="1"/>
  <c r="C78" i="33"/>
  <c r="E78" i="33" s="1"/>
  <c r="D78" i="37" s="1"/>
  <c r="C120" i="33"/>
  <c r="E120" i="33" s="1"/>
  <c r="D120" i="37" s="1"/>
  <c r="F19" i="32"/>
  <c r="G19" i="32" s="1"/>
  <c r="F46" i="32"/>
  <c r="G46" i="32" s="1"/>
  <c r="F267" i="32"/>
  <c r="G267" i="32" s="1"/>
  <c r="C162" i="12"/>
  <c r="C191" i="33"/>
  <c r="C201" i="34" s="1"/>
  <c r="C129" i="33"/>
  <c r="C139" i="34" s="1"/>
  <c r="C46" i="33"/>
  <c r="E46" i="33" s="1"/>
  <c r="D46" i="37" s="1"/>
  <c r="C267" i="33"/>
  <c r="E267" i="33" s="1"/>
  <c r="D267" i="37" s="1"/>
  <c r="C191" i="12"/>
  <c r="C129" i="12"/>
  <c r="C46" i="39"/>
  <c r="F89" i="32"/>
  <c r="G89" i="32" s="1"/>
  <c r="C267" i="12"/>
  <c r="F198" i="32"/>
  <c r="G198" i="32" s="1"/>
  <c r="C163" i="39"/>
  <c r="C89" i="33"/>
  <c r="C99" i="34" s="1"/>
  <c r="C198" i="33"/>
  <c r="C208" i="34" s="1"/>
  <c r="F163" i="32"/>
  <c r="G163" i="32" s="1"/>
  <c r="F232" i="32"/>
  <c r="G232" i="32" s="1"/>
  <c r="C170" i="33"/>
  <c r="C180" i="34" s="1"/>
  <c r="C24" i="39"/>
  <c r="C94" i="12"/>
  <c r="C30" i="33"/>
  <c r="C40" i="34" s="1"/>
  <c r="C19" i="33"/>
  <c r="C29" i="34" s="1"/>
  <c r="C207" i="39"/>
  <c r="F299" i="32"/>
  <c r="G299" i="32" s="1"/>
  <c r="C229" i="12"/>
  <c r="C163" i="33"/>
  <c r="E163" i="33" s="1"/>
  <c r="D163" i="37" s="1"/>
  <c r="C232" i="33"/>
  <c r="C242" i="34" s="1"/>
  <c r="F24" i="32"/>
  <c r="G24" i="32" s="1"/>
  <c r="F94" i="32"/>
  <c r="G94" i="32" s="1"/>
  <c r="C30" i="39"/>
  <c r="C19" i="12"/>
  <c r="C177" i="12"/>
  <c r="C99" i="33"/>
  <c r="E99" i="33" s="1"/>
  <c r="D99" i="37" s="1"/>
  <c r="F119" i="32"/>
  <c r="G119" i="32" s="1"/>
  <c r="F207" i="32"/>
  <c r="G207" i="32" s="1"/>
  <c r="C299" i="33"/>
  <c r="C309" i="34" s="1"/>
  <c r="C281" i="33"/>
  <c r="E281" i="33" s="1"/>
  <c r="D281" i="37" s="1"/>
  <c r="C229" i="39"/>
  <c r="C177" i="39"/>
  <c r="C99" i="12"/>
  <c r="F170" i="32"/>
  <c r="G170" i="32" s="1"/>
  <c r="C119" i="33"/>
  <c r="C129" i="34" s="1"/>
  <c r="C207" i="33"/>
  <c r="E207" i="33" s="1"/>
  <c r="D207" i="37" s="1"/>
  <c r="C299" i="12"/>
  <c r="C281" i="12"/>
  <c r="F229" i="32"/>
  <c r="G229" i="32" s="1"/>
  <c r="F177" i="32"/>
  <c r="G177" i="32" s="1"/>
  <c r="C99" i="39"/>
  <c r="C170" i="12"/>
  <c r="C112" i="39"/>
  <c r="C112" i="12"/>
  <c r="C112" i="33"/>
  <c r="F112" i="32"/>
  <c r="G112" i="32" s="1"/>
  <c r="C96" i="39"/>
  <c r="C96" i="12"/>
  <c r="C96" i="33"/>
  <c r="F96" i="32"/>
  <c r="G96" i="32" s="1"/>
  <c r="C104" i="39"/>
  <c r="C104" i="12"/>
  <c r="C104" i="33"/>
  <c r="F104" i="32"/>
  <c r="G104" i="32" s="1"/>
  <c r="C98" i="39"/>
  <c r="C98" i="12"/>
  <c r="C98" i="33"/>
  <c r="F98" i="32"/>
  <c r="G98" i="32" s="1"/>
  <c r="C90" i="39"/>
  <c r="C90" i="12"/>
  <c r="C90" i="33"/>
  <c r="F90" i="32"/>
  <c r="G90" i="32" s="1"/>
  <c r="C254" i="39"/>
  <c r="C254" i="12"/>
  <c r="C254" i="33"/>
  <c r="F254" i="32"/>
  <c r="G254" i="32" s="1"/>
  <c r="C187" i="39"/>
  <c r="C187" i="12"/>
  <c r="F187" i="32"/>
  <c r="G187" i="32" s="1"/>
  <c r="C187" i="33"/>
  <c r="C206" i="39"/>
  <c r="C206" i="12"/>
  <c r="C206" i="33"/>
  <c r="F206" i="32"/>
  <c r="G206" i="32" s="1"/>
  <c r="C64" i="39"/>
  <c r="C64" i="12"/>
  <c r="C64" i="33"/>
  <c r="F64" i="32"/>
  <c r="G64" i="32" s="1"/>
  <c r="C252" i="39"/>
  <c r="C252" i="12"/>
  <c r="F252" i="32"/>
  <c r="G252" i="32" s="1"/>
  <c r="C252" i="33"/>
  <c r="C256" i="39"/>
  <c r="C256" i="12"/>
  <c r="C256" i="33"/>
  <c r="F256" i="32"/>
  <c r="G256" i="32" s="1"/>
  <c r="C242" i="39"/>
  <c r="C242" i="12"/>
  <c r="C242" i="33"/>
  <c r="F242" i="32"/>
  <c r="G242" i="32" s="1"/>
  <c r="C66" i="39"/>
  <c r="C66" i="12"/>
  <c r="C66" i="33"/>
  <c r="F66" i="32"/>
  <c r="G66" i="32" s="1"/>
  <c r="C290" i="39"/>
  <c r="C290" i="12"/>
  <c r="C290" i="33"/>
  <c r="F290" i="32"/>
  <c r="G290" i="32" s="1"/>
  <c r="C174" i="12"/>
  <c r="C174" i="39"/>
  <c r="F174" i="32"/>
  <c r="G174" i="32" s="1"/>
  <c r="C174" i="33"/>
  <c r="C108" i="39"/>
  <c r="C108" i="12"/>
  <c r="C108" i="33"/>
  <c r="F108" i="32"/>
  <c r="G108" i="32" s="1"/>
  <c r="C216" i="39"/>
  <c r="C216" i="12"/>
  <c r="C216" i="33"/>
  <c r="F216" i="32"/>
  <c r="G216" i="32" s="1"/>
  <c r="C20" i="39"/>
  <c r="C20" i="12"/>
  <c r="C20" i="33"/>
  <c r="G20" i="32"/>
  <c r="C160" i="39"/>
  <c r="C160" i="12"/>
  <c r="C160" i="33"/>
  <c r="F160" i="32"/>
  <c r="G160" i="32" s="1"/>
  <c r="C171" i="39"/>
  <c r="C171" i="12"/>
  <c r="F171" i="32"/>
  <c r="G171" i="32" s="1"/>
  <c r="C171" i="33"/>
  <c r="C297" i="39"/>
  <c r="C297" i="12"/>
  <c r="F297" i="32"/>
  <c r="G297" i="32" s="1"/>
  <c r="C297" i="33"/>
  <c r="C268" i="39"/>
  <c r="C268" i="12"/>
  <c r="F268" i="32"/>
  <c r="G268" i="32" s="1"/>
  <c r="C268" i="33"/>
  <c r="C21" i="39"/>
  <c r="C21" i="12"/>
  <c r="C21" i="33"/>
  <c r="F21" i="32"/>
  <c r="G21" i="32" s="1"/>
  <c r="C197" i="12"/>
  <c r="C197" i="39"/>
  <c r="C197" i="33"/>
  <c r="F197" i="32"/>
  <c r="G197" i="32" s="1"/>
  <c r="C307" i="39"/>
  <c r="C307" i="12"/>
  <c r="C307" i="33"/>
  <c r="F307" i="32"/>
  <c r="G307" i="32" s="1"/>
  <c r="C31" i="12"/>
  <c r="C31" i="39"/>
  <c r="C31" i="33"/>
  <c r="F31" i="32"/>
  <c r="G31" i="32" s="1"/>
  <c r="C14" i="12"/>
  <c r="C14" i="39"/>
  <c r="C14" i="33"/>
  <c r="F14" i="32"/>
  <c r="G14" i="32" s="1"/>
  <c r="C222" i="39"/>
  <c r="C222" i="12"/>
  <c r="F222" i="32"/>
  <c r="G222" i="32" s="1"/>
  <c r="C222" i="33"/>
  <c r="E119" i="33"/>
  <c r="D119" i="37" s="1"/>
  <c r="C13" i="39"/>
  <c r="C13" i="12"/>
  <c r="C13" i="33"/>
  <c r="F13" i="32"/>
  <c r="G13" i="32" s="1"/>
  <c r="C167" i="39"/>
  <c r="C167" i="12"/>
  <c r="F167" i="32"/>
  <c r="G167" i="32" s="1"/>
  <c r="C167" i="33"/>
  <c r="C264" i="39"/>
  <c r="C264" i="12"/>
  <c r="C264" i="33"/>
  <c r="F264" i="32"/>
  <c r="G264" i="32" s="1"/>
  <c r="C263" i="39"/>
  <c r="C263" i="12"/>
  <c r="C263" i="33"/>
  <c r="F263" i="32"/>
  <c r="G263" i="32" s="1"/>
  <c r="C35" i="39"/>
  <c r="C35" i="12"/>
  <c r="C35" i="33"/>
  <c r="F35" i="32"/>
  <c r="G35" i="32" s="1"/>
  <c r="C246" i="34"/>
  <c r="E223" i="33"/>
  <c r="D223" i="37" s="1"/>
  <c r="C233" i="34"/>
  <c r="C73" i="39"/>
  <c r="C73" i="12"/>
  <c r="C73" i="33"/>
  <c r="F73" i="32"/>
  <c r="G73" i="32" s="1"/>
  <c r="C87" i="34"/>
  <c r="E77" i="33"/>
  <c r="D77" i="37" s="1"/>
  <c r="E184" i="33"/>
  <c r="D184" i="37" s="1"/>
  <c r="C194" i="34"/>
  <c r="C193" i="34"/>
  <c r="E183" i="33"/>
  <c r="D183" i="37" s="1"/>
  <c r="E17" i="33"/>
  <c r="D17" i="37" s="1"/>
  <c r="C27" i="34"/>
  <c r="C155" i="39"/>
  <c r="C155" i="12"/>
  <c r="C155" i="33"/>
  <c r="F155" i="32"/>
  <c r="G155" i="32" s="1"/>
  <c r="C143" i="39"/>
  <c r="C143" i="12"/>
  <c r="C143" i="33"/>
  <c r="F143" i="32"/>
  <c r="G143" i="32" s="1"/>
  <c r="C74" i="39"/>
  <c r="C74" i="12"/>
  <c r="C74" i="33"/>
  <c r="F74" i="32"/>
  <c r="G74" i="32" s="1"/>
  <c r="C150" i="12"/>
  <c r="C150" i="39"/>
  <c r="C150" i="33"/>
  <c r="F150" i="32"/>
  <c r="G150" i="32" s="1"/>
  <c r="C202" i="39"/>
  <c r="C202" i="12"/>
  <c r="F202" i="32"/>
  <c r="G202" i="32" s="1"/>
  <c r="C202" i="33"/>
  <c r="C92" i="39"/>
  <c r="C92" i="12"/>
  <c r="C92" i="33"/>
  <c r="F92" i="32"/>
  <c r="G92" i="32" s="1"/>
  <c r="C47" i="39"/>
  <c r="C47" i="12"/>
  <c r="C47" i="33"/>
  <c r="F47" i="32"/>
  <c r="G47" i="32" s="1"/>
  <c r="C81" i="39"/>
  <c r="C81" i="12"/>
  <c r="C81" i="33"/>
  <c r="F81" i="32"/>
  <c r="G81" i="32" s="1"/>
  <c r="C287" i="39"/>
  <c r="C287" i="12"/>
  <c r="C287" i="33"/>
  <c r="F287" i="32"/>
  <c r="G287" i="32" s="1"/>
  <c r="C188" i="39"/>
  <c r="C188" i="12"/>
  <c r="F188" i="32"/>
  <c r="G188" i="32" s="1"/>
  <c r="C188" i="33"/>
  <c r="C291" i="39"/>
  <c r="C291" i="12"/>
  <c r="C291" i="33"/>
  <c r="F291" i="32"/>
  <c r="G291" i="32" s="1"/>
  <c r="C237" i="39"/>
  <c r="C237" i="12"/>
  <c r="C237" i="33"/>
  <c r="F237" i="32"/>
  <c r="G237" i="32" s="1"/>
  <c r="C230" i="39"/>
  <c r="C230" i="12"/>
  <c r="C230" i="33"/>
  <c r="F230" i="32"/>
  <c r="G230" i="32" s="1"/>
  <c r="C192" i="39"/>
  <c r="C192" i="12"/>
  <c r="C192" i="33"/>
  <c r="F192" i="32"/>
  <c r="G192" i="32" s="1"/>
  <c r="C138" i="39"/>
  <c r="C138" i="12"/>
  <c r="C138" i="33"/>
  <c r="F138" i="32"/>
  <c r="G138" i="32" s="1"/>
  <c r="C130" i="39"/>
  <c r="C130" i="12"/>
  <c r="C130" i="33"/>
  <c r="F130" i="32"/>
  <c r="G130" i="32" s="1"/>
  <c r="C151" i="39"/>
  <c r="C151" i="12"/>
  <c r="C151" i="33"/>
  <c r="F151" i="32"/>
  <c r="G151" i="32" s="1"/>
  <c r="C294" i="39"/>
  <c r="C294" i="12"/>
  <c r="C294" i="33"/>
  <c r="F294" i="32"/>
  <c r="G294" i="32" s="1"/>
  <c r="C224" i="39"/>
  <c r="C224" i="12"/>
  <c r="C224" i="33"/>
  <c r="F224" i="32"/>
  <c r="G224" i="32" s="1"/>
  <c r="E201" i="33"/>
  <c r="D201" i="37" s="1"/>
  <c r="C117" i="12"/>
  <c r="C117" i="39"/>
  <c r="C117" i="33"/>
  <c r="F117" i="32"/>
  <c r="G117" i="32" s="1"/>
  <c r="C259" i="34"/>
  <c r="E249" i="33"/>
  <c r="D249" i="37" s="1"/>
  <c r="E67" i="33"/>
  <c r="D67" i="37" s="1"/>
  <c r="C77" i="34"/>
  <c r="C213" i="39"/>
  <c r="C213" i="12"/>
  <c r="C213" i="33"/>
  <c r="F213" i="32"/>
  <c r="G213" i="32" s="1"/>
  <c r="E173" i="33"/>
  <c r="D173" i="37" s="1"/>
  <c r="C183" i="34"/>
  <c r="E293" i="33"/>
  <c r="D293" i="37" s="1"/>
  <c r="C303" i="34"/>
  <c r="C275" i="34"/>
  <c r="E265" i="33"/>
  <c r="D265" i="37" s="1"/>
  <c r="C288" i="34"/>
  <c r="E278" i="33"/>
  <c r="D278" i="37" s="1"/>
  <c r="C268" i="34"/>
  <c r="E258" i="33"/>
  <c r="D258" i="37" s="1"/>
  <c r="C218" i="34"/>
  <c r="E208" i="33"/>
  <c r="D208" i="37" s="1"/>
  <c r="E251" i="33"/>
  <c r="D251" i="37" s="1"/>
  <c r="C261" i="34"/>
  <c r="E228" i="33"/>
  <c r="D228" i="37" s="1"/>
  <c r="C238" i="34"/>
  <c r="E111" i="33"/>
  <c r="D111" i="37" s="1"/>
  <c r="C121" i="34"/>
  <c r="E219" i="33"/>
  <c r="D219" i="37" s="1"/>
  <c r="C229" i="34"/>
  <c r="E280" i="33"/>
  <c r="D280" i="37" s="1"/>
  <c r="C290" i="34"/>
  <c r="E39" i="33"/>
  <c r="D39" i="37" s="1"/>
  <c r="C228" i="34"/>
  <c r="E218" i="33"/>
  <c r="D218" i="37" s="1"/>
  <c r="C196" i="34"/>
  <c r="E186" i="33"/>
  <c r="D186" i="37" s="1"/>
  <c r="E164" i="33"/>
  <c r="D164" i="37" s="1"/>
  <c r="C174" i="34"/>
  <c r="E215" i="33"/>
  <c r="D215" i="37" s="1"/>
  <c r="C225" i="34"/>
  <c r="C71" i="34"/>
  <c r="E61" i="33"/>
  <c r="D61" i="37" s="1"/>
  <c r="E55" i="33"/>
  <c r="D55" i="37" s="1"/>
  <c r="C65" i="34"/>
  <c r="E24" i="33"/>
  <c r="D24" i="37" s="1"/>
  <c r="C34" i="34"/>
  <c r="C54" i="34"/>
  <c r="E44" i="33"/>
  <c r="D44" i="37" s="1"/>
  <c r="C51" i="34"/>
  <c r="C52" i="34"/>
  <c r="E42" i="33"/>
  <c r="D42" i="37" s="1"/>
  <c r="C112" i="34"/>
  <c r="E102" i="33"/>
  <c r="D102" i="37" s="1"/>
  <c r="E94" i="33"/>
  <c r="D94" i="37" s="1"/>
  <c r="C104" i="34"/>
  <c r="E79" i="33"/>
  <c r="D79" i="37" s="1"/>
  <c r="C89" i="34"/>
  <c r="E29" i="33"/>
  <c r="D29" i="37" s="1"/>
  <c r="C39" i="34"/>
  <c r="C48" i="34"/>
  <c r="E38" i="33"/>
  <c r="D38" i="37" s="1"/>
  <c r="C19" i="34"/>
  <c r="E9" i="33"/>
  <c r="D9" i="37" s="1"/>
  <c r="E277" i="33"/>
  <c r="D277" i="37" s="1"/>
  <c r="C287" i="34"/>
  <c r="C313" i="34"/>
  <c r="E303" i="33"/>
  <c r="D303" i="37" s="1"/>
  <c r="C276" i="34"/>
  <c r="E266" i="33"/>
  <c r="D266" i="37" s="1"/>
  <c r="C231" i="34"/>
  <c r="E204" i="33"/>
  <c r="D204" i="37" s="1"/>
  <c r="C214" i="34"/>
  <c r="E203" i="33"/>
  <c r="D203" i="37" s="1"/>
  <c r="C213" i="34"/>
  <c r="C152" i="34"/>
  <c r="E144" i="33"/>
  <c r="D144" i="37" s="1"/>
  <c r="C154" i="34"/>
  <c r="C59" i="39"/>
  <c r="C59" i="12"/>
  <c r="C59" i="33"/>
  <c r="F59" i="32"/>
  <c r="G59" i="32" s="1"/>
  <c r="C114" i="39"/>
  <c r="C114" i="12"/>
  <c r="C114" i="33"/>
  <c r="F114" i="32"/>
  <c r="G114" i="32" s="1"/>
  <c r="C139" i="39"/>
  <c r="C139" i="12"/>
  <c r="C139" i="33"/>
  <c r="F139" i="32"/>
  <c r="G139" i="32" s="1"/>
  <c r="C145" i="39"/>
  <c r="C145" i="12"/>
  <c r="C145" i="33"/>
  <c r="F145" i="32"/>
  <c r="G145" i="32" s="1"/>
  <c r="C274" i="39"/>
  <c r="C274" i="12"/>
  <c r="C274" i="33"/>
  <c r="F274" i="32"/>
  <c r="G274" i="32" s="1"/>
  <c r="C10" i="39"/>
  <c r="C10" i="12"/>
  <c r="C10" i="33"/>
  <c r="F10" i="32"/>
  <c r="G10" i="32" s="1"/>
  <c r="C65" i="39"/>
  <c r="C65" i="12"/>
  <c r="C65" i="33"/>
  <c r="F65" i="32"/>
  <c r="G65" i="32" s="1"/>
  <c r="C82" i="39"/>
  <c r="C82" i="12"/>
  <c r="C82" i="33"/>
  <c r="F82" i="32"/>
  <c r="G82" i="32" s="1"/>
  <c r="C246" i="39"/>
  <c r="C246" i="12"/>
  <c r="C246" i="33"/>
  <c r="F246" i="32"/>
  <c r="G246" i="32" s="1"/>
  <c r="C250" i="39"/>
  <c r="C250" i="12"/>
  <c r="C250" i="33"/>
  <c r="F250" i="32"/>
  <c r="G250" i="32" s="1"/>
  <c r="C149" i="12"/>
  <c r="C149" i="39"/>
  <c r="C149" i="33"/>
  <c r="F149" i="32"/>
  <c r="G149" i="32" s="1"/>
  <c r="C106" i="39"/>
  <c r="C106" i="12"/>
  <c r="C106" i="33"/>
  <c r="F106" i="32"/>
  <c r="G106" i="32" s="1"/>
  <c r="C235" i="39"/>
  <c r="C235" i="12"/>
  <c r="C235" i="33"/>
  <c r="F235" i="32"/>
  <c r="G235" i="32" s="1"/>
  <c r="C125" i="39"/>
  <c r="C125" i="12"/>
  <c r="C125" i="33"/>
  <c r="F125" i="32"/>
  <c r="G125" i="32" s="1"/>
  <c r="C100" i="39"/>
  <c r="C100" i="12"/>
  <c r="C100" i="33"/>
  <c r="F100" i="32"/>
  <c r="G100" i="32" s="1"/>
  <c r="C32" i="39"/>
  <c r="C32" i="12"/>
  <c r="C32" i="33"/>
  <c r="F32" i="32"/>
  <c r="G32" i="32" s="1"/>
  <c r="C212" i="39"/>
  <c r="C212" i="12"/>
  <c r="C212" i="33"/>
  <c r="F212" i="32"/>
  <c r="G212" i="32" s="1"/>
  <c r="C241" i="39"/>
  <c r="C241" i="12"/>
  <c r="C241" i="33"/>
  <c r="F241" i="32"/>
  <c r="G241" i="32" s="1"/>
  <c r="C87" i="39"/>
  <c r="C87" i="12"/>
  <c r="C87" i="33"/>
  <c r="F87" i="32"/>
  <c r="G87" i="32" s="1"/>
  <c r="C283" i="39"/>
  <c r="C283" i="12"/>
  <c r="C283" i="33"/>
  <c r="F283" i="32"/>
  <c r="G283" i="32" s="1"/>
  <c r="C300" i="39"/>
  <c r="C300" i="12"/>
  <c r="C300" i="33"/>
  <c r="F300" i="32"/>
  <c r="G300" i="32" s="1"/>
  <c r="C302" i="39"/>
  <c r="C302" i="12"/>
  <c r="C302" i="33"/>
  <c r="F302" i="32"/>
  <c r="G302" i="32" s="1"/>
  <c r="C76" i="39"/>
  <c r="C76" i="12"/>
  <c r="C76" i="33"/>
  <c r="F76" i="32"/>
  <c r="G76" i="32" s="1"/>
  <c r="C175" i="39"/>
  <c r="C175" i="12"/>
  <c r="C175" i="33"/>
  <c r="F175" i="32"/>
  <c r="G175" i="32" s="1"/>
  <c r="C58" i="39"/>
  <c r="C58" i="12"/>
  <c r="C58" i="33"/>
  <c r="F58" i="32"/>
  <c r="G58" i="32" s="1"/>
  <c r="C168" i="39"/>
  <c r="C168" i="12"/>
  <c r="F168" i="32"/>
  <c r="G168" i="32" s="1"/>
  <c r="C168" i="33"/>
  <c r="C182" i="12"/>
  <c r="C182" i="39"/>
  <c r="C182" i="33"/>
  <c r="F182" i="32"/>
  <c r="G182" i="32" s="1"/>
  <c r="C157" i="34"/>
  <c r="E147" i="33"/>
  <c r="D147" i="37" s="1"/>
  <c r="C109" i="39"/>
  <c r="C109" i="12"/>
  <c r="C109" i="33"/>
  <c r="F109" i="32"/>
  <c r="G109" i="32" s="1"/>
  <c r="E301" i="33"/>
  <c r="D301" i="37" s="1"/>
  <c r="C311" i="34"/>
  <c r="E275" i="33"/>
  <c r="D275" i="37" s="1"/>
  <c r="C285" i="34"/>
  <c r="C296" i="34"/>
  <c r="E286" i="33"/>
  <c r="D286" i="37" s="1"/>
  <c r="C272" i="34"/>
  <c r="E262" i="33"/>
  <c r="D262" i="37" s="1"/>
  <c r="C243" i="34"/>
  <c r="E148" i="33"/>
  <c r="D148" i="37" s="1"/>
  <c r="C158" i="34"/>
  <c r="C321" i="34"/>
  <c r="E311" i="33"/>
  <c r="D311" i="37" s="1"/>
  <c r="C267" i="34"/>
  <c r="E257" i="33"/>
  <c r="D257" i="37" s="1"/>
  <c r="C143" i="34"/>
  <c r="E133" i="33"/>
  <c r="D133" i="37" s="1"/>
  <c r="E177" i="33"/>
  <c r="D177" i="37" s="1"/>
  <c r="C187" i="34"/>
  <c r="C132" i="34"/>
  <c r="E122" i="33"/>
  <c r="D122" i="37" s="1"/>
  <c r="E107" i="33"/>
  <c r="D107" i="37" s="1"/>
  <c r="C117" i="34"/>
  <c r="E305" i="33"/>
  <c r="D305" i="37" s="1"/>
  <c r="C315" i="34"/>
  <c r="C281" i="34"/>
  <c r="E247" i="33"/>
  <c r="D247" i="37" s="1"/>
  <c r="C257" i="34"/>
  <c r="C249" i="34"/>
  <c r="E239" i="33"/>
  <c r="D239" i="37" s="1"/>
  <c r="C134" i="34"/>
  <c r="E124" i="33"/>
  <c r="D124" i="37" s="1"/>
  <c r="C123" i="34"/>
  <c r="E113" i="33"/>
  <c r="D113" i="37" s="1"/>
  <c r="E71" i="33"/>
  <c r="D71" i="37" s="1"/>
  <c r="C81" i="34"/>
  <c r="C88" i="39"/>
  <c r="C88" i="12"/>
  <c r="C88" i="33"/>
  <c r="F88" i="32"/>
  <c r="G88" i="32" s="1"/>
  <c r="C244" i="39"/>
  <c r="C244" i="12"/>
  <c r="C244" i="33"/>
  <c r="F244" i="32"/>
  <c r="G244" i="32" s="1"/>
  <c r="C248" i="39"/>
  <c r="C248" i="12"/>
  <c r="C248" i="33"/>
  <c r="F248" i="32"/>
  <c r="G248" i="32" s="1"/>
  <c r="C134" i="12"/>
  <c r="C134" i="39"/>
  <c r="C134" i="33"/>
  <c r="F134" i="32"/>
  <c r="G134" i="32" s="1"/>
  <c r="C234" i="39"/>
  <c r="C234" i="12"/>
  <c r="C234" i="33"/>
  <c r="F234" i="32"/>
  <c r="G234" i="32" s="1"/>
  <c r="C84" i="39"/>
  <c r="C84" i="12"/>
  <c r="C84" i="33"/>
  <c r="F84" i="32"/>
  <c r="G84" i="32" s="1"/>
  <c r="C28" i="39"/>
  <c r="C28" i="12"/>
  <c r="C28" i="33"/>
  <c r="F28" i="32"/>
  <c r="G28" i="32" s="1"/>
  <c r="C205" i="39"/>
  <c r="C205" i="12"/>
  <c r="C205" i="33"/>
  <c r="F205" i="32"/>
  <c r="G205" i="32" s="1"/>
  <c r="C178" i="39"/>
  <c r="C178" i="12"/>
  <c r="C178" i="33"/>
  <c r="F178" i="32"/>
  <c r="G178" i="32" s="1"/>
  <c r="C304" i="39"/>
  <c r="C304" i="12"/>
  <c r="C304" i="33"/>
  <c r="F304" i="32"/>
  <c r="G304" i="32" s="1"/>
  <c r="C276" i="39"/>
  <c r="C276" i="12"/>
  <c r="C276" i="33"/>
  <c r="F276" i="32"/>
  <c r="G276" i="32" s="1"/>
  <c r="C157" i="39"/>
  <c r="C157" i="12"/>
  <c r="C157" i="33"/>
  <c r="F157" i="32"/>
  <c r="G157" i="32" s="1"/>
  <c r="C292" i="39"/>
  <c r="C292" i="12"/>
  <c r="C292" i="33"/>
  <c r="F292" i="32"/>
  <c r="G292" i="32" s="1"/>
  <c r="C260" i="39"/>
  <c r="C260" i="12"/>
  <c r="C260" i="33"/>
  <c r="F260" i="32"/>
  <c r="G260" i="32" s="1"/>
  <c r="C146" i="39"/>
  <c r="C146" i="12"/>
  <c r="C146" i="33"/>
  <c r="F146" i="32"/>
  <c r="G146" i="32" s="1"/>
  <c r="C68" i="39"/>
  <c r="C68" i="12"/>
  <c r="C68" i="33"/>
  <c r="F68" i="32"/>
  <c r="G68" i="32" s="1"/>
  <c r="C45" i="39"/>
  <c r="C45" i="12"/>
  <c r="C45" i="33"/>
  <c r="F45" i="32"/>
  <c r="G45" i="32" s="1"/>
  <c r="C115" i="39"/>
  <c r="C115" i="12"/>
  <c r="C115" i="33"/>
  <c r="F115" i="32"/>
  <c r="G115" i="32" s="1"/>
  <c r="C37" i="12"/>
  <c r="C37" i="39"/>
  <c r="C37" i="33"/>
  <c r="F37" i="32"/>
  <c r="G37" i="32" s="1"/>
  <c r="C176" i="39"/>
  <c r="C176" i="12"/>
  <c r="C176" i="33"/>
  <c r="F176" i="32"/>
  <c r="G176" i="32" s="1"/>
  <c r="C166" i="12"/>
  <c r="C166" i="39"/>
  <c r="C166" i="33"/>
  <c r="F166" i="32"/>
  <c r="G166" i="32" s="1"/>
  <c r="E156" i="33"/>
  <c r="D156" i="37" s="1"/>
  <c r="C166" i="34"/>
  <c r="E240" i="33"/>
  <c r="D240" i="37" s="1"/>
  <c r="C250" i="34"/>
  <c r="C236" i="34"/>
  <c r="E226" i="33"/>
  <c r="D226" i="37" s="1"/>
  <c r="C120" i="34"/>
  <c r="C111" i="34"/>
  <c r="E101" i="33"/>
  <c r="D101" i="37" s="1"/>
  <c r="E56" i="33"/>
  <c r="D56" i="37" s="1"/>
  <c r="E50" i="33"/>
  <c r="D50" i="37" s="1"/>
  <c r="C60" i="34"/>
  <c r="C44" i="34"/>
  <c r="E34" i="33"/>
  <c r="D34" i="37" s="1"/>
  <c r="C25" i="34"/>
  <c r="E15" i="33"/>
  <c r="D15" i="37" s="1"/>
  <c r="C105" i="39"/>
  <c r="C105" i="12"/>
  <c r="C105" i="33"/>
  <c r="F105" i="32"/>
  <c r="C51" i="39"/>
  <c r="C51" i="12"/>
  <c r="C51" i="33"/>
  <c r="F51" i="32"/>
  <c r="G51" i="32" s="1"/>
  <c r="C141" i="39"/>
  <c r="C141" i="12"/>
  <c r="C141" i="33"/>
  <c r="F141" i="32"/>
  <c r="G141" i="32" s="1"/>
  <c r="C282" i="39"/>
  <c r="C282" i="12"/>
  <c r="C282" i="33"/>
  <c r="F282" i="32"/>
  <c r="G282" i="32" s="1"/>
  <c r="C279" i="39"/>
  <c r="C279" i="12"/>
  <c r="C279" i="33"/>
  <c r="F279" i="32"/>
  <c r="G279" i="32" s="1"/>
  <c r="E288" i="33"/>
  <c r="D288" i="37" s="1"/>
  <c r="C298" i="34"/>
  <c r="C8" i="39"/>
  <c r="C8" i="12"/>
  <c r="C8" i="33"/>
  <c r="F8" i="32"/>
  <c r="G8" i="32" s="1"/>
  <c r="C127" i="39"/>
  <c r="C127" i="12"/>
  <c r="C127" i="33"/>
  <c r="F127" i="32"/>
  <c r="G127" i="32" s="1"/>
  <c r="C164" i="34"/>
  <c r="E154" i="33"/>
  <c r="D154" i="37" s="1"/>
  <c r="E284" i="33"/>
  <c r="D284" i="37" s="1"/>
  <c r="C294" i="34"/>
  <c r="E296" i="33"/>
  <c r="D296" i="37" s="1"/>
  <c r="C306" i="34"/>
  <c r="C239" i="34"/>
  <c r="E229" i="33"/>
  <c r="D229" i="37" s="1"/>
  <c r="C18" i="39"/>
  <c r="C18" i="12"/>
  <c r="C18" i="33"/>
  <c r="F18" i="32"/>
  <c r="G18" i="32" s="1"/>
  <c r="C62" i="34"/>
  <c r="E52" i="33"/>
  <c r="D52" i="37" s="1"/>
  <c r="S315" i="42"/>
  <c r="H315" i="42"/>
  <c r="I315" i="42"/>
  <c r="J315" i="42"/>
  <c r="E261" i="33" l="1"/>
  <c r="D261" i="37" s="1"/>
  <c r="C241" i="34"/>
  <c r="C101" i="34"/>
  <c r="E238" i="33"/>
  <c r="D238" i="37" s="1"/>
  <c r="C199" i="34"/>
  <c r="C319" i="34"/>
  <c r="C265" i="34"/>
  <c r="E269" i="33"/>
  <c r="D269" i="37" s="1"/>
  <c r="C96" i="34"/>
  <c r="C305" i="34"/>
  <c r="C175" i="34"/>
  <c r="E153" i="33"/>
  <c r="D153" i="37" s="1"/>
  <c r="E152" i="33"/>
  <c r="D152" i="37" s="1"/>
  <c r="C33" i="34"/>
  <c r="E72" i="33"/>
  <c r="D72" i="37" s="1"/>
  <c r="C210" i="34"/>
  <c r="C269" i="34"/>
  <c r="E199" i="33"/>
  <c r="D199" i="37" s="1"/>
  <c r="C150" i="34"/>
  <c r="C107" i="34"/>
  <c r="C224" i="34"/>
  <c r="E270" i="33"/>
  <c r="D270" i="37" s="1"/>
  <c r="E128" i="33"/>
  <c r="D128" i="37" s="1"/>
  <c r="C295" i="34"/>
  <c r="E253" i="33"/>
  <c r="D253" i="37" s="1"/>
  <c r="C169" i="34"/>
  <c r="E121" i="33"/>
  <c r="D121" i="37" s="1"/>
  <c r="C37" i="34"/>
  <c r="E11" i="33"/>
  <c r="D11" i="37" s="1"/>
  <c r="C35" i="34"/>
  <c r="C145" i="34"/>
  <c r="E158" i="33"/>
  <c r="D158" i="37" s="1"/>
  <c r="E313" i="33"/>
  <c r="D313" i="37" s="1"/>
  <c r="E33" i="33"/>
  <c r="D33" i="37" s="1"/>
  <c r="C206" i="34"/>
  <c r="E85" i="33"/>
  <c r="D85" i="37" s="1"/>
  <c r="E245" i="33"/>
  <c r="D245" i="37" s="1"/>
  <c r="C299" i="34"/>
  <c r="C85" i="34"/>
  <c r="C230" i="34"/>
  <c r="E306" i="33"/>
  <c r="D306" i="37" s="1"/>
  <c r="E272" i="33"/>
  <c r="D272" i="37" s="1"/>
  <c r="E54" i="33"/>
  <c r="D54" i="37" s="1"/>
  <c r="C67" i="34"/>
  <c r="C318" i="34"/>
  <c r="E137" i="33"/>
  <c r="D137" i="37" s="1"/>
  <c r="C190" i="34"/>
  <c r="C203" i="34"/>
  <c r="C171" i="34"/>
  <c r="C93" i="34"/>
  <c r="C22" i="34"/>
  <c r="E195" i="33"/>
  <c r="D195" i="37" s="1"/>
  <c r="E69" i="33"/>
  <c r="D69" i="37" s="1"/>
  <c r="C133" i="34"/>
  <c r="E118" i="33"/>
  <c r="D118" i="37" s="1"/>
  <c r="E190" i="33"/>
  <c r="D190" i="37" s="1"/>
  <c r="C322" i="34"/>
  <c r="E210" i="33"/>
  <c r="D210" i="37" s="1"/>
  <c r="C105" i="34"/>
  <c r="E225" i="33"/>
  <c r="D225" i="37" s="1"/>
  <c r="E53" i="33"/>
  <c r="D53" i="37" s="1"/>
  <c r="C237" i="34"/>
  <c r="C191" i="34"/>
  <c r="E132" i="33"/>
  <c r="D132" i="37" s="1"/>
  <c r="C26" i="34"/>
  <c r="C73" i="34"/>
  <c r="C219" i="34"/>
  <c r="E93" i="33"/>
  <c r="D93" i="37" s="1"/>
  <c r="C182" i="34"/>
  <c r="E126" i="33"/>
  <c r="D126" i="37" s="1"/>
  <c r="E48" i="33"/>
  <c r="D48" i="37" s="1"/>
  <c r="E217" i="33"/>
  <c r="D217" i="37" s="1"/>
  <c r="C179" i="34"/>
  <c r="C59" i="34"/>
  <c r="C17" i="34"/>
  <c r="C126" i="34"/>
  <c r="C195" i="34"/>
  <c r="E194" i="33"/>
  <c r="D194" i="37" s="1"/>
  <c r="C72" i="34"/>
  <c r="E298" i="33"/>
  <c r="D298" i="37" s="1"/>
  <c r="E310" i="33"/>
  <c r="D310" i="37" s="1"/>
  <c r="C80" i="34"/>
  <c r="C141" i="34"/>
  <c r="E191" i="33"/>
  <c r="D191" i="37" s="1"/>
  <c r="E198" i="33"/>
  <c r="D198" i="37" s="1"/>
  <c r="E26" i="33"/>
  <c r="D26" i="37" s="1"/>
  <c r="C217" i="34"/>
  <c r="C46" i="34"/>
  <c r="C253" i="34"/>
  <c r="C50" i="34"/>
  <c r="C113" i="34"/>
  <c r="C90" i="34"/>
  <c r="C221" i="34"/>
  <c r="E162" i="33"/>
  <c r="D162" i="37" s="1"/>
  <c r="C130" i="34"/>
  <c r="E22" i="33"/>
  <c r="D22" i="37" s="1"/>
  <c r="C277" i="34"/>
  <c r="C283" i="34"/>
  <c r="E60" i="33"/>
  <c r="D60" i="37" s="1"/>
  <c r="E43" i="33"/>
  <c r="D43" i="37" s="1"/>
  <c r="C88" i="34"/>
  <c r="C291" i="34"/>
  <c r="C56" i="34"/>
  <c r="E30" i="33"/>
  <c r="D30" i="37" s="1"/>
  <c r="C189" i="34"/>
  <c r="C109" i="34"/>
  <c r="C146" i="34"/>
  <c r="E129" i="33"/>
  <c r="D129" i="37" s="1"/>
  <c r="E89" i="33"/>
  <c r="D89" i="37" s="1"/>
  <c r="E299" i="33"/>
  <c r="D299" i="37" s="1"/>
  <c r="E170" i="33"/>
  <c r="D170" i="37" s="1"/>
  <c r="C173" i="34"/>
  <c r="E232" i="33"/>
  <c r="D232" i="37" s="1"/>
  <c r="E19" i="33"/>
  <c r="D19" i="37" s="1"/>
  <c r="G105" i="32"/>
  <c r="E188" i="33"/>
  <c r="D188" i="37" s="1"/>
  <c r="C198" i="34"/>
  <c r="C212" i="34"/>
  <c r="E202" i="33"/>
  <c r="D202" i="37" s="1"/>
  <c r="C232" i="34"/>
  <c r="E222" i="33"/>
  <c r="D222" i="37" s="1"/>
  <c r="E268" i="33"/>
  <c r="D268" i="37" s="1"/>
  <c r="C278" i="34"/>
  <c r="E297" i="33"/>
  <c r="D297" i="37" s="1"/>
  <c r="C307" i="34"/>
  <c r="C181" i="34"/>
  <c r="E171" i="33"/>
  <c r="D171" i="37" s="1"/>
  <c r="C184" i="34"/>
  <c r="E174" i="33"/>
  <c r="D174" i="37" s="1"/>
  <c r="E252" i="33"/>
  <c r="D252" i="37" s="1"/>
  <c r="C262" i="34"/>
  <c r="C197" i="34"/>
  <c r="E187" i="33"/>
  <c r="D187" i="37" s="1"/>
  <c r="C289" i="34"/>
  <c r="E279" i="33"/>
  <c r="D279" i="37" s="1"/>
  <c r="C292" i="34"/>
  <c r="E282" i="33"/>
  <c r="D282" i="37" s="1"/>
  <c r="E141" i="33"/>
  <c r="D141" i="37" s="1"/>
  <c r="C151" i="34"/>
  <c r="E51" i="33"/>
  <c r="D51" i="37" s="1"/>
  <c r="C61" i="34"/>
  <c r="C115" i="34"/>
  <c r="E105" i="33"/>
  <c r="D105" i="37" s="1"/>
  <c r="E224" i="33"/>
  <c r="D224" i="37" s="1"/>
  <c r="C234" i="34"/>
  <c r="C304" i="34"/>
  <c r="E294" i="33"/>
  <c r="D294" i="37" s="1"/>
  <c r="C161" i="34"/>
  <c r="E151" i="33"/>
  <c r="D151" i="37" s="1"/>
  <c r="E130" i="33"/>
  <c r="D130" i="37" s="1"/>
  <c r="C140" i="34"/>
  <c r="C148" i="34"/>
  <c r="E138" i="33"/>
  <c r="D138" i="37" s="1"/>
  <c r="E192" i="33"/>
  <c r="D192" i="37" s="1"/>
  <c r="C202" i="34"/>
  <c r="C240" i="34"/>
  <c r="E230" i="33"/>
  <c r="D230" i="37" s="1"/>
  <c r="E237" i="33"/>
  <c r="D237" i="37" s="1"/>
  <c r="C247" i="34"/>
  <c r="C301" i="34"/>
  <c r="E291" i="33"/>
  <c r="D291" i="37" s="1"/>
  <c r="C297" i="34"/>
  <c r="E287" i="33"/>
  <c r="D287" i="37" s="1"/>
  <c r="C91" i="34"/>
  <c r="E81" i="33"/>
  <c r="D81" i="37" s="1"/>
  <c r="E47" i="33"/>
  <c r="D47" i="37" s="1"/>
  <c r="C57" i="34"/>
  <c r="C102" i="34"/>
  <c r="E92" i="33"/>
  <c r="D92" i="37" s="1"/>
  <c r="C160" i="34"/>
  <c r="E150" i="33"/>
  <c r="D150" i="37" s="1"/>
  <c r="E74" i="33"/>
  <c r="D74" i="37" s="1"/>
  <c r="C84" i="34"/>
  <c r="C153" i="34"/>
  <c r="E143" i="33"/>
  <c r="D143" i="37" s="1"/>
  <c r="C165" i="34"/>
  <c r="E155" i="33"/>
  <c r="D155" i="37" s="1"/>
  <c r="C83" i="34"/>
  <c r="E73" i="33"/>
  <c r="D73" i="37" s="1"/>
  <c r="C24" i="34"/>
  <c r="E14" i="33"/>
  <c r="D14" i="37" s="1"/>
  <c r="C41" i="34"/>
  <c r="E31" i="33"/>
  <c r="D31" i="37" s="1"/>
  <c r="C317" i="34"/>
  <c r="E307" i="33"/>
  <c r="D307" i="37" s="1"/>
  <c r="C207" i="34"/>
  <c r="E197" i="33"/>
  <c r="D197" i="37" s="1"/>
  <c r="E21" i="33"/>
  <c r="D21" i="37" s="1"/>
  <c r="C31" i="34"/>
  <c r="E160" i="33"/>
  <c r="D160" i="37" s="1"/>
  <c r="C170" i="34"/>
  <c r="E20" i="33"/>
  <c r="D20" i="37" s="1"/>
  <c r="C30" i="34"/>
  <c r="E216" i="33"/>
  <c r="D216" i="37" s="1"/>
  <c r="C226" i="34"/>
  <c r="E108" i="33"/>
  <c r="D108" i="37" s="1"/>
  <c r="C118" i="34"/>
  <c r="C300" i="34"/>
  <c r="E290" i="33"/>
  <c r="D290" i="37" s="1"/>
  <c r="E66" i="33"/>
  <c r="D66" i="37" s="1"/>
  <c r="C76" i="34"/>
  <c r="C252" i="34"/>
  <c r="E242" i="33"/>
  <c r="D242" i="37" s="1"/>
  <c r="E256" i="33"/>
  <c r="D256" i="37" s="1"/>
  <c r="C266" i="34"/>
  <c r="C74" i="34"/>
  <c r="E64" i="33"/>
  <c r="D64" i="37" s="1"/>
  <c r="E206" i="33"/>
  <c r="D206" i="37" s="1"/>
  <c r="C216" i="34"/>
  <c r="C264" i="34"/>
  <c r="E254" i="33"/>
  <c r="D254" i="37" s="1"/>
  <c r="E90" i="33"/>
  <c r="D90" i="37" s="1"/>
  <c r="C100" i="34"/>
  <c r="E98" i="33"/>
  <c r="D98" i="37" s="1"/>
  <c r="C108" i="34"/>
  <c r="E104" i="33"/>
  <c r="D104" i="37" s="1"/>
  <c r="C114" i="34"/>
  <c r="C106" i="34"/>
  <c r="E96" i="33"/>
  <c r="D96" i="37" s="1"/>
  <c r="E112" i="33"/>
  <c r="D112" i="37" s="1"/>
  <c r="C122" i="34"/>
  <c r="E168" i="33"/>
  <c r="D168" i="37" s="1"/>
  <c r="C178" i="34"/>
  <c r="C177" i="34"/>
  <c r="E167" i="33"/>
  <c r="D167" i="37" s="1"/>
  <c r="C28" i="34"/>
  <c r="E18" i="33"/>
  <c r="D18" i="37" s="1"/>
  <c r="E127" i="33"/>
  <c r="D127" i="37" s="1"/>
  <c r="C137" i="34"/>
  <c r="E8" i="33"/>
  <c r="D8" i="37" s="1"/>
  <c r="C18" i="34"/>
  <c r="C176" i="34"/>
  <c r="E166" i="33"/>
  <c r="D166" i="37" s="1"/>
  <c r="E176" i="33"/>
  <c r="D176" i="37" s="1"/>
  <c r="C186" i="34"/>
  <c r="C47" i="34"/>
  <c r="E37" i="33"/>
  <c r="D37" i="37" s="1"/>
  <c r="E115" i="33"/>
  <c r="D115" i="37" s="1"/>
  <c r="C125" i="34"/>
  <c r="C55" i="34"/>
  <c r="E45" i="33"/>
  <c r="D45" i="37" s="1"/>
  <c r="C78" i="34"/>
  <c r="E68" i="33"/>
  <c r="D68" i="37" s="1"/>
  <c r="C156" i="34"/>
  <c r="E146" i="33"/>
  <c r="D146" i="37" s="1"/>
  <c r="E260" i="33"/>
  <c r="D260" i="37" s="1"/>
  <c r="C270" i="34"/>
  <c r="E292" i="33"/>
  <c r="D292" i="37" s="1"/>
  <c r="C302" i="34"/>
  <c r="E157" i="33"/>
  <c r="D157" i="37" s="1"/>
  <c r="C167" i="34"/>
  <c r="C286" i="34"/>
  <c r="E276" i="33"/>
  <c r="D276" i="37" s="1"/>
  <c r="E304" i="33"/>
  <c r="D304" i="37" s="1"/>
  <c r="C314" i="34"/>
  <c r="C188" i="34"/>
  <c r="E178" i="33"/>
  <c r="D178" i="37" s="1"/>
  <c r="C215" i="34"/>
  <c r="E205" i="33"/>
  <c r="D205" i="37" s="1"/>
  <c r="C38" i="34"/>
  <c r="E28" i="33"/>
  <c r="D28" i="37" s="1"/>
  <c r="C94" i="34"/>
  <c r="E84" i="33"/>
  <c r="D84" i="37" s="1"/>
  <c r="C244" i="34"/>
  <c r="E234" i="33"/>
  <c r="D234" i="37" s="1"/>
  <c r="C144" i="34"/>
  <c r="E134" i="33"/>
  <c r="D134" i="37" s="1"/>
  <c r="E248" i="33"/>
  <c r="D248" i="37" s="1"/>
  <c r="C258" i="34"/>
  <c r="E244" i="33"/>
  <c r="D244" i="37" s="1"/>
  <c r="C254" i="34"/>
  <c r="C98" i="34"/>
  <c r="E88" i="33"/>
  <c r="D88" i="37" s="1"/>
  <c r="C119" i="34"/>
  <c r="E109" i="33"/>
  <c r="D109" i="37" s="1"/>
  <c r="C192" i="34"/>
  <c r="E182" i="33"/>
  <c r="D182" i="37" s="1"/>
  <c r="E58" i="33"/>
  <c r="D58" i="37" s="1"/>
  <c r="C68" i="34"/>
  <c r="C185" i="34"/>
  <c r="E175" i="33"/>
  <c r="D175" i="37" s="1"/>
  <c r="C86" i="34"/>
  <c r="E76" i="33"/>
  <c r="D76" i="37" s="1"/>
  <c r="C312" i="34"/>
  <c r="E302" i="33"/>
  <c r="D302" i="37" s="1"/>
  <c r="E300" i="33"/>
  <c r="D300" i="37" s="1"/>
  <c r="C310" i="34"/>
  <c r="C293" i="34"/>
  <c r="E283" i="33"/>
  <c r="D283" i="37" s="1"/>
  <c r="E87" i="33"/>
  <c r="D87" i="37" s="1"/>
  <c r="C97" i="34"/>
  <c r="C251" i="34"/>
  <c r="E241" i="33"/>
  <c r="D241" i="37" s="1"/>
  <c r="C222" i="34"/>
  <c r="E212" i="33"/>
  <c r="D212" i="37" s="1"/>
  <c r="E32" i="33"/>
  <c r="D32" i="37" s="1"/>
  <c r="C42" i="34"/>
  <c r="E100" i="33"/>
  <c r="D100" i="37" s="1"/>
  <c r="C110" i="34"/>
  <c r="C135" i="34"/>
  <c r="E125" i="33"/>
  <c r="D125" i="37" s="1"/>
  <c r="C245" i="34"/>
  <c r="E235" i="33"/>
  <c r="D235" i="37" s="1"/>
  <c r="C116" i="34"/>
  <c r="E106" i="33"/>
  <c r="D106" i="37" s="1"/>
  <c r="E149" i="33"/>
  <c r="D149" i="37" s="1"/>
  <c r="C159" i="34"/>
  <c r="C260" i="34"/>
  <c r="E250" i="33"/>
  <c r="D250" i="37" s="1"/>
  <c r="C256" i="34"/>
  <c r="E246" i="33"/>
  <c r="D246" i="37" s="1"/>
  <c r="E82" i="33"/>
  <c r="D82" i="37" s="1"/>
  <c r="C92" i="34"/>
  <c r="E65" i="33"/>
  <c r="D65" i="37" s="1"/>
  <c r="C75" i="34"/>
  <c r="C20" i="34"/>
  <c r="E10" i="33"/>
  <c r="D10" i="37" s="1"/>
  <c r="C284" i="34"/>
  <c r="E274" i="33"/>
  <c r="D274" i="37" s="1"/>
  <c r="E145" i="33"/>
  <c r="D145" i="37" s="1"/>
  <c r="C155" i="34"/>
  <c r="C149" i="34"/>
  <c r="E139" i="33"/>
  <c r="D139" i="37" s="1"/>
  <c r="C124" i="34"/>
  <c r="E114" i="33"/>
  <c r="D114" i="37" s="1"/>
  <c r="E59" i="33"/>
  <c r="D59" i="37" s="1"/>
  <c r="C69" i="34"/>
  <c r="C223" i="34"/>
  <c r="E213" i="33"/>
  <c r="D213" i="37" s="1"/>
  <c r="C127" i="34"/>
  <c r="E117" i="33"/>
  <c r="D117" i="37" s="1"/>
  <c r="C45" i="34"/>
  <c r="E35" i="33"/>
  <c r="D35" i="37" s="1"/>
  <c r="E263" i="33"/>
  <c r="D263" i="37" s="1"/>
  <c r="C273" i="34"/>
  <c r="E264" i="33"/>
  <c r="D264" i="37" s="1"/>
  <c r="C274" i="34"/>
  <c r="E13" i="33"/>
  <c r="D13" i="37" s="1"/>
  <c r="C23" i="34"/>
  <c r="N315" i="42"/>
  <c r="A8" i="19"/>
  <c r="B8" i="19"/>
  <c r="A9" i="19"/>
  <c r="B9" i="19"/>
  <c r="A10" i="19"/>
  <c r="B10" i="19"/>
  <c r="A11" i="19"/>
  <c r="B11" i="19"/>
  <c r="A12" i="19"/>
  <c r="B12" i="19"/>
  <c r="A13" i="19"/>
  <c r="B13" i="19"/>
  <c r="A14" i="19"/>
  <c r="B14" i="19"/>
  <c r="A15" i="19"/>
  <c r="B15" i="19"/>
  <c r="A16" i="19"/>
  <c r="B16" i="19"/>
  <c r="A17" i="19"/>
  <c r="B17" i="19"/>
  <c r="A18" i="19"/>
  <c r="B18" i="19"/>
  <c r="A19" i="19"/>
  <c r="B19" i="19"/>
  <c r="A20" i="19"/>
  <c r="B20" i="19"/>
  <c r="A21" i="19"/>
  <c r="B21" i="19"/>
  <c r="A22" i="19"/>
  <c r="B22" i="19"/>
  <c r="A23" i="19"/>
  <c r="B23" i="19"/>
  <c r="A24" i="19"/>
  <c r="B24" i="19"/>
  <c r="A25" i="19"/>
  <c r="B25" i="19"/>
  <c r="A26" i="19"/>
  <c r="B26" i="19"/>
  <c r="A27" i="19"/>
  <c r="B27" i="19"/>
  <c r="A28" i="19"/>
  <c r="B28" i="19"/>
  <c r="A29" i="19"/>
  <c r="B29" i="19"/>
  <c r="A30" i="19"/>
  <c r="B30" i="19"/>
  <c r="A31" i="19"/>
  <c r="B31" i="19"/>
  <c r="A32" i="19"/>
  <c r="B32" i="19"/>
  <c r="A33" i="19"/>
  <c r="B33" i="19"/>
  <c r="A34" i="19"/>
  <c r="B34" i="19"/>
  <c r="A35" i="19"/>
  <c r="B35" i="19"/>
  <c r="A36" i="19"/>
  <c r="B36" i="19"/>
  <c r="A37" i="19"/>
  <c r="B37" i="19"/>
  <c r="A38" i="19"/>
  <c r="B38" i="19"/>
  <c r="A39" i="19"/>
  <c r="B39" i="19"/>
  <c r="A40" i="19"/>
  <c r="B40" i="19"/>
  <c r="A41" i="19"/>
  <c r="B41" i="19"/>
  <c r="A42" i="19"/>
  <c r="B42" i="19"/>
  <c r="A43" i="19"/>
  <c r="B43" i="19"/>
  <c r="A44" i="19"/>
  <c r="B44" i="19"/>
  <c r="A45" i="19"/>
  <c r="B45" i="19"/>
  <c r="A46" i="19"/>
  <c r="B46" i="19"/>
  <c r="A47" i="19"/>
  <c r="B47" i="19"/>
  <c r="A48" i="19"/>
  <c r="B48" i="19"/>
  <c r="A49" i="19"/>
  <c r="B49" i="19"/>
  <c r="A50" i="19"/>
  <c r="B50" i="19"/>
  <c r="A51" i="19"/>
  <c r="B51" i="19"/>
  <c r="A52" i="19"/>
  <c r="B52" i="19"/>
  <c r="A53" i="19"/>
  <c r="B53" i="19"/>
  <c r="A54" i="19"/>
  <c r="B54" i="19"/>
  <c r="A55" i="19"/>
  <c r="B55" i="19"/>
  <c r="A56" i="19"/>
  <c r="B56" i="19"/>
  <c r="A57" i="19"/>
  <c r="B57" i="19"/>
  <c r="A58" i="19"/>
  <c r="B58" i="19"/>
  <c r="A59" i="19"/>
  <c r="B59" i="19"/>
  <c r="A60" i="19"/>
  <c r="B60" i="19"/>
  <c r="A61" i="19"/>
  <c r="B61" i="19"/>
  <c r="A62" i="19"/>
  <c r="B62" i="19"/>
  <c r="A63" i="19"/>
  <c r="B63" i="19"/>
  <c r="A64" i="19"/>
  <c r="B64" i="19"/>
  <c r="A65" i="19"/>
  <c r="B65" i="19"/>
  <c r="A66" i="19"/>
  <c r="B66" i="19"/>
  <c r="A67" i="19"/>
  <c r="B67" i="19"/>
  <c r="A68" i="19"/>
  <c r="B68" i="19"/>
  <c r="A69" i="19"/>
  <c r="B69" i="19"/>
  <c r="A70" i="19"/>
  <c r="B70" i="19"/>
  <c r="A71" i="19"/>
  <c r="B71" i="19"/>
  <c r="A72" i="19"/>
  <c r="B72" i="19"/>
  <c r="A73" i="19"/>
  <c r="B73" i="19"/>
  <c r="A74" i="19"/>
  <c r="B74" i="19"/>
  <c r="A75" i="19"/>
  <c r="B75" i="19"/>
  <c r="A76" i="19"/>
  <c r="B76" i="19"/>
  <c r="A77" i="19"/>
  <c r="B77" i="19"/>
  <c r="A78" i="19"/>
  <c r="B78" i="19"/>
  <c r="A79" i="19"/>
  <c r="B79" i="19"/>
  <c r="A80" i="19"/>
  <c r="B80" i="19"/>
  <c r="A81" i="19"/>
  <c r="B81" i="19"/>
  <c r="A82" i="19"/>
  <c r="B82" i="19"/>
  <c r="A83" i="19"/>
  <c r="B83" i="19"/>
  <c r="A84" i="19"/>
  <c r="B84" i="19"/>
  <c r="A85" i="19"/>
  <c r="B85" i="19"/>
  <c r="A86" i="19"/>
  <c r="B86" i="19"/>
  <c r="A87" i="19"/>
  <c r="B87" i="19"/>
  <c r="A88" i="19"/>
  <c r="B88" i="19"/>
  <c r="A89" i="19"/>
  <c r="B89" i="19"/>
  <c r="A90" i="19"/>
  <c r="B90" i="19"/>
  <c r="A91" i="19"/>
  <c r="B91" i="19"/>
  <c r="A92" i="19"/>
  <c r="B92" i="19"/>
  <c r="A93" i="19"/>
  <c r="B93" i="19"/>
  <c r="A94" i="19"/>
  <c r="B94" i="19"/>
  <c r="A95" i="19"/>
  <c r="B95" i="19"/>
  <c r="A96" i="19"/>
  <c r="B96" i="19"/>
  <c r="A97" i="19"/>
  <c r="B97" i="19"/>
  <c r="A98" i="19"/>
  <c r="B98" i="19"/>
  <c r="A99" i="19"/>
  <c r="B99" i="19"/>
  <c r="A100" i="19"/>
  <c r="B100" i="19"/>
  <c r="A101" i="19"/>
  <c r="B101" i="19"/>
  <c r="A102" i="19"/>
  <c r="B102" i="19"/>
  <c r="A103" i="19"/>
  <c r="B103" i="19"/>
  <c r="A104" i="19"/>
  <c r="B104" i="19"/>
  <c r="A105" i="19"/>
  <c r="B105" i="19"/>
  <c r="A106" i="19"/>
  <c r="B106" i="19"/>
  <c r="A107" i="19"/>
  <c r="B107" i="19"/>
  <c r="A108" i="19"/>
  <c r="B108" i="19"/>
  <c r="A109" i="19"/>
  <c r="B109" i="19"/>
  <c r="A110" i="19"/>
  <c r="B110" i="19"/>
  <c r="A111" i="19"/>
  <c r="B111" i="19"/>
  <c r="A112" i="19"/>
  <c r="B112" i="19"/>
  <c r="A113" i="19"/>
  <c r="B113" i="19"/>
  <c r="A114" i="19"/>
  <c r="B114" i="19"/>
  <c r="A115" i="19"/>
  <c r="B115" i="19"/>
  <c r="A116" i="19"/>
  <c r="B116" i="19"/>
  <c r="A117" i="19"/>
  <c r="B117" i="19"/>
  <c r="A118" i="19"/>
  <c r="B118" i="19"/>
  <c r="A119" i="19"/>
  <c r="B119" i="19"/>
  <c r="A120" i="19"/>
  <c r="B120" i="19"/>
  <c r="A121" i="19"/>
  <c r="B121" i="19"/>
  <c r="A122" i="19"/>
  <c r="B122" i="19"/>
  <c r="A123" i="19"/>
  <c r="B123" i="19"/>
  <c r="A124" i="19"/>
  <c r="B124" i="19"/>
  <c r="A125" i="19"/>
  <c r="B125" i="19"/>
  <c r="A126" i="19"/>
  <c r="B126" i="19"/>
  <c r="A127" i="19"/>
  <c r="B127" i="19"/>
  <c r="A128" i="19"/>
  <c r="B128" i="19"/>
  <c r="A129" i="19"/>
  <c r="B129" i="19"/>
  <c r="A130" i="19"/>
  <c r="B130" i="19"/>
  <c r="A131" i="19"/>
  <c r="B131" i="19"/>
  <c r="A132" i="19"/>
  <c r="B132" i="19"/>
  <c r="A133" i="19"/>
  <c r="B133" i="19"/>
  <c r="A134" i="19"/>
  <c r="B134" i="19"/>
  <c r="A135" i="19"/>
  <c r="B135" i="19"/>
  <c r="A136" i="19"/>
  <c r="B136" i="19"/>
  <c r="A137" i="19"/>
  <c r="B137" i="19"/>
  <c r="A138" i="19"/>
  <c r="B138" i="19"/>
  <c r="A139" i="19"/>
  <c r="B139" i="19"/>
  <c r="A140" i="19"/>
  <c r="B140" i="19"/>
  <c r="A141" i="19"/>
  <c r="B141" i="19"/>
  <c r="A142" i="19"/>
  <c r="B142" i="19"/>
  <c r="A143" i="19"/>
  <c r="B143" i="19"/>
  <c r="A144" i="19"/>
  <c r="B144" i="19"/>
  <c r="A145" i="19"/>
  <c r="B145" i="19"/>
  <c r="A146" i="19"/>
  <c r="B146" i="19"/>
  <c r="A147" i="19"/>
  <c r="B147" i="19"/>
  <c r="A148" i="19"/>
  <c r="B148" i="19"/>
  <c r="A149" i="19"/>
  <c r="B149" i="19"/>
  <c r="A150" i="19"/>
  <c r="B150" i="19"/>
  <c r="A151" i="19"/>
  <c r="B151" i="19"/>
  <c r="A152" i="19"/>
  <c r="B152" i="19"/>
  <c r="A153" i="19"/>
  <c r="B153" i="19"/>
  <c r="A154" i="19"/>
  <c r="B154" i="19"/>
  <c r="A155" i="19"/>
  <c r="B155" i="19"/>
  <c r="A156" i="19"/>
  <c r="B156" i="19"/>
  <c r="A157" i="19"/>
  <c r="B157" i="19"/>
  <c r="A158" i="19"/>
  <c r="B158" i="19"/>
  <c r="A159" i="19"/>
  <c r="B159" i="19"/>
  <c r="A160" i="19"/>
  <c r="B160" i="19"/>
  <c r="A161" i="19"/>
  <c r="B161" i="19"/>
  <c r="A162" i="19"/>
  <c r="B162" i="19"/>
  <c r="A163" i="19"/>
  <c r="B163" i="19"/>
  <c r="A164" i="19"/>
  <c r="B164" i="19"/>
  <c r="A165" i="19"/>
  <c r="B165" i="19"/>
  <c r="A166" i="19"/>
  <c r="B166" i="19"/>
  <c r="A167" i="19"/>
  <c r="B167" i="19"/>
  <c r="A168" i="19"/>
  <c r="B168" i="19"/>
  <c r="A169" i="19"/>
  <c r="B169" i="19"/>
  <c r="A170" i="19"/>
  <c r="B170" i="19"/>
  <c r="A171" i="19"/>
  <c r="B171" i="19"/>
  <c r="A172" i="19"/>
  <c r="B172" i="19"/>
  <c r="A173" i="19"/>
  <c r="B173" i="19"/>
  <c r="A174" i="19"/>
  <c r="B174" i="19"/>
  <c r="A175" i="19"/>
  <c r="B175" i="19"/>
  <c r="A176" i="19"/>
  <c r="B176" i="19"/>
  <c r="A177" i="19"/>
  <c r="B177" i="19"/>
  <c r="A178" i="19"/>
  <c r="B178" i="19"/>
  <c r="A179" i="19"/>
  <c r="B179" i="19"/>
  <c r="A180" i="19"/>
  <c r="B180" i="19"/>
  <c r="A181" i="19"/>
  <c r="B181" i="19"/>
  <c r="A182" i="19"/>
  <c r="B182" i="19"/>
  <c r="A183" i="19"/>
  <c r="B183" i="19"/>
  <c r="A184" i="19"/>
  <c r="B184" i="19"/>
  <c r="A185" i="19"/>
  <c r="B185" i="19"/>
  <c r="A186" i="19"/>
  <c r="B186" i="19"/>
  <c r="A187" i="19"/>
  <c r="B187" i="19"/>
  <c r="A188" i="19"/>
  <c r="B188" i="19"/>
  <c r="A189" i="19"/>
  <c r="B189" i="19"/>
  <c r="A190" i="19"/>
  <c r="B190" i="19"/>
  <c r="A191" i="19"/>
  <c r="B191" i="19"/>
  <c r="A192" i="19"/>
  <c r="B192" i="19"/>
  <c r="A193" i="19"/>
  <c r="B193" i="19"/>
  <c r="A194" i="19"/>
  <c r="B194" i="19"/>
  <c r="A195" i="19"/>
  <c r="B195" i="19"/>
  <c r="A196" i="19"/>
  <c r="B196" i="19"/>
  <c r="A197" i="19"/>
  <c r="B197" i="19"/>
  <c r="A198" i="19"/>
  <c r="B198" i="19"/>
  <c r="A199" i="19"/>
  <c r="B199" i="19"/>
  <c r="A200" i="19"/>
  <c r="B200" i="19"/>
  <c r="A201" i="19"/>
  <c r="B201" i="19"/>
  <c r="A202" i="19"/>
  <c r="B202" i="19"/>
  <c r="A203" i="19"/>
  <c r="B203" i="19"/>
  <c r="A204" i="19"/>
  <c r="B204" i="19"/>
  <c r="A205" i="19"/>
  <c r="B205" i="19"/>
  <c r="A206" i="19"/>
  <c r="B206" i="19"/>
  <c r="A207" i="19"/>
  <c r="B207" i="19"/>
  <c r="A208" i="19"/>
  <c r="B208" i="19"/>
  <c r="A209" i="19"/>
  <c r="B209" i="19"/>
  <c r="A210" i="19"/>
  <c r="B210" i="19"/>
  <c r="A211" i="19"/>
  <c r="B211" i="19"/>
  <c r="A212" i="19"/>
  <c r="B212" i="19"/>
  <c r="A213" i="19"/>
  <c r="B213" i="19"/>
  <c r="A214" i="19"/>
  <c r="B214" i="19"/>
  <c r="A215" i="19"/>
  <c r="B215" i="19"/>
  <c r="A216" i="19"/>
  <c r="B216" i="19"/>
  <c r="A217" i="19"/>
  <c r="B217" i="19"/>
  <c r="A218" i="19"/>
  <c r="B218" i="19"/>
  <c r="A219" i="19"/>
  <c r="B219" i="19"/>
  <c r="A220" i="19"/>
  <c r="B220" i="19"/>
  <c r="A221" i="19"/>
  <c r="B221" i="19"/>
  <c r="A222" i="19"/>
  <c r="B222" i="19"/>
  <c r="A223" i="19"/>
  <c r="B223" i="19"/>
  <c r="A224" i="19"/>
  <c r="B224" i="19"/>
  <c r="A225" i="19"/>
  <c r="B225" i="19"/>
  <c r="A226" i="19"/>
  <c r="B226" i="19"/>
  <c r="A227" i="19"/>
  <c r="B227" i="19"/>
  <c r="A228" i="19"/>
  <c r="B228" i="19"/>
  <c r="A229" i="19"/>
  <c r="B229" i="19"/>
  <c r="A230" i="19"/>
  <c r="B230" i="19"/>
  <c r="A231" i="19"/>
  <c r="B231" i="19"/>
  <c r="A232" i="19"/>
  <c r="B232" i="19"/>
  <c r="A233" i="19"/>
  <c r="B233" i="19"/>
  <c r="A234" i="19"/>
  <c r="B234" i="19"/>
  <c r="A235" i="19"/>
  <c r="B235" i="19"/>
  <c r="A236" i="19"/>
  <c r="B236" i="19"/>
  <c r="A237" i="19"/>
  <c r="B237" i="19"/>
  <c r="A238" i="19"/>
  <c r="B238" i="19"/>
  <c r="A239" i="19"/>
  <c r="B239" i="19"/>
  <c r="A240" i="19"/>
  <c r="B240" i="19"/>
  <c r="A241" i="19"/>
  <c r="B241" i="19"/>
  <c r="A242" i="19"/>
  <c r="B242" i="19"/>
  <c r="A243" i="19"/>
  <c r="B243" i="19"/>
  <c r="A244" i="19"/>
  <c r="B244" i="19"/>
  <c r="A245" i="19"/>
  <c r="B245" i="19"/>
  <c r="A246" i="19"/>
  <c r="B246" i="19"/>
  <c r="A247" i="19"/>
  <c r="B247" i="19"/>
  <c r="A248" i="19"/>
  <c r="B248" i="19"/>
  <c r="A249" i="19"/>
  <c r="B249" i="19"/>
  <c r="A250" i="19"/>
  <c r="B250" i="19"/>
  <c r="A251" i="19"/>
  <c r="B251" i="19"/>
  <c r="A252" i="19"/>
  <c r="B252" i="19"/>
  <c r="A253" i="19"/>
  <c r="B253" i="19"/>
  <c r="A254" i="19"/>
  <c r="B254" i="19"/>
  <c r="A255" i="19"/>
  <c r="B255" i="19"/>
  <c r="A256" i="19"/>
  <c r="B256" i="19"/>
  <c r="A257" i="19"/>
  <c r="B257" i="19"/>
  <c r="A258" i="19"/>
  <c r="B258" i="19"/>
  <c r="A259" i="19"/>
  <c r="B259" i="19"/>
  <c r="A260" i="19"/>
  <c r="B260" i="19"/>
  <c r="A261" i="19"/>
  <c r="B261" i="19"/>
  <c r="A262" i="19"/>
  <c r="B262" i="19"/>
  <c r="A263" i="19"/>
  <c r="B263" i="19"/>
  <c r="A264" i="19"/>
  <c r="B264" i="19"/>
  <c r="A265" i="19"/>
  <c r="B265" i="19"/>
  <c r="A266" i="19"/>
  <c r="B266" i="19"/>
  <c r="A267" i="19"/>
  <c r="B267" i="19"/>
  <c r="A268" i="19"/>
  <c r="B268" i="19"/>
  <c r="A269" i="19"/>
  <c r="B269" i="19"/>
  <c r="A270" i="19"/>
  <c r="B270" i="19"/>
  <c r="A271" i="19"/>
  <c r="B271" i="19"/>
  <c r="A272" i="19"/>
  <c r="B272" i="19"/>
  <c r="A273" i="19"/>
  <c r="B273" i="19"/>
  <c r="A274" i="19"/>
  <c r="B274" i="19"/>
  <c r="A275" i="19"/>
  <c r="B275" i="19"/>
  <c r="A276" i="19"/>
  <c r="B276" i="19"/>
  <c r="A277" i="19"/>
  <c r="B277" i="19"/>
  <c r="A278" i="19"/>
  <c r="B278" i="19"/>
  <c r="A279" i="19"/>
  <c r="B279" i="19"/>
  <c r="A280" i="19"/>
  <c r="B280" i="19"/>
  <c r="A281" i="19"/>
  <c r="B281" i="19"/>
  <c r="A282" i="19"/>
  <c r="B282" i="19"/>
  <c r="A283" i="19"/>
  <c r="B283" i="19"/>
  <c r="A284" i="19"/>
  <c r="B284" i="19"/>
  <c r="A285" i="19"/>
  <c r="B285" i="19"/>
  <c r="A286" i="19"/>
  <c r="B286" i="19"/>
  <c r="A287" i="19"/>
  <c r="B287" i="19"/>
  <c r="A288" i="19"/>
  <c r="B288" i="19"/>
  <c r="A289" i="19"/>
  <c r="B289" i="19"/>
  <c r="A290" i="19"/>
  <c r="B290" i="19"/>
  <c r="A291" i="19"/>
  <c r="B291" i="19"/>
  <c r="A292" i="19"/>
  <c r="B292" i="19"/>
  <c r="A293" i="19"/>
  <c r="B293" i="19"/>
  <c r="A294" i="19"/>
  <c r="B294" i="19"/>
  <c r="A295" i="19"/>
  <c r="B295" i="19"/>
  <c r="A296" i="19"/>
  <c r="B296" i="19"/>
  <c r="A297" i="19"/>
  <c r="B297" i="19"/>
  <c r="A298" i="19"/>
  <c r="B298" i="19"/>
  <c r="A299" i="19"/>
  <c r="B299" i="19"/>
  <c r="A300" i="19"/>
  <c r="B300" i="19"/>
  <c r="A301" i="19"/>
  <c r="B301" i="19"/>
  <c r="A302" i="19"/>
  <c r="B302" i="19"/>
  <c r="A303" i="19"/>
  <c r="B303" i="19"/>
  <c r="A304" i="19"/>
  <c r="B304" i="19"/>
  <c r="A305" i="19"/>
  <c r="B305" i="19"/>
  <c r="A306" i="19"/>
  <c r="B306" i="19"/>
  <c r="A307" i="19"/>
  <c r="B307" i="19"/>
  <c r="A308" i="19"/>
  <c r="B308" i="19"/>
  <c r="A309" i="19"/>
  <c r="B309" i="19"/>
  <c r="A310" i="19"/>
  <c r="B310" i="19"/>
  <c r="A311" i="19"/>
  <c r="B311" i="19"/>
  <c r="A312" i="19"/>
  <c r="B312" i="19"/>
  <c r="A313" i="19"/>
  <c r="B313" i="19"/>
  <c r="A314" i="19"/>
  <c r="B314" i="19"/>
  <c r="I5" i="12" l="1"/>
  <c r="C4" i="13" l="1"/>
  <c r="G315" i="42" l="1"/>
  <c r="K315" i="42"/>
  <c r="L315" i="42"/>
  <c r="D315" i="42"/>
  <c r="E315" i="42"/>
  <c r="C315" i="42"/>
  <c r="I7" i="11" l="1"/>
  <c r="I8" i="11"/>
  <c r="I9" i="11"/>
  <c r="I10" i="11"/>
  <c r="I11" i="11"/>
  <c r="I12" i="11"/>
  <c r="I13" i="11"/>
  <c r="I14" i="11"/>
  <c r="I15" i="11"/>
  <c r="I16" i="11"/>
  <c r="I17" i="11"/>
  <c r="I18" i="11"/>
  <c r="I19" i="11"/>
  <c r="I20" i="11"/>
  <c r="I21" i="11"/>
  <c r="I22" i="11"/>
  <c r="I23" i="11"/>
  <c r="I24" i="11"/>
  <c r="I25" i="11"/>
  <c r="I26" i="11"/>
  <c r="I27" i="11"/>
  <c r="I28" i="11"/>
  <c r="I29" i="11"/>
  <c r="I30" i="11"/>
  <c r="I31" i="11"/>
  <c r="I32" i="11"/>
  <c r="I33" i="11"/>
  <c r="I34" i="11"/>
  <c r="I35" i="11"/>
  <c r="I36" i="11"/>
  <c r="I37" i="11"/>
  <c r="I38" i="11"/>
  <c r="I39" i="11"/>
  <c r="I40" i="11"/>
  <c r="I41" i="11"/>
  <c r="I42" i="11"/>
  <c r="I43" i="11"/>
  <c r="I44" i="11"/>
  <c r="I45" i="11"/>
  <c r="I46" i="11"/>
  <c r="I47" i="11"/>
  <c r="I48" i="11"/>
  <c r="I49" i="11"/>
  <c r="I50" i="11"/>
  <c r="I51" i="11"/>
  <c r="I52" i="11"/>
  <c r="I53" i="11"/>
  <c r="I54" i="11"/>
  <c r="I55" i="11"/>
  <c r="I56" i="11"/>
  <c r="I57" i="11"/>
  <c r="I58" i="11"/>
  <c r="I59" i="11"/>
  <c r="I60" i="11"/>
  <c r="I61" i="11"/>
  <c r="I62" i="11"/>
  <c r="I63" i="11"/>
  <c r="I64" i="11"/>
  <c r="I65" i="11"/>
  <c r="I66" i="11"/>
  <c r="I67" i="11"/>
  <c r="I68" i="11"/>
  <c r="I69" i="11"/>
  <c r="I70" i="11"/>
  <c r="I71" i="11"/>
  <c r="I72" i="11"/>
  <c r="I73" i="11"/>
  <c r="I74" i="11"/>
  <c r="I75" i="11"/>
  <c r="I76" i="11"/>
  <c r="I77" i="11"/>
  <c r="I78" i="11"/>
  <c r="I79" i="11"/>
  <c r="I80" i="11"/>
  <c r="I81" i="11"/>
  <c r="I82" i="11"/>
  <c r="I83" i="11"/>
  <c r="I84" i="11"/>
  <c r="I85" i="11"/>
  <c r="I86" i="11"/>
  <c r="I87" i="11"/>
  <c r="I88" i="11"/>
  <c r="I89" i="11"/>
  <c r="I90" i="11"/>
  <c r="I91" i="11"/>
  <c r="I92" i="11"/>
  <c r="I93" i="11"/>
  <c r="I94" i="11"/>
  <c r="I95" i="11"/>
  <c r="I96" i="11"/>
  <c r="I97" i="11"/>
  <c r="I98" i="11"/>
  <c r="I99" i="11"/>
  <c r="I100" i="11"/>
  <c r="I101" i="11"/>
  <c r="I102" i="11"/>
  <c r="I103" i="11"/>
  <c r="I104" i="11"/>
  <c r="I105" i="11"/>
  <c r="I106" i="11"/>
  <c r="I107" i="11"/>
  <c r="I108" i="11"/>
  <c r="I109" i="11"/>
  <c r="I110" i="11"/>
  <c r="I111" i="11"/>
  <c r="I112" i="11"/>
  <c r="I113" i="11"/>
  <c r="I114" i="11"/>
  <c r="I115" i="11"/>
  <c r="I116" i="11"/>
  <c r="I117" i="11"/>
  <c r="I118" i="11"/>
  <c r="I119" i="11"/>
  <c r="I120" i="11"/>
  <c r="I121" i="11"/>
  <c r="I122" i="11"/>
  <c r="I123" i="11"/>
  <c r="I124" i="11"/>
  <c r="I125" i="11"/>
  <c r="I126" i="11"/>
  <c r="I127" i="11"/>
  <c r="I128" i="11"/>
  <c r="I129" i="11"/>
  <c r="I130" i="11"/>
  <c r="I131" i="11"/>
  <c r="I132" i="11"/>
  <c r="I133" i="11"/>
  <c r="I134" i="11"/>
  <c r="I135" i="11"/>
  <c r="I136" i="11"/>
  <c r="I137" i="11"/>
  <c r="I138" i="11"/>
  <c r="I139" i="11"/>
  <c r="I140" i="11"/>
  <c r="I141" i="11"/>
  <c r="I142" i="11"/>
  <c r="I143" i="11"/>
  <c r="I144" i="11"/>
  <c r="I145" i="11"/>
  <c r="I146" i="11"/>
  <c r="I147" i="11"/>
  <c r="I148" i="11"/>
  <c r="I149" i="11"/>
  <c r="I150" i="11"/>
  <c r="I151" i="11"/>
  <c r="I152" i="11"/>
  <c r="I153" i="11"/>
  <c r="I154" i="11"/>
  <c r="I155" i="11"/>
  <c r="I156" i="11"/>
  <c r="I157" i="11"/>
  <c r="I158" i="11"/>
  <c r="I159" i="11"/>
  <c r="I160" i="11"/>
  <c r="I161" i="11"/>
  <c r="I162" i="11"/>
  <c r="I163" i="11"/>
  <c r="I164" i="11"/>
  <c r="I165" i="11"/>
  <c r="I166" i="11"/>
  <c r="I167" i="11"/>
  <c r="I168" i="11"/>
  <c r="I169" i="11"/>
  <c r="I170" i="11"/>
  <c r="I171" i="11"/>
  <c r="I172" i="11"/>
  <c r="I173" i="11"/>
  <c r="I174" i="11"/>
  <c r="I175" i="11"/>
  <c r="I176" i="11"/>
  <c r="I177" i="11"/>
  <c r="I178" i="11"/>
  <c r="I179" i="11"/>
  <c r="I180" i="11"/>
  <c r="I181" i="11"/>
  <c r="I182" i="11"/>
  <c r="I183" i="11"/>
  <c r="I184" i="11"/>
  <c r="I185" i="11"/>
  <c r="I186" i="11"/>
  <c r="I187" i="11"/>
  <c r="I188" i="11"/>
  <c r="I189" i="11"/>
  <c r="I190" i="11"/>
  <c r="I191" i="11"/>
  <c r="I192" i="11"/>
  <c r="I193" i="11"/>
  <c r="I194" i="11"/>
  <c r="I195" i="11"/>
  <c r="I196" i="11"/>
  <c r="I197" i="11"/>
  <c r="I198" i="11"/>
  <c r="I199" i="11"/>
  <c r="I200" i="11"/>
  <c r="I201" i="11"/>
  <c r="I202" i="11"/>
  <c r="I203" i="11"/>
  <c r="I204" i="11"/>
  <c r="I205" i="11"/>
  <c r="I206" i="11"/>
  <c r="I207" i="11"/>
  <c r="I208" i="11"/>
  <c r="I209" i="11"/>
  <c r="I210" i="11"/>
  <c r="I211" i="11"/>
  <c r="I212" i="11"/>
  <c r="I213" i="11"/>
  <c r="I214" i="11"/>
  <c r="I215" i="11"/>
  <c r="I216" i="11"/>
  <c r="I217" i="11"/>
  <c r="I218" i="11"/>
  <c r="I219" i="11"/>
  <c r="I220" i="11"/>
  <c r="I221" i="11"/>
  <c r="I222" i="11"/>
  <c r="I223" i="11"/>
  <c r="I224" i="11"/>
  <c r="I225" i="11"/>
  <c r="I226" i="11"/>
  <c r="I227" i="11"/>
  <c r="I228" i="11"/>
  <c r="I229" i="11"/>
  <c r="I230" i="11"/>
  <c r="I231" i="11"/>
  <c r="I232" i="11"/>
  <c r="I233" i="11"/>
  <c r="I234" i="11"/>
  <c r="I235" i="11"/>
  <c r="I236" i="11"/>
  <c r="I237" i="11"/>
  <c r="I238" i="11"/>
  <c r="I239" i="11"/>
  <c r="I240" i="11"/>
  <c r="I241" i="11"/>
  <c r="I242" i="11"/>
  <c r="I243" i="11"/>
  <c r="I244" i="11"/>
  <c r="I245" i="11"/>
  <c r="I246" i="11"/>
  <c r="I247" i="11"/>
  <c r="I248" i="11"/>
  <c r="I249" i="11"/>
  <c r="I250" i="11"/>
  <c r="I251" i="11"/>
  <c r="I252" i="11"/>
  <c r="I253" i="11"/>
  <c r="I254" i="11"/>
  <c r="I255" i="11"/>
  <c r="I256" i="11"/>
  <c r="I257" i="11"/>
  <c r="I258" i="11"/>
  <c r="I259" i="11"/>
  <c r="I260" i="11"/>
  <c r="I261" i="11"/>
  <c r="I262" i="11"/>
  <c r="I263" i="11"/>
  <c r="I264" i="11"/>
  <c r="I265" i="11"/>
  <c r="I266" i="11"/>
  <c r="I267" i="11"/>
  <c r="I268" i="11"/>
  <c r="I269" i="11"/>
  <c r="I270" i="11"/>
  <c r="I271" i="11"/>
  <c r="I272" i="11"/>
  <c r="I273" i="11"/>
  <c r="I274" i="11"/>
  <c r="I275" i="11"/>
  <c r="I276" i="11"/>
  <c r="I277" i="11"/>
  <c r="I278" i="11"/>
  <c r="I279" i="11"/>
  <c r="I280" i="11"/>
  <c r="I281" i="11"/>
  <c r="I282" i="11"/>
  <c r="I283" i="11"/>
  <c r="I284" i="11"/>
  <c r="I285" i="11"/>
  <c r="I286" i="11"/>
  <c r="I287" i="11"/>
  <c r="I288" i="11"/>
  <c r="I289" i="11"/>
  <c r="I290" i="11"/>
  <c r="I291" i="11"/>
  <c r="I292" i="11"/>
  <c r="I293" i="11"/>
  <c r="I294" i="11"/>
  <c r="I295" i="11"/>
  <c r="I296" i="11"/>
  <c r="I297" i="11"/>
  <c r="I298" i="11"/>
  <c r="I299" i="11"/>
  <c r="I300" i="11"/>
  <c r="I301" i="11"/>
  <c r="I302" i="11"/>
  <c r="I303" i="11"/>
  <c r="I304" i="11"/>
  <c r="I305" i="11"/>
  <c r="I306" i="11"/>
  <c r="I307" i="11"/>
  <c r="I308" i="11"/>
  <c r="I309" i="11"/>
  <c r="I310" i="11"/>
  <c r="I311" i="11"/>
  <c r="I312" i="11"/>
  <c r="I313" i="11"/>
  <c r="J7" i="19" l="1"/>
  <c r="H5" i="33"/>
  <c r="I5" i="33"/>
  <c r="J5" i="33"/>
  <c r="K5" i="33"/>
  <c r="H4" i="33"/>
  <c r="I4" i="33"/>
  <c r="J4" i="33"/>
  <c r="K4" i="33"/>
  <c r="C315" i="13" l="1"/>
  <c r="T170" i="13" l="1"/>
  <c r="T219" i="13"/>
  <c r="T244" i="13"/>
  <c r="M169" i="42" l="1"/>
  <c r="T169" i="42" s="1"/>
  <c r="AE169" i="42" s="1"/>
  <c r="G6" i="37" l="1"/>
  <c r="S7" i="19"/>
  <c r="U6" i="42" l="1"/>
  <c r="V6" i="42"/>
  <c r="W315" i="42" l="1"/>
  <c r="X315" i="42"/>
  <c r="Y315" i="42"/>
  <c r="A242" i="49" l="1"/>
  <c r="A243" i="49"/>
  <c r="A244" i="49"/>
  <c r="A245" i="49"/>
  <c r="A246" i="49"/>
  <c r="A244" i="13" l="1"/>
  <c r="B244" i="13"/>
  <c r="B243" i="49"/>
  <c r="A7" i="11" l="1"/>
  <c r="B7" i="11"/>
  <c r="A8" i="11"/>
  <c r="B8" i="11"/>
  <c r="A9" i="11"/>
  <c r="B9" i="11"/>
  <c r="A10" i="11"/>
  <c r="B10" i="11"/>
  <c r="A11" i="11"/>
  <c r="B11" i="11"/>
  <c r="A12" i="11"/>
  <c r="B12" i="11"/>
  <c r="A13" i="11"/>
  <c r="B13" i="11"/>
  <c r="A14" i="11"/>
  <c r="B14" i="11"/>
  <c r="A15" i="11"/>
  <c r="B15" i="11"/>
  <c r="A16" i="11"/>
  <c r="B16" i="11"/>
  <c r="A17" i="11"/>
  <c r="B17" i="11"/>
  <c r="A18" i="11"/>
  <c r="B18" i="11"/>
  <c r="A19" i="11"/>
  <c r="B19" i="11"/>
  <c r="A20" i="11"/>
  <c r="B20" i="11"/>
  <c r="A21" i="11"/>
  <c r="B21" i="11"/>
  <c r="A22" i="11"/>
  <c r="B22" i="11"/>
  <c r="A23" i="11"/>
  <c r="B23" i="11"/>
  <c r="A24" i="11"/>
  <c r="B24" i="11"/>
  <c r="A25" i="11"/>
  <c r="B25" i="11"/>
  <c r="A26" i="11"/>
  <c r="B26" i="11"/>
  <c r="A27" i="11"/>
  <c r="B27" i="11"/>
  <c r="A28" i="11"/>
  <c r="B28" i="11"/>
  <c r="A29" i="11"/>
  <c r="B29" i="11"/>
  <c r="A30" i="11"/>
  <c r="B30" i="11"/>
  <c r="A31" i="11"/>
  <c r="B31" i="11"/>
  <c r="A32" i="11"/>
  <c r="B32" i="11"/>
  <c r="A33" i="11"/>
  <c r="B33" i="11"/>
  <c r="A34" i="11"/>
  <c r="B34" i="11"/>
  <c r="A35" i="11"/>
  <c r="B35" i="11"/>
  <c r="A36" i="11"/>
  <c r="B36" i="11"/>
  <c r="A37" i="11"/>
  <c r="B37" i="11"/>
  <c r="A38" i="11"/>
  <c r="B38" i="11"/>
  <c r="A39" i="11"/>
  <c r="B39" i="11"/>
  <c r="A40" i="11"/>
  <c r="B40" i="11"/>
  <c r="A41" i="11"/>
  <c r="B41" i="11"/>
  <c r="A42" i="11"/>
  <c r="B42" i="11"/>
  <c r="A43" i="11"/>
  <c r="B43" i="11"/>
  <c r="A44" i="11"/>
  <c r="B44" i="11"/>
  <c r="A45" i="11"/>
  <c r="B45" i="11"/>
  <c r="A46" i="11"/>
  <c r="B46" i="11"/>
  <c r="A47" i="11"/>
  <c r="B47" i="11"/>
  <c r="A48" i="11"/>
  <c r="B48" i="11"/>
  <c r="A49" i="11"/>
  <c r="B49" i="11"/>
  <c r="A50" i="11"/>
  <c r="B50" i="11"/>
  <c r="A51" i="11"/>
  <c r="B51" i="11"/>
  <c r="A52" i="11"/>
  <c r="B52" i="11"/>
  <c r="A53" i="11"/>
  <c r="B53" i="11"/>
  <c r="A54" i="11"/>
  <c r="B54" i="11"/>
  <c r="A55" i="11"/>
  <c r="B55" i="11"/>
  <c r="A56" i="11"/>
  <c r="B56" i="11"/>
  <c r="A57" i="11"/>
  <c r="B57" i="11"/>
  <c r="A58" i="11"/>
  <c r="B58" i="11"/>
  <c r="A59" i="11"/>
  <c r="B59" i="11"/>
  <c r="A60" i="11"/>
  <c r="B60" i="11"/>
  <c r="A61" i="11"/>
  <c r="B61" i="11"/>
  <c r="A62" i="11"/>
  <c r="B62" i="11"/>
  <c r="A63" i="11"/>
  <c r="B63" i="11"/>
  <c r="A64" i="11"/>
  <c r="B64" i="11"/>
  <c r="A65" i="11"/>
  <c r="B65" i="11"/>
  <c r="A66" i="11"/>
  <c r="B66" i="11"/>
  <c r="A67" i="11"/>
  <c r="B67" i="11"/>
  <c r="A68" i="11"/>
  <c r="B68" i="11"/>
  <c r="A69" i="11"/>
  <c r="B69" i="11"/>
  <c r="A70" i="11"/>
  <c r="B70" i="11"/>
  <c r="A71" i="11"/>
  <c r="B71" i="11"/>
  <c r="A72" i="11"/>
  <c r="B72" i="11"/>
  <c r="A73" i="11"/>
  <c r="B73" i="11"/>
  <c r="A74" i="11"/>
  <c r="B74" i="11"/>
  <c r="A75" i="11"/>
  <c r="B75" i="11"/>
  <c r="A76" i="11"/>
  <c r="B76" i="11"/>
  <c r="A77" i="11"/>
  <c r="B77" i="11"/>
  <c r="A78" i="11"/>
  <c r="B78" i="11"/>
  <c r="A79" i="11"/>
  <c r="B79" i="11"/>
  <c r="A80" i="11"/>
  <c r="B80" i="11"/>
  <c r="A81" i="11"/>
  <c r="B81" i="11"/>
  <c r="A82" i="11"/>
  <c r="B82" i="11"/>
  <c r="A83" i="11"/>
  <c r="B83" i="11"/>
  <c r="A84" i="11"/>
  <c r="B84" i="11"/>
  <c r="A85" i="11"/>
  <c r="B85" i="11"/>
  <c r="A86" i="11"/>
  <c r="B86" i="11"/>
  <c r="A87" i="11"/>
  <c r="B87" i="11"/>
  <c r="A88" i="11"/>
  <c r="B88" i="11"/>
  <c r="A89" i="11"/>
  <c r="B89" i="11"/>
  <c r="A90" i="11"/>
  <c r="B90" i="11"/>
  <c r="A91" i="11"/>
  <c r="B91" i="11"/>
  <c r="A92" i="11"/>
  <c r="B92" i="11"/>
  <c r="A93" i="11"/>
  <c r="B93" i="11"/>
  <c r="A94" i="11"/>
  <c r="B94" i="11"/>
  <c r="A95" i="11"/>
  <c r="B95" i="11"/>
  <c r="A96" i="11"/>
  <c r="B96" i="11"/>
  <c r="A97" i="11"/>
  <c r="B97" i="11"/>
  <c r="A98" i="11"/>
  <c r="B98" i="11"/>
  <c r="A99" i="11"/>
  <c r="B99" i="11"/>
  <c r="A100" i="11"/>
  <c r="B100" i="11"/>
  <c r="A101" i="11"/>
  <c r="B101" i="11"/>
  <c r="A102" i="11"/>
  <c r="B102" i="11"/>
  <c r="A103" i="11"/>
  <c r="B103" i="11"/>
  <c r="A104" i="11"/>
  <c r="B104" i="11"/>
  <c r="A105" i="11"/>
  <c r="B105" i="11"/>
  <c r="A106" i="11"/>
  <c r="B106" i="11"/>
  <c r="A107" i="11"/>
  <c r="B107" i="11"/>
  <c r="A108" i="11"/>
  <c r="B108" i="11"/>
  <c r="A109" i="11"/>
  <c r="B109" i="11"/>
  <c r="A110" i="11"/>
  <c r="B110" i="11"/>
  <c r="A111" i="11"/>
  <c r="B111" i="11"/>
  <c r="A112" i="11"/>
  <c r="B112" i="11"/>
  <c r="A113" i="11"/>
  <c r="B113" i="11"/>
  <c r="A114" i="11"/>
  <c r="B114" i="11"/>
  <c r="A115" i="11"/>
  <c r="B115" i="11"/>
  <c r="A116" i="11"/>
  <c r="B116" i="11"/>
  <c r="A117" i="11"/>
  <c r="B117" i="11"/>
  <c r="A118" i="11"/>
  <c r="B118" i="11"/>
  <c r="A119" i="11"/>
  <c r="B119" i="11"/>
  <c r="A120" i="11"/>
  <c r="B120" i="11"/>
  <c r="A121" i="11"/>
  <c r="B121" i="11"/>
  <c r="A122" i="11"/>
  <c r="B122" i="11"/>
  <c r="A123" i="11"/>
  <c r="B123" i="11"/>
  <c r="A124" i="11"/>
  <c r="B124" i="11"/>
  <c r="A125" i="11"/>
  <c r="B125" i="11"/>
  <c r="A126" i="11"/>
  <c r="B126" i="11"/>
  <c r="A127" i="11"/>
  <c r="B127" i="11"/>
  <c r="A128" i="11"/>
  <c r="B128" i="11"/>
  <c r="A129" i="11"/>
  <c r="B129" i="11"/>
  <c r="A130" i="11"/>
  <c r="B130" i="11"/>
  <c r="A131" i="11"/>
  <c r="B131" i="11"/>
  <c r="A132" i="11"/>
  <c r="B132" i="11"/>
  <c r="A133" i="11"/>
  <c r="B133" i="11"/>
  <c r="A134" i="11"/>
  <c r="B134" i="11"/>
  <c r="A135" i="11"/>
  <c r="B135" i="11"/>
  <c r="A136" i="11"/>
  <c r="B136" i="11"/>
  <c r="A137" i="11"/>
  <c r="B137" i="11"/>
  <c r="A138" i="11"/>
  <c r="B138" i="11"/>
  <c r="A139" i="11"/>
  <c r="B139" i="11"/>
  <c r="A140" i="11"/>
  <c r="B140" i="11"/>
  <c r="A141" i="11"/>
  <c r="B141" i="11"/>
  <c r="A142" i="11"/>
  <c r="B142" i="11"/>
  <c r="A143" i="11"/>
  <c r="B143" i="11"/>
  <c r="A144" i="11"/>
  <c r="B144" i="11"/>
  <c r="A145" i="11"/>
  <c r="B145" i="11"/>
  <c r="A146" i="11"/>
  <c r="B146" i="11"/>
  <c r="A147" i="11"/>
  <c r="B147" i="11"/>
  <c r="A148" i="11"/>
  <c r="B148" i="11"/>
  <c r="A149" i="11"/>
  <c r="B149" i="11"/>
  <c r="A150" i="11"/>
  <c r="B150" i="11"/>
  <c r="A151" i="11"/>
  <c r="B151" i="11"/>
  <c r="A152" i="11"/>
  <c r="B152" i="11"/>
  <c r="A153" i="11"/>
  <c r="B153" i="11"/>
  <c r="A154" i="11"/>
  <c r="B154" i="11"/>
  <c r="A155" i="11"/>
  <c r="B155" i="11"/>
  <c r="A156" i="11"/>
  <c r="B156" i="11"/>
  <c r="A157" i="11"/>
  <c r="B157" i="11"/>
  <c r="A158" i="11"/>
  <c r="B158" i="11"/>
  <c r="A159" i="11"/>
  <c r="B159" i="11"/>
  <c r="A160" i="11"/>
  <c r="B160" i="11"/>
  <c r="A161" i="11"/>
  <c r="B161" i="11"/>
  <c r="A162" i="11"/>
  <c r="B162" i="11"/>
  <c r="A163" i="11"/>
  <c r="B163" i="11"/>
  <c r="A164" i="11"/>
  <c r="B164" i="11"/>
  <c r="A165" i="11"/>
  <c r="B165" i="11"/>
  <c r="A166" i="11"/>
  <c r="B166" i="11"/>
  <c r="A167" i="11"/>
  <c r="B167" i="11"/>
  <c r="A168" i="11"/>
  <c r="B168" i="11"/>
  <c r="A169" i="11"/>
  <c r="B169" i="11"/>
  <c r="A170" i="11"/>
  <c r="B170" i="11"/>
  <c r="A171" i="11"/>
  <c r="B171" i="11"/>
  <c r="A172" i="11"/>
  <c r="B172" i="11"/>
  <c r="A173" i="11"/>
  <c r="B173" i="11"/>
  <c r="A174" i="11"/>
  <c r="B174" i="11"/>
  <c r="A175" i="11"/>
  <c r="B175" i="11"/>
  <c r="A176" i="11"/>
  <c r="B176" i="11"/>
  <c r="A177" i="11"/>
  <c r="B177" i="11"/>
  <c r="A178" i="11"/>
  <c r="B178" i="11"/>
  <c r="A179" i="11"/>
  <c r="B179" i="11"/>
  <c r="A180" i="11"/>
  <c r="B180" i="11"/>
  <c r="A181" i="11"/>
  <c r="B181" i="11"/>
  <c r="A182" i="11"/>
  <c r="B182" i="11"/>
  <c r="A183" i="11"/>
  <c r="B183" i="11"/>
  <c r="A184" i="11"/>
  <c r="B184" i="11"/>
  <c r="A185" i="11"/>
  <c r="B185" i="11"/>
  <c r="A186" i="11"/>
  <c r="B186" i="11"/>
  <c r="A187" i="11"/>
  <c r="B187" i="11"/>
  <c r="A188" i="11"/>
  <c r="B188" i="11"/>
  <c r="A189" i="11"/>
  <c r="B189" i="11"/>
  <c r="A190" i="11"/>
  <c r="B190" i="11"/>
  <c r="A191" i="11"/>
  <c r="B191" i="11"/>
  <c r="A192" i="11"/>
  <c r="B192" i="11"/>
  <c r="A193" i="11"/>
  <c r="B193" i="11"/>
  <c r="A194" i="11"/>
  <c r="B194" i="11"/>
  <c r="A195" i="11"/>
  <c r="B195" i="11"/>
  <c r="A196" i="11"/>
  <c r="B196" i="11"/>
  <c r="A197" i="11"/>
  <c r="B197" i="11"/>
  <c r="A198" i="11"/>
  <c r="B198" i="11"/>
  <c r="A199" i="11"/>
  <c r="B199" i="11"/>
  <c r="A200" i="11"/>
  <c r="B200" i="11"/>
  <c r="A201" i="11"/>
  <c r="B201" i="11"/>
  <c r="A202" i="11"/>
  <c r="B202" i="11"/>
  <c r="A203" i="11"/>
  <c r="B203" i="11"/>
  <c r="A204" i="11"/>
  <c r="B204" i="11"/>
  <c r="A205" i="11"/>
  <c r="B205" i="11"/>
  <c r="A206" i="11"/>
  <c r="B206" i="11"/>
  <c r="A207" i="11"/>
  <c r="B207" i="11"/>
  <c r="A208" i="11"/>
  <c r="B208" i="11"/>
  <c r="A209" i="11"/>
  <c r="B209" i="11"/>
  <c r="A210" i="11"/>
  <c r="B210" i="11"/>
  <c r="A211" i="11"/>
  <c r="B211" i="11"/>
  <c r="A212" i="11"/>
  <c r="B212" i="11"/>
  <c r="A213" i="11"/>
  <c r="B213" i="11"/>
  <c r="A214" i="11"/>
  <c r="B214" i="11"/>
  <c r="A215" i="11"/>
  <c r="B215" i="11"/>
  <c r="A216" i="11"/>
  <c r="B216" i="11"/>
  <c r="A217" i="11"/>
  <c r="B217" i="11"/>
  <c r="A218" i="11"/>
  <c r="B218" i="11"/>
  <c r="A219" i="11"/>
  <c r="B219" i="11"/>
  <c r="A220" i="11"/>
  <c r="B220" i="11"/>
  <c r="A221" i="11"/>
  <c r="B221" i="11"/>
  <c r="A222" i="11"/>
  <c r="B222" i="11"/>
  <c r="A223" i="11"/>
  <c r="B223" i="11"/>
  <c r="A224" i="11"/>
  <c r="B224" i="11"/>
  <c r="A225" i="11"/>
  <c r="B225" i="11"/>
  <c r="A226" i="11"/>
  <c r="B226" i="11"/>
  <c r="A227" i="11"/>
  <c r="B227" i="11"/>
  <c r="A228" i="11"/>
  <c r="B228" i="11"/>
  <c r="A229" i="11"/>
  <c r="B229" i="11"/>
  <c r="A230" i="11"/>
  <c r="B230" i="11"/>
  <c r="A231" i="11"/>
  <c r="B231" i="11"/>
  <c r="A232" i="11"/>
  <c r="B232" i="11"/>
  <c r="A233" i="11"/>
  <c r="B233" i="11"/>
  <c r="A234" i="11"/>
  <c r="B234" i="11"/>
  <c r="A235" i="11"/>
  <c r="B235" i="11"/>
  <c r="A236" i="11"/>
  <c r="B236" i="11"/>
  <c r="A237" i="11"/>
  <c r="B237" i="11"/>
  <c r="A238" i="11"/>
  <c r="B238" i="11"/>
  <c r="A239" i="11"/>
  <c r="B239" i="11"/>
  <c r="A240" i="11"/>
  <c r="B240" i="11"/>
  <c r="A241" i="11"/>
  <c r="B241" i="11"/>
  <c r="A242" i="11"/>
  <c r="B242" i="11"/>
  <c r="A243" i="11"/>
  <c r="B243" i="11"/>
  <c r="A244" i="11"/>
  <c r="B244" i="11"/>
  <c r="A245" i="11"/>
  <c r="B245" i="11"/>
  <c r="A246" i="11"/>
  <c r="B246" i="11"/>
  <c r="A247" i="11"/>
  <c r="B247" i="11"/>
  <c r="A248" i="11"/>
  <c r="B248" i="11"/>
  <c r="A249" i="11"/>
  <c r="B249" i="11"/>
  <c r="A250" i="11"/>
  <c r="B250" i="11"/>
  <c r="A251" i="11"/>
  <c r="B251" i="11"/>
  <c r="A252" i="11"/>
  <c r="B252" i="11"/>
  <c r="A253" i="11"/>
  <c r="B253" i="11"/>
  <c r="A254" i="11"/>
  <c r="B254" i="11"/>
  <c r="A255" i="11"/>
  <c r="B255" i="11"/>
  <c r="A256" i="11"/>
  <c r="B256" i="11"/>
  <c r="A257" i="11"/>
  <c r="B257" i="11"/>
  <c r="A258" i="11"/>
  <c r="B258" i="11"/>
  <c r="A259" i="11"/>
  <c r="B259" i="11"/>
  <c r="A260" i="11"/>
  <c r="B260" i="11"/>
  <c r="A261" i="11"/>
  <c r="B261" i="11"/>
  <c r="A262" i="11"/>
  <c r="B262" i="11"/>
  <c r="A263" i="11"/>
  <c r="B263" i="11"/>
  <c r="A264" i="11"/>
  <c r="B264" i="11"/>
  <c r="A265" i="11"/>
  <c r="B265" i="11"/>
  <c r="A266" i="11"/>
  <c r="B266" i="11"/>
  <c r="A267" i="11"/>
  <c r="B267" i="11"/>
  <c r="A268" i="11"/>
  <c r="B268" i="11"/>
  <c r="A269" i="11"/>
  <c r="B269" i="11"/>
  <c r="A270" i="11"/>
  <c r="B270" i="11"/>
  <c r="A271" i="11"/>
  <c r="B271" i="11"/>
  <c r="A272" i="11"/>
  <c r="B272" i="11"/>
  <c r="A273" i="11"/>
  <c r="B273" i="11"/>
  <c r="A274" i="11"/>
  <c r="B274" i="11"/>
  <c r="A275" i="11"/>
  <c r="B275" i="11"/>
  <c r="A276" i="11"/>
  <c r="B276" i="11"/>
  <c r="A277" i="11"/>
  <c r="B277" i="11"/>
  <c r="A278" i="11"/>
  <c r="B278" i="11"/>
  <c r="A279" i="11"/>
  <c r="B279" i="11"/>
  <c r="A280" i="11"/>
  <c r="B280" i="11"/>
  <c r="A281" i="11"/>
  <c r="B281" i="11"/>
  <c r="A282" i="11"/>
  <c r="B282" i="11"/>
  <c r="A283" i="11"/>
  <c r="B283" i="11"/>
  <c r="A284" i="11"/>
  <c r="B284" i="11"/>
  <c r="A285" i="11"/>
  <c r="B285" i="11"/>
  <c r="A286" i="11"/>
  <c r="B286" i="11"/>
  <c r="A287" i="11"/>
  <c r="B287" i="11"/>
  <c r="A288" i="11"/>
  <c r="B288" i="11"/>
  <c r="A289" i="11"/>
  <c r="B289" i="11"/>
  <c r="A290" i="11"/>
  <c r="B290" i="11"/>
  <c r="A291" i="11"/>
  <c r="B291" i="11"/>
  <c r="A292" i="11"/>
  <c r="B292" i="11"/>
  <c r="A293" i="11"/>
  <c r="B293" i="11"/>
  <c r="A294" i="11"/>
  <c r="B294" i="11"/>
  <c r="A295" i="11"/>
  <c r="B295" i="11"/>
  <c r="A296" i="11"/>
  <c r="B296" i="11"/>
  <c r="A297" i="11"/>
  <c r="B297" i="11"/>
  <c r="A298" i="11"/>
  <c r="B298" i="11"/>
  <c r="A299" i="11"/>
  <c r="B299" i="11"/>
  <c r="A300" i="11"/>
  <c r="B300" i="11"/>
  <c r="A301" i="11"/>
  <c r="B301" i="11"/>
  <c r="A302" i="11"/>
  <c r="B302" i="11"/>
  <c r="A303" i="11"/>
  <c r="B303" i="11"/>
  <c r="A304" i="11"/>
  <c r="B304" i="11"/>
  <c r="A305" i="11"/>
  <c r="B305" i="11"/>
  <c r="A306" i="11"/>
  <c r="B306" i="11"/>
  <c r="A307" i="11"/>
  <c r="B307" i="11"/>
  <c r="A308" i="11"/>
  <c r="B308" i="11"/>
  <c r="A309" i="11"/>
  <c r="B309" i="11"/>
  <c r="A310" i="11"/>
  <c r="B310" i="11"/>
  <c r="A311" i="11"/>
  <c r="B311" i="11"/>
  <c r="A312" i="11"/>
  <c r="B312" i="11"/>
  <c r="A313" i="11"/>
  <c r="B313" i="11"/>
  <c r="B6" i="11"/>
  <c r="A6" i="11"/>
  <c r="C7" i="25"/>
  <c r="C8" i="25"/>
  <c r="C9" i="25"/>
  <c r="C10" i="25"/>
  <c r="C11" i="25"/>
  <c r="C12" i="25"/>
  <c r="C13" i="25"/>
  <c r="C14" i="25"/>
  <c r="C15" i="25"/>
  <c r="C16" i="25"/>
  <c r="C17" i="25"/>
  <c r="C18" i="25"/>
  <c r="C19" i="25"/>
  <c r="C20" i="25"/>
  <c r="C21" i="25"/>
  <c r="C22" i="25"/>
  <c r="C23" i="25"/>
  <c r="C24" i="25"/>
  <c r="C25" i="25"/>
  <c r="C26" i="25"/>
  <c r="C27" i="25"/>
  <c r="C28" i="25"/>
  <c r="C29" i="25"/>
  <c r="C30" i="25"/>
  <c r="C31" i="25"/>
  <c r="C32" i="25"/>
  <c r="C33" i="25"/>
  <c r="C34" i="25"/>
  <c r="C35" i="25"/>
  <c r="C36" i="25"/>
  <c r="C37" i="25"/>
  <c r="C38" i="25"/>
  <c r="C39" i="25"/>
  <c r="C40" i="25"/>
  <c r="C41" i="25"/>
  <c r="C42" i="25"/>
  <c r="C43" i="25"/>
  <c r="C44" i="25"/>
  <c r="C45" i="25"/>
  <c r="C46" i="25"/>
  <c r="C47" i="25"/>
  <c r="C48" i="25"/>
  <c r="C49" i="25"/>
  <c r="C50" i="25"/>
  <c r="C51" i="25"/>
  <c r="C52" i="25"/>
  <c r="C53" i="25"/>
  <c r="C54" i="25"/>
  <c r="C55" i="25"/>
  <c r="C56" i="25"/>
  <c r="C57" i="25"/>
  <c r="C58" i="25"/>
  <c r="C59" i="25"/>
  <c r="C60" i="25"/>
  <c r="C61" i="25"/>
  <c r="C62" i="25"/>
  <c r="C63" i="25"/>
  <c r="C64" i="25"/>
  <c r="C65" i="25"/>
  <c r="C66" i="25"/>
  <c r="C67" i="25"/>
  <c r="C68" i="25"/>
  <c r="C69" i="25"/>
  <c r="C70" i="25"/>
  <c r="C71" i="25"/>
  <c r="C72" i="25"/>
  <c r="C73" i="25"/>
  <c r="C74" i="25"/>
  <c r="C75" i="25"/>
  <c r="C76" i="25"/>
  <c r="C77" i="25"/>
  <c r="C78" i="25"/>
  <c r="C79" i="25"/>
  <c r="C80" i="25"/>
  <c r="C81" i="25"/>
  <c r="C82" i="25"/>
  <c r="C83" i="25"/>
  <c r="C84" i="25"/>
  <c r="C85" i="25"/>
  <c r="C86" i="25"/>
  <c r="C87" i="25"/>
  <c r="C88" i="25"/>
  <c r="C89" i="25"/>
  <c r="C90" i="25"/>
  <c r="C91" i="25"/>
  <c r="C92" i="25"/>
  <c r="C93" i="25"/>
  <c r="C94" i="25"/>
  <c r="C95" i="25"/>
  <c r="C96" i="25"/>
  <c r="C97" i="25"/>
  <c r="C98" i="25"/>
  <c r="C99" i="25"/>
  <c r="C100" i="25"/>
  <c r="C101" i="25"/>
  <c r="C102" i="25"/>
  <c r="C103" i="25"/>
  <c r="C104" i="25"/>
  <c r="C105" i="25"/>
  <c r="C106" i="25"/>
  <c r="C107" i="25"/>
  <c r="C108" i="25"/>
  <c r="C109" i="25"/>
  <c r="C110" i="25"/>
  <c r="C111" i="25"/>
  <c r="C112" i="25"/>
  <c r="C113" i="25"/>
  <c r="C114" i="25"/>
  <c r="C115" i="25"/>
  <c r="C116" i="25"/>
  <c r="C117" i="25"/>
  <c r="C118" i="25"/>
  <c r="C119" i="25"/>
  <c r="C120" i="25"/>
  <c r="C121" i="25"/>
  <c r="C122" i="25"/>
  <c r="C123" i="25"/>
  <c r="C124" i="25"/>
  <c r="C125" i="25"/>
  <c r="C126" i="25"/>
  <c r="C127" i="25"/>
  <c r="C128" i="25"/>
  <c r="C129" i="25"/>
  <c r="C130" i="25"/>
  <c r="C131" i="25"/>
  <c r="C132" i="25"/>
  <c r="C133" i="25"/>
  <c r="C134" i="25"/>
  <c r="C135" i="25"/>
  <c r="C136" i="25"/>
  <c r="C137" i="25"/>
  <c r="C138" i="25"/>
  <c r="C139" i="25"/>
  <c r="C140" i="25"/>
  <c r="C141" i="25"/>
  <c r="C142" i="25"/>
  <c r="C143" i="25"/>
  <c r="C144" i="25"/>
  <c r="C145" i="25"/>
  <c r="C146" i="25"/>
  <c r="C147" i="25"/>
  <c r="C148" i="25"/>
  <c r="C149" i="25"/>
  <c r="C150" i="25"/>
  <c r="C151" i="25"/>
  <c r="C152" i="25"/>
  <c r="C153" i="25"/>
  <c r="C154" i="25"/>
  <c r="C155" i="25"/>
  <c r="C156" i="25"/>
  <c r="C157" i="25"/>
  <c r="C158" i="25"/>
  <c r="C159" i="25"/>
  <c r="C160" i="25"/>
  <c r="C161" i="25"/>
  <c r="C162" i="25"/>
  <c r="C163" i="25"/>
  <c r="C164" i="25"/>
  <c r="C165" i="25"/>
  <c r="C166" i="25"/>
  <c r="C167" i="25"/>
  <c r="C168" i="25"/>
  <c r="C169" i="25"/>
  <c r="C170" i="25"/>
  <c r="C171" i="25"/>
  <c r="C172" i="25"/>
  <c r="C173" i="25"/>
  <c r="C174" i="25"/>
  <c r="C175" i="25"/>
  <c r="C176" i="25"/>
  <c r="C177" i="25"/>
  <c r="C178" i="25"/>
  <c r="C179" i="25"/>
  <c r="C180" i="25"/>
  <c r="C181" i="25"/>
  <c r="C182" i="25"/>
  <c r="C183" i="25"/>
  <c r="C184" i="25"/>
  <c r="C185" i="25"/>
  <c r="C186" i="25"/>
  <c r="C187" i="25"/>
  <c r="C188" i="25"/>
  <c r="C189" i="25"/>
  <c r="C190" i="25"/>
  <c r="C191" i="25"/>
  <c r="C192" i="25"/>
  <c r="C193" i="25"/>
  <c r="C194" i="25"/>
  <c r="C195" i="25"/>
  <c r="C196" i="25"/>
  <c r="C197" i="25"/>
  <c r="C198" i="25"/>
  <c r="C199" i="25"/>
  <c r="C200" i="25"/>
  <c r="C201" i="25"/>
  <c r="C202" i="25"/>
  <c r="C203" i="25"/>
  <c r="C204" i="25"/>
  <c r="C205" i="25"/>
  <c r="C206" i="25"/>
  <c r="C207" i="25"/>
  <c r="C208" i="25"/>
  <c r="C209" i="25"/>
  <c r="C210" i="25"/>
  <c r="C211" i="25"/>
  <c r="C212" i="25"/>
  <c r="C213" i="25"/>
  <c r="C214" i="25"/>
  <c r="C215" i="25"/>
  <c r="C216" i="25"/>
  <c r="C217" i="25"/>
  <c r="C218" i="25"/>
  <c r="C219" i="25"/>
  <c r="C220" i="25"/>
  <c r="C221" i="25"/>
  <c r="C222" i="25"/>
  <c r="C223" i="25"/>
  <c r="C224" i="25"/>
  <c r="C225" i="25"/>
  <c r="C226" i="25"/>
  <c r="C227" i="25"/>
  <c r="C228" i="25"/>
  <c r="C229" i="25"/>
  <c r="C230" i="25"/>
  <c r="C231" i="25"/>
  <c r="C232" i="25"/>
  <c r="C233" i="25"/>
  <c r="C234" i="25"/>
  <c r="C235" i="25"/>
  <c r="C236" i="25"/>
  <c r="C237" i="25"/>
  <c r="C238" i="25"/>
  <c r="C239" i="25"/>
  <c r="C240" i="25"/>
  <c r="C241" i="25"/>
  <c r="C242" i="25"/>
  <c r="C243" i="25"/>
  <c r="C244" i="25"/>
  <c r="C245" i="25"/>
  <c r="C246" i="25"/>
  <c r="C247" i="25"/>
  <c r="C248" i="25"/>
  <c r="C249" i="25"/>
  <c r="C250" i="25"/>
  <c r="C251" i="25"/>
  <c r="C252" i="25"/>
  <c r="C253" i="25"/>
  <c r="C254" i="25"/>
  <c r="C255" i="25"/>
  <c r="C256" i="25"/>
  <c r="C257" i="25"/>
  <c r="C258" i="25"/>
  <c r="C259" i="25"/>
  <c r="C260" i="25"/>
  <c r="C261" i="25"/>
  <c r="C262" i="25"/>
  <c r="C263" i="25"/>
  <c r="C264" i="25"/>
  <c r="C265" i="25"/>
  <c r="C266" i="25"/>
  <c r="C267" i="25"/>
  <c r="C268" i="25"/>
  <c r="C269" i="25"/>
  <c r="C270" i="25"/>
  <c r="C271" i="25"/>
  <c r="C272" i="25"/>
  <c r="C273" i="25"/>
  <c r="C274" i="25"/>
  <c r="C275" i="25"/>
  <c r="C276" i="25"/>
  <c r="C277" i="25"/>
  <c r="C278" i="25"/>
  <c r="C279" i="25"/>
  <c r="C280" i="25"/>
  <c r="C281" i="25"/>
  <c r="C282" i="25"/>
  <c r="C283" i="25"/>
  <c r="C284" i="25"/>
  <c r="C285" i="25"/>
  <c r="C286" i="25"/>
  <c r="C287" i="25"/>
  <c r="C288" i="25"/>
  <c r="C289" i="25"/>
  <c r="C290" i="25"/>
  <c r="C291" i="25"/>
  <c r="C292" i="25"/>
  <c r="C293" i="25"/>
  <c r="C294" i="25"/>
  <c r="C295" i="25"/>
  <c r="C296" i="25"/>
  <c r="C297" i="25"/>
  <c r="C298" i="25"/>
  <c r="C299" i="25"/>
  <c r="C300" i="25"/>
  <c r="C301" i="25"/>
  <c r="C302" i="25"/>
  <c r="C303" i="25"/>
  <c r="C304" i="25"/>
  <c r="C305" i="25"/>
  <c r="C306" i="25"/>
  <c r="C307" i="25"/>
  <c r="C308" i="25"/>
  <c r="C309" i="25"/>
  <c r="C310" i="25"/>
  <c r="C311" i="25"/>
  <c r="C312" i="25"/>
  <c r="C313" i="25"/>
  <c r="D313" i="25" l="1"/>
  <c r="D307" i="25"/>
  <c r="D305" i="25"/>
  <c r="D301" i="25"/>
  <c r="D299" i="25"/>
  <c r="D297" i="25"/>
  <c r="D293" i="25"/>
  <c r="D291" i="25"/>
  <c r="D289" i="25"/>
  <c r="D285" i="25"/>
  <c r="D283" i="25"/>
  <c r="D281" i="25"/>
  <c r="D277" i="25"/>
  <c r="D275" i="25"/>
  <c r="D273" i="25"/>
  <c r="D269" i="25"/>
  <c r="D267" i="25"/>
  <c r="D265" i="25"/>
  <c r="D261" i="25"/>
  <c r="D259" i="25"/>
  <c r="D257" i="25"/>
  <c r="D253" i="25"/>
  <c r="D251" i="25"/>
  <c r="D249" i="25"/>
  <c r="D245" i="25"/>
  <c r="D243" i="25"/>
  <c r="D241" i="25"/>
  <c r="D237" i="25"/>
  <c r="D235" i="25"/>
  <c r="D233" i="25"/>
  <c r="D229" i="25"/>
  <c r="D227" i="25"/>
  <c r="D225" i="25"/>
  <c r="D221" i="25"/>
  <c r="D219" i="25"/>
  <c r="D217" i="25"/>
  <c r="D213" i="25"/>
  <c r="D211" i="25"/>
  <c r="D209" i="25"/>
  <c r="D205" i="25"/>
  <c r="D203" i="25"/>
  <c r="D201" i="25"/>
  <c r="D197" i="25"/>
  <c r="D195" i="25"/>
  <c r="D193" i="25"/>
  <c r="D189" i="25"/>
  <c r="D187" i="25"/>
  <c r="D185" i="25"/>
  <c r="D181" i="25"/>
  <c r="D179" i="25"/>
  <c r="D177" i="25"/>
  <c r="D173" i="25"/>
  <c r="D171" i="25"/>
  <c r="D169" i="25"/>
  <c r="D165" i="25"/>
  <c r="D163" i="25"/>
  <c r="D161" i="25"/>
  <c r="D157" i="25"/>
  <c r="D155" i="25"/>
  <c r="D153" i="25"/>
  <c r="D149" i="25"/>
  <c r="D141" i="25"/>
  <c r="D139" i="25"/>
  <c r="D137" i="25"/>
  <c r="D131" i="25"/>
  <c r="D129" i="25"/>
  <c r="D125" i="25"/>
  <c r="D123" i="25"/>
  <c r="D115" i="25"/>
  <c r="D111" i="25"/>
  <c r="D105" i="25"/>
  <c r="D103" i="25"/>
  <c r="D99" i="25"/>
  <c r="D97" i="25"/>
  <c r="D95" i="25"/>
  <c r="D89" i="25"/>
  <c r="D83" i="25"/>
  <c r="D79" i="25"/>
  <c r="D73" i="25"/>
  <c r="D71" i="25"/>
  <c r="D67" i="25"/>
  <c r="D65" i="25"/>
  <c r="D63" i="25"/>
  <c r="D59" i="25"/>
  <c r="D51" i="25"/>
  <c r="D47" i="25"/>
  <c r="D41" i="25"/>
  <c r="D35" i="25"/>
  <c r="D33" i="25"/>
  <c r="D28" i="25"/>
  <c r="D26" i="25"/>
  <c r="D20" i="25"/>
  <c r="D16" i="25"/>
  <c r="D10" i="25"/>
  <c r="D8" i="25"/>
  <c r="D298" i="25"/>
  <c r="D282" i="25"/>
  <c r="D266" i="25"/>
  <c r="D250" i="25"/>
  <c r="D242" i="25"/>
  <c r="D234" i="25"/>
  <c r="D218" i="25"/>
  <c r="D202" i="25"/>
  <c r="D194" i="25"/>
  <c r="D186" i="25"/>
  <c r="D170" i="25"/>
  <c r="D154" i="25"/>
  <c r="D138" i="25"/>
  <c r="D122" i="25"/>
  <c r="D102" i="25"/>
  <c r="D96" i="25"/>
  <c r="D70" i="25"/>
  <c r="D62" i="25"/>
  <c r="D58" i="25"/>
  <c r="D54" i="25"/>
  <c r="D50" i="25"/>
  <c r="D46" i="25"/>
  <c r="D42" i="25"/>
  <c r="D34" i="25"/>
  <c r="D31" i="25"/>
  <c r="D23" i="25"/>
  <c r="D19" i="25"/>
  <c r="D15" i="25"/>
  <c r="D11" i="25"/>
  <c r="A312" i="25"/>
  <c r="A306" i="25"/>
  <c r="A300" i="25"/>
  <c r="A296" i="25"/>
  <c r="A292" i="25"/>
  <c r="A288" i="25"/>
  <c r="A286" i="25"/>
  <c r="A282" i="25"/>
  <c r="A276" i="25"/>
  <c r="A272" i="25"/>
  <c r="A264" i="25"/>
  <c r="A260" i="25"/>
  <c r="A256" i="25"/>
  <c r="A252" i="25"/>
  <c r="A250" i="25"/>
  <c r="A244" i="25"/>
  <c r="A240" i="25"/>
  <c r="A236" i="25"/>
  <c r="A232" i="25"/>
  <c r="A228" i="25"/>
  <c r="A224" i="25"/>
  <c r="A220" i="25"/>
  <c r="A214" i="25"/>
  <c r="A210" i="25"/>
  <c r="A206" i="25"/>
  <c r="A202" i="25"/>
  <c r="A200" i="25"/>
  <c r="A196" i="25"/>
  <c r="A192" i="25"/>
  <c r="A190" i="25"/>
  <c r="A186" i="25"/>
  <c r="A182" i="25"/>
  <c r="A178" i="25"/>
  <c r="A174" i="25"/>
  <c r="A170" i="25"/>
  <c r="A166" i="25"/>
  <c r="A162" i="25"/>
  <c r="A156" i="25"/>
  <c r="A152" i="25"/>
  <c r="A148" i="25"/>
  <c r="A144" i="25"/>
  <c r="A140" i="25"/>
  <c r="A136" i="25"/>
  <c r="A132" i="25"/>
  <c r="A128" i="25"/>
  <c r="A124" i="25"/>
  <c r="A122" i="25"/>
  <c r="A118" i="25"/>
  <c r="A114" i="25"/>
  <c r="A110" i="25"/>
  <c r="A104" i="25"/>
  <c r="A100" i="25"/>
  <c r="A96" i="25"/>
  <c r="A92" i="25"/>
  <c r="A86" i="25"/>
  <c r="A82" i="25"/>
  <c r="A78" i="25"/>
  <c r="A74" i="25"/>
  <c r="A70" i="25"/>
  <c r="A68" i="25"/>
  <c r="A64" i="25"/>
  <c r="A60" i="25"/>
  <c r="A56" i="25"/>
  <c r="A52" i="25"/>
  <c r="A48" i="25"/>
  <c r="A42" i="25"/>
  <c r="A38" i="25"/>
  <c r="A34" i="25"/>
  <c r="A31" i="25"/>
  <c r="A27" i="25"/>
  <c r="A23" i="25"/>
  <c r="A19" i="25"/>
  <c r="A15" i="25"/>
  <c r="A11" i="25"/>
  <c r="B311" i="25"/>
  <c r="B307" i="25"/>
  <c r="B301" i="25"/>
  <c r="B297" i="25"/>
  <c r="B293" i="25"/>
  <c r="B291" i="25"/>
  <c r="B287" i="25"/>
  <c r="B281" i="25"/>
  <c r="B279" i="25"/>
  <c r="B275" i="25"/>
  <c r="B271" i="25"/>
  <c r="B267" i="25"/>
  <c r="B263" i="25"/>
  <c r="B259" i="25"/>
  <c r="B255" i="25"/>
  <c r="B251" i="25"/>
  <c r="B245" i="25"/>
  <c r="B241" i="25"/>
  <c r="B237" i="25"/>
  <c r="B233" i="25"/>
  <c r="B229" i="25"/>
  <c r="B225" i="25"/>
  <c r="B221" i="25"/>
  <c r="B217" i="25"/>
  <c r="B213" i="25"/>
  <c r="B211" i="25"/>
  <c r="B207" i="25"/>
  <c r="A311" i="25"/>
  <c r="A309" i="25"/>
  <c r="A305" i="25"/>
  <c r="A301" i="25"/>
  <c r="A299" i="25"/>
  <c r="A295" i="25"/>
  <c r="A293" i="25"/>
  <c r="A289" i="25"/>
  <c r="A287" i="25"/>
  <c r="A283" i="25"/>
  <c r="A281" i="25"/>
  <c r="A277" i="25"/>
  <c r="A275" i="25"/>
  <c r="A273" i="25"/>
  <c r="A269" i="25"/>
  <c r="A267" i="25"/>
  <c r="A263" i="25"/>
  <c r="A261" i="25"/>
  <c r="A257" i="25"/>
  <c r="A251" i="25"/>
  <c r="A247" i="25"/>
  <c r="A243" i="25"/>
  <c r="A241" i="25"/>
  <c r="A237" i="25"/>
  <c r="A231" i="25"/>
  <c r="A225" i="25"/>
  <c r="A221" i="25"/>
  <c r="A217" i="25"/>
  <c r="A213" i="25"/>
  <c r="A209" i="25"/>
  <c r="A205" i="25"/>
  <c r="A201" i="25"/>
  <c r="A199" i="25"/>
  <c r="A195" i="25"/>
  <c r="A189" i="25"/>
  <c r="A185" i="25"/>
  <c r="A181" i="25"/>
  <c r="A177" i="25"/>
  <c r="A173" i="25"/>
  <c r="A169" i="25"/>
  <c r="A165" i="25"/>
  <c r="A161" i="25"/>
  <c r="A157" i="25"/>
  <c r="A153" i="25"/>
  <c r="A149" i="25"/>
  <c r="A145" i="25"/>
  <c r="A143" i="25"/>
  <c r="A139" i="25"/>
  <c r="A135" i="25"/>
  <c r="A131" i="25"/>
  <c r="A127" i="25"/>
  <c r="A123" i="25"/>
  <c r="A119" i="25"/>
  <c r="A115" i="25"/>
  <c r="A111" i="25"/>
  <c r="A107" i="25"/>
  <c r="A103" i="25"/>
  <c r="A99" i="25"/>
  <c r="A95" i="25"/>
  <c r="A91" i="25"/>
  <c r="A87" i="25"/>
  <c r="A83" i="25"/>
  <c r="A79" i="25"/>
  <c r="A75" i="25"/>
  <c r="A71" i="25"/>
  <c r="A67" i="25"/>
  <c r="A63" i="25"/>
  <c r="A59" i="25"/>
  <c r="A55" i="25"/>
  <c r="A51" i="25"/>
  <c r="A49" i="25"/>
  <c r="A45" i="25"/>
  <c r="A43" i="25"/>
  <c r="A39" i="25"/>
  <c r="A35" i="25"/>
  <c r="A30" i="25"/>
  <c r="A26" i="25"/>
  <c r="A24" i="25"/>
  <c r="A20" i="25"/>
  <c r="A18" i="25"/>
  <c r="A14" i="25"/>
  <c r="A12" i="25"/>
  <c r="A8" i="25"/>
  <c r="B312" i="25"/>
  <c r="B310" i="25"/>
  <c r="B308" i="25"/>
  <c r="B306" i="25"/>
  <c r="B304" i="25"/>
  <c r="B302" i="25"/>
  <c r="B300" i="25"/>
  <c r="B298" i="25"/>
  <c r="B296" i="25"/>
  <c r="B294" i="25"/>
  <c r="B292" i="25"/>
  <c r="B290" i="25"/>
  <c r="B288" i="25"/>
  <c r="B286" i="25"/>
  <c r="B284" i="25"/>
  <c r="B282" i="25"/>
  <c r="B280" i="25"/>
  <c r="B278" i="25"/>
  <c r="B276" i="25"/>
  <c r="B274" i="25"/>
  <c r="B272" i="25"/>
  <c r="B270" i="25"/>
  <c r="B268" i="25"/>
  <c r="B266" i="25"/>
  <c r="B264" i="25"/>
  <c r="B262" i="25"/>
  <c r="B260" i="25"/>
  <c r="B258" i="25"/>
  <c r="B256" i="25"/>
  <c r="B254" i="25"/>
  <c r="B252" i="25"/>
  <c r="B250" i="25"/>
  <c r="B248" i="25"/>
  <c r="B246" i="25"/>
  <c r="B244" i="25"/>
  <c r="B242" i="25"/>
  <c r="B240" i="25"/>
  <c r="B238" i="25"/>
  <c r="B236" i="25"/>
  <c r="B234" i="25"/>
  <c r="B232" i="25"/>
  <c r="B230" i="25"/>
  <c r="B228" i="25"/>
  <c r="B226" i="25"/>
  <c r="B224" i="25"/>
  <c r="B222" i="25"/>
  <c r="B220" i="25"/>
  <c r="B218" i="25"/>
  <c r="B216" i="25"/>
  <c r="B214" i="25"/>
  <c r="B212" i="25"/>
  <c r="B210" i="25"/>
  <c r="B208" i="25"/>
  <c r="B206" i="25"/>
  <c r="B204" i="25"/>
  <c r="B202" i="25"/>
  <c r="B200" i="25"/>
  <c r="B198" i="25"/>
  <c r="B196" i="25"/>
  <c r="B194" i="25"/>
  <c r="B192" i="25"/>
  <c r="B190" i="25"/>
  <c r="B188" i="25"/>
  <c r="B186" i="25"/>
  <c r="B184" i="25"/>
  <c r="B182" i="25"/>
  <c r="B180" i="25"/>
  <c r="B178" i="25"/>
  <c r="B176" i="25"/>
  <c r="B174" i="25"/>
  <c r="B172" i="25"/>
  <c r="B170" i="25"/>
  <c r="B168" i="25"/>
  <c r="B166" i="25"/>
  <c r="B164" i="25"/>
  <c r="B162" i="25"/>
  <c r="B160" i="25"/>
  <c r="B158" i="25"/>
  <c r="B156" i="25"/>
  <c r="B154" i="25"/>
  <c r="B152" i="25"/>
  <c r="B150" i="25"/>
  <c r="B148" i="25"/>
  <c r="B146" i="25"/>
  <c r="B144" i="25"/>
  <c r="B142" i="25"/>
  <c r="B140" i="25"/>
  <c r="B138" i="25"/>
  <c r="B136" i="25"/>
  <c r="B134" i="25"/>
  <c r="B132" i="25"/>
  <c r="B130" i="25"/>
  <c r="B128" i="25"/>
  <c r="B126" i="25"/>
  <c r="B124" i="25"/>
  <c r="B122" i="25"/>
  <c r="B120" i="25"/>
  <c r="B118" i="25"/>
  <c r="B116" i="25"/>
  <c r="B114" i="25"/>
  <c r="B112" i="25"/>
  <c r="B110" i="25"/>
  <c r="B108" i="25"/>
  <c r="B106" i="25"/>
  <c r="B104" i="25"/>
  <c r="B102" i="25"/>
  <c r="B100" i="25"/>
  <c r="B98" i="25"/>
  <c r="B96" i="25"/>
  <c r="B94" i="25"/>
  <c r="B92" i="25"/>
  <c r="B90" i="25"/>
  <c r="B88" i="25"/>
  <c r="B86" i="25"/>
  <c r="B84" i="25"/>
  <c r="B82" i="25"/>
  <c r="B80" i="25"/>
  <c r="B78" i="25"/>
  <c r="B76" i="25"/>
  <c r="B74" i="25"/>
  <c r="B72" i="25"/>
  <c r="B70" i="25"/>
  <c r="B68" i="25"/>
  <c r="B66" i="25"/>
  <c r="B64" i="25"/>
  <c r="B62" i="25"/>
  <c r="B60" i="25"/>
  <c r="B58" i="25"/>
  <c r="B56" i="25"/>
  <c r="B54" i="25"/>
  <c r="B52" i="25"/>
  <c r="B50" i="25"/>
  <c r="B48" i="25"/>
  <c r="B46" i="25"/>
  <c r="B44" i="25"/>
  <c r="B42" i="25"/>
  <c r="B40" i="25"/>
  <c r="B38" i="25"/>
  <c r="B36" i="25"/>
  <c r="B34" i="25"/>
  <c r="B32" i="25"/>
  <c r="B31" i="25"/>
  <c r="B29" i="25"/>
  <c r="B27" i="25"/>
  <c r="B25" i="25"/>
  <c r="B23" i="25"/>
  <c r="B21" i="25"/>
  <c r="B19" i="25"/>
  <c r="B17" i="25"/>
  <c r="B15" i="25"/>
  <c r="B13" i="25"/>
  <c r="B11" i="25"/>
  <c r="B9" i="25"/>
  <c r="B7" i="25"/>
  <c r="A268" i="25"/>
  <c r="A88" i="25"/>
  <c r="B205" i="25"/>
  <c r="B203" i="25"/>
  <c r="B201" i="25"/>
  <c r="B199" i="25"/>
  <c r="B197" i="25"/>
  <c r="B195" i="25"/>
  <c r="B193" i="25"/>
  <c r="B191" i="25"/>
  <c r="B189" i="25"/>
  <c r="B187" i="25"/>
  <c r="B185" i="25"/>
  <c r="B183" i="25"/>
  <c r="B181" i="25"/>
  <c r="B179" i="25"/>
  <c r="B177" i="25"/>
  <c r="B175" i="25"/>
  <c r="B173" i="25"/>
  <c r="B171" i="25"/>
  <c r="B169" i="25"/>
  <c r="B167" i="25"/>
  <c r="B165" i="25"/>
  <c r="B163" i="25"/>
  <c r="B161" i="25"/>
  <c r="B159" i="25"/>
  <c r="B157" i="25"/>
  <c r="B155" i="25"/>
  <c r="B153" i="25"/>
  <c r="B151" i="25"/>
  <c r="B149" i="25"/>
  <c r="B147" i="25"/>
  <c r="B145" i="25"/>
  <c r="B143" i="25"/>
  <c r="B141" i="25"/>
  <c r="B139" i="25"/>
  <c r="B137" i="25"/>
  <c r="B135" i="25"/>
  <c r="B133" i="25"/>
  <c r="B131" i="25"/>
  <c r="B129" i="25"/>
  <c r="B127" i="25"/>
  <c r="B125" i="25"/>
  <c r="B123" i="25"/>
  <c r="B121" i="25"/>
  <c r="B119" i="25"/>
  <c r="B117" i="25"/>
  <c r="B115" i="25"/>
  <c r="B113" i="25"/>
  <c r="B111" i="25"/>
  <c r="B109" i="25"/>
  <c r="B107" i="25"/>
  <c r="B105" i="25"/>
  <c r="B103" i="25"/>
  <c r="B101" i="25"/>
  <c r="B99" i="25"/>
  <c r="B97" i="25"/>
  <c r="B95" i="25"/>
  <c r="B93" i="25"/>
  <c r="B91" i="25"/>
  <c r="B89" i="25"/>
  <c r="B87" i="25"/>
  <c r="B85" i="25"/>
  <c r="B83" i="25"/>
  <c r="B81" i="25"/>
  <c r="B79" i="25"/>
  <c r="B77" i="25"/>
  <c r="B75" i="25"/>
  <c r="B73" i="25"/>
  <c r="B71" i="25"/>
  <c r="B69" i="25"/>
  <c r="B67" i="25"/>
  <c r="B65" i="25"/>
  <c r="B63" i="25"/>
  <c r="B61" i="25"/>
  <c r="B59" i="25"/>
  <c r="B57" i="25"/>
  <c r="B55" i="25"/>
  <c r="B53" i="25"/>
  <c r="B51" i="25"/>
  <c r="B49" i="25"/>
  <c r="B47" i="25"/>
  <c r="B45" i="25"/>
  <c r="B43" i="25"/>
  <c r="B41" i="25"/>
  <c r="B39" i="25"/>
  <c r="B37" i="25"/>
  <c r="B35" i="25"/>
  <c r="B33" i="25"/>
  <c r="B30" i="25"/>
  <c r="B28" i="25"/>
  <c r="B26" i="25"/>
  <c r="B24" i="25"/>
  <c r="B22" i="25"/>
  <c r="B20" i="25"/>
  <c r="B18" i="25"/>
  <c r="B16" i="25"/>
  <c r="B14" i="25"/>
  <c r="B12" i="25"/>
  <c r="B10" i="25"/>
  <c r="B8" i="25"/>
  <c r="A310" i="25"/>
  <c r="A308" i="25"/>
  <c r="A304" i="25"/>
  <c r="A302" i="25"/>
  <c r="A298" i="25"/>
  <c r="A294" i="25"/>
  <c r="A290" i="25"/>
  <c r="A284" i="25"/>
  <c r="A280" i="25"/>
  <c r="A278" i="25"/>
  <c r="A274" i="25"/>
  <c r="A270" i="25"/>
  <c r="A266" i="25"/>
  <c r="A262" i="25"/>
  <c r="A258" i="25"/>
  <c r="A254" i="25"/>
  <c r="A248" i="25"/>
  <c r="A246" i="25"/>
  <c r="A242" i="25"/>
  <c r="A238" i="25"/>
  <c r="A234" i="25"/>
  <c r="A230" i="25"/>
  <c r="A226" i="25"/>
  <c r="A222" i="25"/>
  <c r="A218" i="25"/>
  <c r="A216" i="25"/>
  <c r="A212" i="25"/>
  <c r="A208" i="25"/>
  <c r="A204" i="25"/>
  <c r="A198" i="25"/>
  <c r="A194" i="25"/>
  <c r="A188" i="25"/>
  <c r="A184" i="25"/>
  <c r="A180" i="25"/>
  <c r="A176" i="25"/>
  <c r="A172" i="25"/>
  <c r="A168" i="25"/>
  <c r="A164" i="25"/>
  <c r="A160" i="25"/>
  <c r="A158" i="25"/>
  <c r="A154" i="25"/>
  <c r="A150" i="25"/>
  <c r="A146" i="25"/>
  <c r="A142" i="25"/>
  <c r="A138" i="25"/>
  <c r="A134" i="25"/>
  <c r="A130" i="25"/>
  <c r="A126" i="25"/>
  <c r="A120" i="25"/>
  <c r="A116" i="25"/>
  <c r="A112" i="25"/>
  <c r="A108" i="25"/>
  <c r="A106" i="25"/>
  <c r="A102" i="25"/>
  <c r="A98" i="25"/>
  <c r="A94" i="25"/>
  <c r="A90" i="25"/>
  <c r="A84" i="25"/>
  <c r="A80" i="25"/>
  <c r="A76" i="25"/>
  <c r="A72" i="25"/>
  <c r="A66" i="25"/>
  <c r="A62" i="25"/>
  <c r="A58" i="25"/>
  <c r="A54" i="25"/>
  <c r="A50" i="25"/>
  <c r="A46" i="25"/>
  <c r="A44" i="25"/>
  <c r="A40" i="25"/>
  <c r="A36" i="25"/>
  <c r="A32" i="25"/>
  <c r="A29" i="25"/>
  <c r="A25" i="25"/>
  <c r="A21" i="25"/>
  <c r="A17" i="25"/>
  <c r="A13" i="25"/>
  <c r="A9" i="25"/>
  <c r="A7" i="25"/>
  <c r="B313" i="25"/>
  <c r="B309" i="25"/>
  <c r="B305" i="25"/>
  <c r="B303" i="25"/>
  <c r="B299" i="25"/>
  <c r="B295" i="25"/>
  <c r="B289" i="25"/>
  <c r="B285" i="25"/>
  <c r="B283" i="25"/>
  <c r="B277" i="25"/>
  <c r="B273" i="25"/>
  <c r="B269" i="25"/>
  <c r="B265" i="25"/>
  <c r="B261" i="25"/>
  <c r="B257" i="25"/>
  <c r="B253" i="25"/>
  <c r="B249" i="25"/>
  <c r="B247" i="25"/>
  <c r="B243" i="25"/>
  <c r="B239" i="25"/>
  <c r="B235" i="25"/>
  <c r="B231" i="25"/>
  <c r="B227" i="25"/>
  <c r="B223" i="25"/>
  <c r="B219" i="25"/>
  <c r="B215" i="25"/>
  <c r="B209" i="25"/>
  <c r="A313" i="25"/>
  <c r="A307" i="25"/>
  <c r="A303" i="25"/>
  <c r="A297" i="25"/>
  <c r="A291" i="25"/>
  <c r="A285" i="25"/>
  <c r="A279" i="25"/>
  <c r="A271" i="25"/>
  <c r="A265" i="25"/>
  <c r="A259" i="25"/>
  <c r="A255" i="25"/>
  <c r="A253" i="25"/>
  <c r="A249" i="25"/>
  <c r="A245" i="25"/>
  <c r="A239" i="25"/>
  <c r="A235" i="25"/>
  <c r="A233" i="25"/>
  <c r="A229" i="25"/>
  <c r="A227" i="25"/>
  <c r="A223" i="25"/>
  <c r="A219" i="25"/>
  <c r="A215" i="25"/>
  <c r="A211" i="25"/>
  <c r="A207" i="25"/>
  <c r="A203" i="25"/>
  <c r="A197" i="25"/>
  <c r="A193" i="25"/>
  <c r="A191" i="25"/>
  <c r="A187" i="25"/>
  <c r="A183" i="25"/>
  <c r="A179" i="25"/>
  <c r="A175" i="25"/>
  <c r="A171" i="25"/>
  <c r="A167" i="25"/>
  <c r="A163" i="25"/>
  <c r="A159" i="25"/>
  <c r="A155" i="25"/>
  <c r="A151" i="25"/>
  <c r="A147" i="25"/>
  <c r="A141" i="25"/>
  <c r="A137" i="25"/>
  <c r="A133" i="25"/>
  <c r="A129" i="25"/>
  <c r="A125" i="25"/>
  <c r="A121" i="25"/>
  <c r="A117" i="25"/>
  <c r="A113" i="25"/>
  <c r="A109" i="25"/>
  <c r="A105" i="25"/>
  <c r="A101" i="25"/>
  <c r="A97" i="25"/>
  <c r="A93" i="25"/>
  <c r="A89" i="25"/>
  <c r="A85" i="25"/>
  <c r="A81" i="25"/>
  <c r="A77" i="25"/>
  <c r="A73" i="25"/>
  <c r="A69" i="25"/>
  <c r="A65" i="25"/>
  <c r="A61" i="25"/>
  <c r="A57" i="25"/>
  <c r="A53" i="25"/>
  <c r="A47" i="25"/>
  <c r="A41" i="25"/>
  <c r="A37" i="25"/>
  <c r="A33" i="25"/>
  <c r="A28" i="25"/>
  <c r="A22" i="25"/>
  <c r="A16" i="25"/>
  <c r="A10" i="25"/>
  <c r="D38" i="25"/>
  <c r="D27" i="25"/>
  <c r="D7" i="25"/>
  <c r="D306" i="25"/>
  <c r="D290" i="25"/>
  <c r="D274" i="25"/>
  <c r="D258" i="25"/>
  <c r="D226" i="25"/>
  <c r="D210" i="25"/>
  <c r="D178" i="25"/>
  <c r="D162" i="25"/>
  <c r="D146" i="25"/>
  <c r="D130" i="25"/>
  <c r="D90" i="25"/>
  <c r="D64" i="25"/>
  <c r="D32" i="25"/>
  <c r="D309" i="25"/>
  <c r="D147" i="25"/>
  <c r="D39" i="25"/>
  <c r="D91" i="25"/>
  <c r="D145" i="25"/>
  <c r="D133" i="25"/>
  <c r="D121" i="25"/>
  <c r="D57" i="25"/>
  <c r="D117" i="25"/>
  <c r="D113" i="25"/>
  <c r="D109" i="25"/>
  <c r="D101" i="25"/>
  <c r="D93" i="25"/>
  <c r="D85" i="25"/>
  <c r="D81" i="25"/>
  <c r="D77" i="25"/>
  <c r="D69" i="25"/>
  <c r="D61" i="25"/>
  <c r="D53" i="25"/>
  <c r="D49" i="25"/>
  <c r="D45" i="25"/>
  <c r="D37" i="25"/>
  <c r="D30" i="25"/>
  <c r="D22" i="25"/>
  <c r="D18" i="25"/>
  <c r="D14" i="25"/>
  <c r="D312" i="25"/>
  <c r="D308" i="25"/>
  <c r="D304" i="25"/>
  <c r="D300" i="25"/>
  <c r="D296" i="25"/>
  <c r="D292" i="25"/>
  <c r="D288" i="25"/>
  <c r="D284" i="25"/>
  <c r="D280" i="25"/>
  <c r="D276" i="25"/>
  <c r="D272" i="25"/>
  <c r="D268" i="25"/>
  <c r="D264" i="25"/>
  <c r="D260" i="25"/>
  <c r="D256" i="25"/>
  <c r="D252" i="25"/>
  <c r="D248" i="25"/>
  <c r="D244" i="25"/>
  <c r="D240" i="25"/>
  <c r="D236" i="25"/>
  <c r="D232" i="25"/>
  <c r="D228" i="25"/>
  <c r="D224" i="25"/>
  <c r="D220" i="25"/>
  <c r="D216" i="25"/>
  <c r="D212" i="25"/>
  <c r="D208" i="25"/>
  <c r="D204" i="25"/>
  <c r="D200" i="25"/>
  <c r="D196" i="25"/>
  <c r="D192" i="25"/>
  <c r="D188" i="25"/>
  <c r="D184" i="25"/>
  <c r="D180" i="25"/>
  <c r="D172" i="25"/>
  <c r="D168" i="25"/>
  <c r="D164" i="25"/>
  <c r="D160" i="25"/>
  <c r="D156" i="25"/>
  <c r="D152" i="25"/>
  <c r="D148" i="25"/>
  <c r="D144" i="25"/>
  <c r="D140" i="25"/>
  <c r="D136" i="25"/>
  <c r="D132" i="25"/>
  <c r="D128" i="25"/>
  <c r="D124" i="25"/>
  <c r="D120" i="25"/>
  <c r="D116" i="25"/>
  <c r="D112" i="25"/>
  <c r="D108" i="25"/>
  <c r="D104" i="25"/>
  <c r="D100" i="25"/>
  <c r="D92" i="25"/>
  <c r="D88" i="25"/>
  <c r="D84" i="25"/>
  <c r="D80" i="25"/>
  <c r="D76" i="25"/>
  <c r="D72" i="25"/>
  <c r="D68" i="25"/>
  <c r="D60" i="25"/>
  <c r="D56" i="25"/>
  <c r="D52" i="25"/>
  <c r="D48" i="25"/>
  <c r="D44" i="25"/>
  <c r="D40" i="25"/>
  <c r="D36" i="25"/>
  <c r="D29" i="25"/>
  <c r="D25" i="25"/>
  <c r="D21" i="25"/>
  <c r="D17" i="25"/>
  <c r="D13" i="25"/>
  <c r="D9" i="25"/>
  <c r="D311" i="25"/>
  <c r="D303" i="25"/>
  <c r="D295" i="25"/>
  <c r="D287" i="25"/>
  <c r="D279" i="25"/>
  <c r="D271" i="25"/>
  <c r="D263" i="25"/>
  <c r="D255" i="25"/>
  <c r="D247" i="25"/>
  <c r="D239" i="25"/>
  <c r="D231" i="25"/>
  <c r="D223" i="25"/>
  <c r="D215" i="25"/>
  <c r="D207" i="25"/>
  <c r="D199" i="25"/>
  <c r="D191" i="25"/>
  <c r="D183" i="25"/>
  <c r="D175" i="25"/>
  <c r="D167" i="25"/>
  <c r="D159" i="25"/>
  <c r="D151" i="25"/>
  <c r="D143" i="25"/>
  <c r="D135" i="25"/>
  <c r="D127" i="25"/>
  <c r="D119" i="25"/>
  <c r="D107" i="25"/>
  <c r="D87" i="25"/>
  <c r="D75" i="25"/>
  <c r="D55" i="25"/>
  <c r="D43" i="25"/>
  <c r="D24" i="25"/>
  <c r="D12" i="25"/>
  <c r="D310" i="25"/>
  <c r="D302" i="25"/>
  <c r="D294" i="25"/>
  <c r="D286" i="25"/>
  <c r="D278" i="25"/>
  <c r="D270" i="25"/>
  <c r="D262" i="25"/>
  <c r="D254" i="25"/>
  <c r="D246" i="25"/>
  <c r="D238" i="25"/>
  <c r="D230" i="25"/>
  <c r="D222" i="25"/>
  <c r="D214" i="25"/>
  <c r="D206" i="25"/>
  <c r="D198" i="25"/>
  <c r="D190" i="25"/>
  <c r="D182" i="25"/>
  <c r="D174" i="25"/>
  <c r="D166" i="25"/>
  <c r="D158" i="25"/>
  <c r="D150" i="25"/>
  <c r="D142" i="25"/>
  <c r="D134" i="25"/>
  <c r="D126" i="25"/>
  <c r="D118" i="25"/>
  <c r="D114" i="25"/>
  <c r="D110" i="25"/>
  <c r="D106" i="25"/>
  <c r="D98" i="25"/>
  <c r="D94" i="25"/>
  <c r="D86" i="25"/>
  <c r="D82" i="25"/>
  <c r="D78" i="25"/>
  <c r="D74" i="25"/>
  <c r="D66" i="25"/>
  <c r="D176" i="25"/>
  <c r="M244" i="42"/>
  <c r="T244" i="42" s="1"/>
  <c r="AE244" i="42" s="1"/>
  <c r="Z7" i="19" l="1"/>
  <c r="X7" i="19"/>
  <c r="W7" i="19"/>
  <c r="V7" i="19"/>
  <c r="P7" i="19"/>
  <c r="N7" i="19"/>
  <c r="M7" i="19"/>
  <c r="L7" i="19"/>
  <c r="K7" i="19"/>
  <c r="I7" i="19"/>
  <c r="H7" i="19"/>
  <c r="M238" i="42"/>
  <c r="T238" i="42" s="1"/>
  <c r="AE238" i="42" s="1"/>
  <c r="K302" i="49" l="1"/>
  <c r="M245" i="42" l="1"/>
  <c r="T245" i="42" s="1"/>
  <c r="AE245" i="42" s="1"/>
  <c r="M219" i="42"/>
  <c r="T219" i="42" s="1"/>
  <c r="AE219" i="42" s="1"/>
  <c r="M170" i="42"/>
  <c r="T170" i="42" s="1"/>
  <c r="AE170" i="42" s="1"/>
  <c r="L170" i="13" l="1"/>
  <c r="M170" i="13" s="1"/>
  <c r="E169" i="49"/>
  <c r="L219" i="13"/>
  <c r="M219" i="13" s="1"/>
  <c r="E218" i="49"/>
  <c r="E243" i="49"/>
  <c r="L244" i="13"/>
  <c r="M244" i="13" s="1"/>
  <c r="H169" i="49"/>
  <c r="D169" i="49"/>
  <c r="H218" i="49"/>
  <c r="D218" i="49"/>
  <c r="H243" i="49"/>
  <c r="D243" i="49"/>
  <c r="F169" i="49" l="1"/>
  <c r="F243" i="49"/>
  <c r="G218" i="49" l="1"/>
  <c r="F218" i="49"/>
  <c r="J219" i="13"/>
  <c r="A218" i="49"/>
  <c r="B218" i="49"/>
  <c r="A169" i="49"/>
  <c r="B169" i="49"/>
  <c r="A219" i="13"/>
  <c r="B219" i="13"/>
  <c r="A170" i="13"/>
  <c r="B170" i="13"/>
  <c r="E125" i="25" l="1"/>
  <c r="L125" i="49"/>
  <c r="C125" i="11"/>
  <c r="E112" i="25"/>
  <c r="L112" i="49"/>
  <c r="C112" i="11"/>
  <c r="E171" i="25"/>
  <c r="C171" i="11"/>
  <c r="L171" i="49"/>
  <c r="E210" i="25"/>
  <c r="L210" i="49"/>
  <c r="C210" i="11"/>
  <c r="E180" i="25"/>
  <c r="C180" i="11"/>
  <c r="L180" i="49"/>
  <c r="E195" i="25"/>
  <c r="L195" i="49"/>
  <c r="C195" i="11"/>
  <c r="E32" i="25"/>
  <c r="L32" i="49"/>
  <c r="C32" i="11"/>
  <c r="E63" i="25"/>
  <c r="C63" i="11"/>
  <c r="L63" i="49"/>
  <c r="E241" i="25"/>
  <c r="L241" i="49"/>
  <c r="C241" i="11"/>
  <c r="E300" i="25"/>
  <c r="L300" i="49"/>
  <c r="C300" i="11"/>
  <c r="E270" i="25"/>
  <c r="L270" i="49"/>
  <c r="C270" i="11"/>
  <c r="E310" i="25"/>
  <c r="L310" i="49"/>
  <c r="C310" i="11"/>
  <c r="E40" i="25"/>
  <c r="L40" i="49"/>
  <c r="C40" i="11"/>
  <c r="E129" i="25"/>
  <c r="L129" i="49"/>
  <c r="C129" i="11"/>
  <c r="E90" i="25"/>
  <c r="C90" i="11"/>
  <c r="L90" i="49"/>
  <c r="E217" i="25"/>
  <c r="L217" i="49"/>
  <c r="C217" i="11"/>
  <c r="E56" i="25"/>
  <c r="L56" i="49"/>
  <c r="C56" i="11"/>
  <c r="L59" i="49"/>
  <c r="E59" i="25"/>
  <c r="C59" i="11"/>
  <c r="L215" i="49"/>
  <c r="E215" i="25"/>
  <c r="C215" i="11"/>
  <c r="L168" i="49"/>
  <c r="E168" i="25"/>
  <c r="C168" i="11"/>
  <c r="C68" i="11"/>
  <c r="L68" i="49"/>
  <c r="E68" i="25"/>
  <c r="E239" i="25"/>
  <c r="L239" i="49"/>
  <c r="C239" i="11"/>
  <c r="L140" i="49"/>
  <c r="E140" i="25"/>
  <c r="C140" i="11"/>
  <c r="E284" i="25"/>
  <c r="C284" i="11"/>
  <c r="L284" i="49"/>
  <c r="L115" i="49"/>
  <c r="E115" i="25"/>
  <c r="C115" i="11"/>
  <c r="L253" i="49"/>
  <c r="E253" i="25"/>
  <c r="C253" i="11"/>
  <c r="C28" i="11"/>
  <c r="L28" i="49"/>
  <c r="E28" i="25"/>
  <c r="E153" i="25"/>
  <c r="L153" i="49"/>
  <c r="C153" i="11"/>
  <c r="C27" i="11"/>
  <c r="L27" i="49"/>
  <c r="E27" i="25"/>
  <c r="E233" i="25"/>
  <c r="L233" i="49"/>
  <c r="C233" i="11"/>
  <c r="L158" i="49"/>
  <c r="C158" i="11"/>
  <c r="E158" i="25"/>
  <c r="C186" i="11"/>
  <c r="L186" i="49"/>
  <c r="E186" i="25"/>
  <c r="C257" i="11"/>
  <c r="E257" i="25"/>
  <c r="L257" i="49"/>
  <c r="E130" i="25"/>
  <c r="L130" i="49"/>
  <c r="C130" i="11"/>
  <c r="L24" i="49"/>
  <c r="E24" i="25"/>
  <c r="C24" i="11"/>
  <c r="E84" i="25"/>
  <c r="C84" i="11"/>
  <c r="L84" i="49"/>
  <c r="E238" i="25"/>
  <c r="L238" i="49"/>
  <c r="C238" i="11"/>
  <c r="E29" i="25"/>
  <c r="L29" i="49"/>
  <c r="C29" i="11"/>
  <c r="E141" i="25"/>
  <c r="L141" i="49"/>
  <c r="C141" i="11"/>
  <c r="C36" i="11"/>
  <c r="E36" i="25"/>
  <c r="L36" i="49"/>
  <c r="L107" i="49"/>
  <c r="E107" i="25"/>
  <c r="C107" i="11"/>
  <c r="L99" i="49"/>
  <c r="E99" i="25"/>
  <c r="C99" i="11"/>
  <c r="E87" i="25"/>
  <c r="C87" i="11"/>
  <c r="L87" i="49"/>
  <c r="L302" i="49"/>
  <c r="E302" i="25"/>
  <c r="C302" i="11"/>
  <c r="L222" i="49"/>
  <c r="C222" i="11"/>
  <c r="E222" i="25"/>
  <c r="C135" i="11"/>
  <c r="E135" i="25"/>
  <c r="L135" i="49"/>
  <c r="L35" i="49"/>
  <c r="E35" i="25"/>
  <c r="C35" i="11"/>
  <c r="E249" i="25"/>
  <c r="L249" i="49"/>
  <c r="C249" i="11"/>
  <c r="E76" i="25"/>
  <c r="C76" i="11"/>
  <c r="L76" i="49"/>
  <c r="C101" i="11"/>
  <c r="E101" i="25"/>
  <c r="L101" i="49"/>
  <c r="L275" i="49"/>
  <c r="E275" i="25"/>
  <c r="C275" i="11"/>
  <c r="C147" i="11"/>
  <c r="L147" i="49"/>
  <c r="E147" i="25"/>
  <c r="E110" i="25"/>
  <c r="L110" i="49"/>
  <c r="C110" i="11"/>
  <c r="C126" i="11"/>
  <c r="E126" i="25"/>
  <c r="L126" i="49"/>
  <c r="E80" i="25"/>
  <c r="L80" i="49"/>
  <c r="C80" i="11"/>
  <c r="L163" i="49"/>
  <c r="E163" i="25"/>
  <c r="C163" i="11"/>
  <c r="L204" i="49"/>
  <c r="E204" i="25"/>
  <c r="C204" i="11"/>
  <c r="E33" i="25"/>
  <c r="L33" i="49"/>
  <c r="C33" i="11"/>
  <c r="E297" i="25"/>
  <c r="L297" i="49"/>
  <c r="C297" i="11"/>
  <c r="E209" i="25"/>
  <c r="L209" i="49"/>
  <c r="C209" i="11"/>
  <c r="E178" i="25"/>
  <c r="L178" i="49"/>
  <c r="C178" i="11"/>
  <c r="L289" i="49"/>
  <c r="E289" i="25"/>
  <c r="C289" i="11"/>
  <c r="C97" i="11"/>
  <c r="E97" i="25"/>
  <c r="L97" i="49"/>
  <c r="C34" i="11"/>
  <c r="E34" i="25"/>
  <c r="L34" i="49"/>
  <c r="L276" i="49"/>
  <c r="E276" i="25"/>
  <c r="C276" i="11"/>
  <c r="E264" i="25"/>
  <c r="L264" i="49"/>
  <c r="C264" i="11"/>
  <c r="E121" i="25"/>
  <c r="L121" i="49"/>
  <c r="C121" i="11"/>
  <c r="C15" i="11"/>
  <c r="E15" i="25"/>
  <c r="L15" i="49"/>
  <c r="E128" i="25"/>
  <c r="L128" i="49"/>
  <c r="C128" i="11"/>
  <c r="L122" i="49"/>
  <c r="E122" i="25"/>
  <c r="C122" i="11"/>
  <c r="C55" i="11"/>
  <c r="L55" i="49"/>
  <c r="E55" i="25"/>
  <c r="C191" i="11"/>
  <c r="E191" i="25"/>
  <c r="L191" i="49"/>
  <c r="L183" i="49"/>
  <c r="E183" i="25"/>
  <c r="C183" i="11"/>
  <c r="E232" i="25"/>
  <c r="L232" i="49"/>
  <c r="C232" i="11"/>
  <c r="E274" i="25"/>
  <c r="C274" i="11"/>
  <c r="L274" i="49"/>
  <c r="L293" i="49"/>
  <c r="E293" i="25"/>
  <c r="C293" i="11"/>
  <c r="C176" i="11"/>
  <c r="L176" i="49"/>
  <c r="E176" i="25"/>
  <c r="E114" i="25"/>
  <c r="L114" i="49"/>
  <c r="C114" i="11"/>
  <c r="E105" i="25"/>
  <c r="L105" i="49"/>
  <c r="C105" i="11"/>
  <c r="L43" i="49"/>
  <c r="E43" i="25"/>
  <c r="C43" i="11"/>
  <c r="L224" i="49"/>
  <c r="E224" i="25"/>
  <c r="C224" i="11"/>
  <c r="L280" i="49"/>
  <c r="E280" i="25"/>
  <c r="C280" i="11"/>
  <c r="C259" i="11"/>
  <c r="E259" i="25"/>
  <c r="L259" i="49"/>
  <c r="L91" i="49"/>
  <c r="E91" i="25"/>
  <c r="C91" i="11"/>
  <c r="E21" i="25"/>
  <c r="L21" i="49"/>
  <c r="C21" i="11"/>
  <c r="C58" i="11"/>
  <c r="L58" i="49"/>
  <c r="E58" i="25"/>
  <c r="C62" i="11"/>
  <c r="E62" i="25"/>
  <c r="L62" i="49"/>
  <c r="C235" i="11"/>
  <c r="L235" i="49"/>
  <c r="E235" i="25"/>
  <c r="L286" i="49"/>
  <c r="C286" i="11"/>
  <c r="E286" i="25"/>
  <c r="E134" i="25"/>
  <c r="L134" i="49"/>
  <c r="C134" i="11"/>
  <c r="L309" i="49"/>
  <c r="C309" i="11"/>
  <c r="E309" i="25"/>
  <c r="L208" i="49"/>
  <c r="C208" i="11"/>
  <c r="E208" i="25"/>
  <c r="L202" i="49"/>
  <c r="E202" i="25"/>
  <c r="C202" i="11"/>
  <c r="C19" i="11"/>
  <c r="E19" i="25"/>
  <c r="L19" i="49"/>
  <c r="L291" i="49"/>
  <c r="E291" i="25"/>
  <c r="C291" i="11"/>
  <c r="E258" i="25"/>
  <c r="L258" i="49"/>
  <c r="C258" i="11"/>
  <c r="E11" i="25"/>
  <c r="C11" i="11"/>
  <c r="L11" i="49"/>
  <c r="L20" i="49"/>
  <c r="E20" i="25"/>
  <c r="C20" i="11"/>
  <c r="E46" i="25"/>
  <c r="L46" i="49"/>
  <c r="C46" i="11"/>
  <c r="E72" i="25"/>
  <c r="L72" i="49"/>
  <c r="C72" i="11"/>
  <c r="E31" i="25"/>
  <c r="L31" i="49"/>
  <c r="C31" i="11"/>
  <c r="E22" i="25"/>
  <c r="L22" i="49"/>
  <c r="C22" i="11"/>
  <c r="E245" i="25"/>
  <c r="L245" i="49"/>
  <c r="C245" i="11"/>
  <c r="L307" i="49"/>
  <c r="E307" i="25"/>
  <c r="C307" i="11"/>
  <c r="L13" i="49"/>
  <c r="C13" i="11"/>
  <c r="E13" i="25"/>
  <c r="L296" i="49"/>
  <c r="E296" i="25"/>
  <c r="C296" i="11"/>
  <c r="E304" i="25"/>
  <c r="L304" i="49"/>
  <c r="C304" i="11"/>
  <c r="C103" i="11"/>
  <c r="E103" i="25"/>
  <c r="L103" i="49"/>
  <c r="E156" i="25"/>
  <c r="C156" i="11"/>
  <c r="L156" i="49"/>
  <c r="L207" i="49"/>
  <c r="E207" i="25"/>
  <c r="C207" i="11"/>
  <c r="L16" i="49"/>
  <c r="E16" i="25"/>
  <c r="C16" i="11"/>
  <c r="E150" i="25"/>
  <c r="L150" i="49"/>
  <c r="C150" i="11"/>
  <c r="E278" i="25"/>
  <c r="L278" i="49"/>
  <c r="C278" i="11"/>
  <c r="E60" i="25"/>
  <c r="L60" i="49"/>
  <c r="C60" i="11"/>
  <c r="L151" i="49"/>
  <c r="E151" i="25"/>
  <c r="C151" i="11"/>
  <c r="C182" i="11"/>
  <c r="E182" i="25"/>
  <c r="L182" i="49"/>
  <c r="E260" i="25"/>
  <c r="C260" i="11"/>
  <c r="L260" i="49"/>
  <c r="L256" i="49"/>
  <c r="C256" i="11"/>
  <c r="E256" i="25"/>
  <c r="C187" i="11"/>
  <c r="L187" i="49"/>
  <c r="E187" i="25"/>
  <c r="E242" i="25"/>
  <c r="L242" i="49"/>
  <c r="C242" i="11"/>
  <c r="E313" i="25"/>
  <c r="L313" i="49"/>
  <c r="C313" i="11"/>
  <c r="E161" i="25"/>
  <c r="L161" i="49"/>
  <c r="C161" i="11"/>
  <c r="E165" i="25"/>
  <c r="L165" i="49"/>
  <c r="C165" i="11"/>
  <c r="C149" i="11"/>
  <c r="E149" i="25"/>
  <c r="L149" i="49"/>
  <c r="L221" i="49"/>
  <c r="C221" i="11"/>
  <c r="E221" i="25"/>
  <c r="E301" i="25"/>
  <c r="C301" i="11"/>
  <c r="L301" i="49"/>
  <c r="E177" i="25"/>
  <c r="L177" i="49"/>
  <c r="C177" i="11"/>
  <c r="C173" i="11"/>
  <c r="E173" i="25"/>
  <c r="L173" i="49"/>
  <c r="E237" i="25"/>
  <c r="L237" i="49"/>
  <c r="C237" i="11"/>
  <c r="C213" i="11"/>
  <c r="E213" i="25"/>
  <c r="L213" i="49"/>
  <c r="E197" i="25"/>
  <c r="L197" i="49"/>
  <c r="C197" i="11"/>
  <c r="E61" i="25"/>
  <c r="L61" i="49"/>
  <c r="C61" i="11"/>
  <c r="E261" i="25"/>
  <c r="L261" i="49"/>
  <c r="C261" i="11"/>
  <c r="E133" i="25"/>
  <c r="L133" i="49"/>
  <c r="C133" i="11"/>
  <c r="E86" i="25"/>
  <c r="L86" i="49"/>
  <c r="C86" i="11"/>
  <c r="C244" i="11"/>
  <c r="L244" i="49"/>
  <c r="E244" i="25"/>
  <c r="L120" i="49"/>
  <c r="C120" i="11"/>
  <c r="E120" i="25"/>
  <c r="C240" i="11"/>
  <c r="E240" i="25"/>
  <c r="L240" i="49"/>
  <c r="E294" i="25"/>
  <c r="L294" i="49"/>
  <c r="C294" i="11"/>
  <c r="E109" i="25"/>
  <c r="L109" i="49"/>
  <c r="C109" i="11"/>
  <c r="E250" i="25"/>
  <c r="L250" i="49"/>
  <c r="C250" i="11"/>
  <c r="E70" i="25"/>
  <c r="L70" i="49"/>
  <c r="C70" i="11"/>
  <c r="E252" i="25"/>
  <c r="C252" i="11"/>
  <c r="L252" i="49"/>
  <c r="E14" i="25"/>
  <c r="C14" i="11"/>
  <c r="L14" i="49"/>
  <c r="C292" i="11"/>
  <c r="L292" i="49"/>
  <c r="E292" i="25"/>
  <c r="E117" i="25"/>
  <c r="L117" i="49"/>
  <c r="C117" i="11"/>
  <c r="E283" i="25"/>
  <c r="C283" i="11"/>
  <c r="L283" i="49"/>
  <c r="L75" i="49"/>
  <c r="E75" i="25"/>
  <c r="C75" i="11"/>
  <c r="E30" i="25"/>
  <c r="L30" i="49"/>
  <c r="C30" i="11"/>
  <c r="E160" i="25"/>
  <c r="L160" i="49"/>
  <c r="C160" i="11"/>
  <c r="L179" i="49"/>
  <c r="E179" i="25"/>
  <c r="C179" i="11"/>
  <c r="L306" i="49"/>
  <c r="E306" i="25"/>
  <c r="C306" i="11"/>
  <c r="C166" i="11"/>
  <c r="E166" i="25"/>
  <c r="L166" i="49"/>
  <c r="C198" i="11"/>
  <c r="E198" i="25"/>
  <c r="L198" i="49"/>
  <c r="C71" i="11"/>
  <c r="L71" i="49"/>
  <c r="E71" i="25"/>
  <c r="E271" i="25"/>
  <c r="C271" i="11"/>
  <c r="L271" i="49"/>
  <c r="L83" i="49"/>
  <c r="E83" i="25"/>
  <c r="C83" i="11"/>
  <c r="E45" i="25"/>
  <c r="L45" i="49"/>
  <c r="C45" i="11"/>
  <c r="C155" i="11"/>
  <c r="L155" i="49"/>
  <c r="E155" i="25"/>
  <c r="E94" i="25"/>
  <c r="L94" i="49"/>
  <c r="C94" i="11"/>
  <c r="E290" i="25"/>
  <c r="L290" i="49"/>
  <c r="C290" i="11"/>
  <c r="C64" i="11"/>
  <c r="E64" i="25"/>
  <c r="L64" i="49"/>
  <c r="E41" i="25"/>
  <c r="L41" i="49"/>
  <c r="C41" i="11"/>
  <c r="L254" i="49"/>
  <c r="C254" i="11"/>
  <c r="E254" i="25"/>
  <c r="L10" i="49"/>
  <c r="E10" i="25"/>
  <c r="C10" i="11"/>
  <c r="C174" i="11"/>
  <c r="E174" i="25"/>
  <c r="L174" i="49"/>
  <c r="L167" i="49"/>
  <c r="C167" i="11"/>
  <c r="E167" i="25"/>
  <c r="E281" i="25"/>
  <c r="L281" i="49"/>
  <c r="C281" i="11"/>
  <c r="E67" i="25"/>
  <c r="C67" i="11"/>
  <c r="L67" i="49"/>
  <c r="L170" i="49"/>
  <c r="E170" i="25"/>
  <c r="C170" i="11"/>
  <c r="L279" i="49"/>
  <c r="C279" i="11"/>
  <c r="E279" i="25"/>
  <c r="L119" i="49"/>
  <c r="E119" i="25"/>
  <c r="C119" i="11"/>
  <c r="E148" i="25"/>
  <c r="C148" i="11"/>
  <c r="L148" i="49"/>
  <c r="E299" i="25"/>
  <c r="L299" i="49"/>
  <c r="C299" i="11"/>
  <c r="L123" i="49"/>
  <c r="E123" i="25"/>
  <c r="C123" i="11"/>
  <c r="E248" i="25"/>
  <c r="L248" i="49"/>
  <c r="C248" i="11"/>
  <c r="E51" i="25"/>
  <c r="C51" i="11"/>
  <c r="L51" i="49"/>
  <c r="E88" i="25"/>
  <c r="L88" i="49"/>
  <c r="C88" i="11"/>
  <c r="E190" i="25"/>
  <c r="L190" i="49"/>
  <c r="C190" i="11"/>
  <c r="E37" i="25"/>
  <c r="L37" i="49"/>
  <c r="C37" i="11"/>
  <c r="L227" i="49"/>
  <c r="E227" i="25"/>
  <c r="C227" i="11"/>
  <c r="C95" i="11"/>
  <c r="E95" i="25"/>
  <c r="L95" i="49"/>
  <c r="L218" i="49"/>
  <c r="E218" i="25"/>
  <c r="C218" i="11"/>
  <c r="E98" i="25"/>
  <c r="L98" i="49"/>
  <c r="C98" i="11"/>
  <c r="E196" i="25"/>
  <c r="C196" i="11"/>
  <c r="L196" i="49"/>
  <c r="L200" i="49"/>
  <c r="C200" i="11"/>
  <c r="E200" i="25"/>
  <c r="L211" i="49"/>
  <c r="E211" i="25"/>
  <c r="C211" i="11"/>
  <c r="C145" i="11"/>
  <c r="E145" i="25"/>
  <c r="L145" i="49"/>
  <c r="E118" i="25"/>
  <c r="L118" i="49"/>
  <c r="C118" i="11"/>
  <c r="C298" i="11"/>
  <c r="E298" i="25"/>
  <c r="L298" i="49"/>
  <c r="L111" i="49"/>
  <c r="E111" i="25"/>
  <c r="C111" i="11"/>
  <c r="C199" i="11"/>
  <c r="E199" i="25"/>
  <c r="L199" i="49"/>
  <c r="E212" i="25"/>
  <c r="C212" i="11"/>
  <c r="L212" i="49"/>
  <c r="L226" i="49"/>
  <c r="C226" i="11"/>
  <c r="E226" i="25"/>
  <c r="C116" i="11"/>
  <c r="L116" i="49"/>
  <c r="E116" i="25"/>
  <c r="L312" i="49"/>
  <c r="C312" i="11"/>
  <c r="E312" i="25"/>
  <c r="E96" i="25"/>
  <c r="L96" i="49"/>
  <c r="C96" i="11"/>
  <c r="L203" i="49"/>
  <c r="E203" i="25"/>
  <c r="C203" i="11"/>
  <c r="E234" i="25"/>
  <c r="L234" i="49"/>
  <c r="C234" i="11"/>
  <c r="E267" i="25"/>
  <c r="L267" i="49"/>
  <c r="C267" i="11"/>
  <c r="C311" i="11"/>
  <c r="L311" i="49"/>
  <c r="E311" i="25"/>
  <c r="E142" i="25"/>
  <c r="L142" i="49"/>
  <c r="C142" i="11"/>
  <c r="L277" i="49"/>
  <c r="E277" i="25"/>
  <c r="C277" i="11"/>
  <c r="E9" i="25"/>
  <c r="L9" i="49"/>
  <c r="C9" i="11"/>
  <c r="L131" i="49"/>
  <c r="E131" i="25"/>
  <c r="C131" i="11"/>
  <c r="L251" i="49"/>
  <c r="E251" i="25"/>
  <c r="C251" i="11"/>
  <c r="L54" i="49"/>
  <c r="C54" i="11"/>
  <c r="E54" i="25"/>
  <c r="E193" i="25"/>
  <c r="L193" i="49"/>
  <c r="C193" i="11"/>
  <c r="C127" i="11"/>
  <c r="E127" i="25"/>
  <c r="L127" i="49"/>
  <c r="E17" i="25"/>
  <c r="L17" i="49"/>
  <c r="C17" i="11"/>
  <c r="L25" i="49"/>
  <c r="C25" i="11"/>
  <c r="E25" i="25"/>
  <c r="C50" i="11"/>
  <c r="E50" i="25"/>
  <c r="L50" i="49"/>
  <c r="C12" i="11"/>
  <c r="L12" i="49"/>
  <c r="E12" i="25"/>
  <c r="E295" i="25"/>
  <c r="C295" i="11"/>
  <c r="L295" i="49"/>
  <c r="E228" i="25"/>
  <c r="C228" i="11"/>
  <c r="L228" i="49"/>
  <c r="E188" i="25"/>
  <c r="C188" i="11"/>
  <c r="L188" i="49"/>
  <c r="E8" i="25"/>
  <c r="L8" i="49"/>
  <c r="C8" i="11"/>
  <c r="E205" i="25"/>
  <c r="L205" i="49"/>
  <c r="C205" i="11"/>
  <c r="L85" i="49"/>
  <c r="C85" i="11"/>
  <c r="E85" i="25"/>
  <c r="C44" i="11"/>
  <c r="E44" i="25"/>
  <c r="L44" i="49"/>
  <c r="L39" i="49"/>
  <c r="C39" i="11"/>
  <c r="E39" i="25"/>
  <c r="E113" i="25"/>
  <c r="L113" i="49"/>
  <c r="C113" i="11"/>
  <c r="C236" i="11"/>
  <c r="L236" i="49"/>
  <c r="E236" i="25"/>
  <c r="C269" i="11"/>
  <c r="E269" i="25"/>
  <c r="L269" i="49"/>
  <c r="L219" i="49"/>
  <c r="E219" i="25"/>
  <c r="C219" i="11"/>
  <c r="C82" i="11"/>
  <c r="E82" i="25"/>
  <c r="L82" i="49"/>
  <c r="C225" i="11"/>
  <c r="E225" i="25"/>
  <c r="L225" i="49"/>
  <c r="E26" i="25"/>
  <c r="L26" i="49"/>
  <c r="C26" i="11"/>
  <c r="E136" i="25"/>
  <c r="L136" i="49"/>
  <c r="C136" i="11"/>
  <c r="E282" i="25"/>
  <c r="L282" i="49"/>
  <c r="C282" i="11"/>
  <c r="C146" i="11"/>
  <c r="E146" i="25"/>
  <c r="L146" i="49"/>
  <c r="E192" i="25"/>
  <c r="C192" i="11"/>
  <c r="L192" i="49"/>
  <c r="C216" i="11"/>
  <c r="E216" i="25"/>
  <c r="L216" i="49"/>
  <c r="L268" i="49"/>
  <c r="E268" i="25"/>
  <c r="C268" i="11"/>
  <c r="L74" i="49"/>
  <c r="E74" i="25"/>
  <c r="C74" i="11"/>
  <c r="E49" i="25"/>
  <c r="C49" i="11"/>
  <c r="L49" i="49"/>
  <c r="L223" i="49"/>
  <c r="C223" i="11"/>
  <c r="E223" i="25"/>
  <c r="L230" i="49"/>
  <c r="E230" i="25"/>
  <c r="C230" i="11"/>
  <c r="L93" i="49"/>
  <c r="E93" i="25"/>
  <c r="C93" i="11"/>
  <c r="E48" i="25"/>
  <c r="L48" i="49"/>
  <c r="C48" i="11"/>
  <c r="L139" i="49"/>
  <c r="E139" i="25"/>
  <c r="C139" i="11"/>
  <c r="C305" i="11"/>
  <c r="L305" i="49"/>
  <c r="E305" i="25"/>
  <c r="C124" i="11"/>
  <c r="L124" i="49"/>
  <c r="E124" i="25"/>
  <c r="L159" i="49"/>
  <c r="C159" i="11"/>
  <c r="E159" i="25"/>
  <c r="E92" i="25"/>
  <c r="C92" i="11"/>
  <c r="L92" i="49"/>
  <c r="C255" i="11"/>
  <c r="E255" i="25"/>
  <c r="L255" i="49"/>
  <c r="E231" i="25"/>
  <c r="L231" i="49"/>
  <c r="C231" i="11"/>
  <c r="E162" i="25"/>
  <c r="L162" i="49"/>
  <c r="C162" i="11"/>
  <c r="L246" i="49"/>
  <c r="C246" i="11"/>
  <c r="E246" i="25"/>
  <c r="E265" i="25"/>
  <c r="L265" i="49"/>
  <c r="C265" i="11"/>
  <c r="C42" i="11"/>
  <c r="L42" i="49"/>
  <c r="E42" i="25"/>
  <c r="E52" i="25"/>
  <c r="L52" i="49"/>
  <c r="C52" i="11"/>
  <c r="L106" i="49"/>
  <c r="E106" i="25"/>
  <c r="C106" i="11"/>
  <c r="E108" i="25"/>
  <c r="C108" i="11"/>
  <c r="L108" i="49"/>
  <c r="L273" i="49"/>
  <c r="E273" i="25"/>
  <c r="C273" i="11"/>
  <c r="L263" i="49"/>
  <c r="C263" i="11"/>
  <c r="E263" i="25"/>
  <c r="E78" i="25"/>
  <c r="L78" i="49"/>
  <c r="C78" i="11"/>
  <c r="C172" i="11"/>
  <c r="L172" i="49"/>
  <c r="E172" i="25"/>
  <c r="E143" i="25"/>
  <c r="C143" i="11"/>
  <c r="L143" i="49"/>
  <c r="E144" i="25"/>
  <c r="L144" i="49"/>
  <c r="C144" i="11"/>
  <c r="C303" i="11"/>
  <c r="E303" i="25"/>
  <c r="L303" i="49"/>
  <c r="E100" i="25"/>
  <c r="C100" i="11"/>
  <c r="L100" i="49"/>
  <c r="E38" i="25"/>
  <c r="L38" i="49"/>
  <c r="C38" i="11"/>
  <c r="C66" i="11"/>
  <c r="E66" i="25"/>
  <c r="L66" i="49"/>
  <c r="E164" i="25"/>
  <c r="C164" i="11"/>
  <c r="L164" i="49"/>
  <c r="E214" i="25"/>
  <c r="L214" i="49"/>
  <c r="C214" i="11"/>
  <c r="E184" i="25"/>
  <c r="L184" i="49"/>
  <c r="C184" i="11"/>
  <c r="E206" i="25"/>
  <c r="L206" i="49"/>
  <c r="C206" i="11"/>
  <c r="C266" i="11"/>
  <c r="L266" i="49"/>
  <c r="E266" i="25"/>
  <c r="E247" i="25"/>
  <c r="C247" i="11"/>
  <c r="L247" i="49"/>
  <c r="L175" i="49"/>
  <c r="E175" i="25"/>
  <c r="C175" i="11"/>
  <c r="C285" i="11"/>
  <c r="L285" i="49"/>
  <c r="E285" i="25"/>
  <c r="L194" i="49"/>
  <c r="C194" i="11"/>
  <c r="E194" i="25"/>
  <c r="E262" i="25"/>
  <c r="L262" i="49"/>
  <c r="C262" i="11"/>
  <c r="E23" i="25"/>
  <c r="L23" i="49"/>
  <c r="C23" i="11"/>
  <c r="L79" i="49"/>
  <c r="E79" i="25"/>
  <c r="C79" i="11"/>
  <c r="E152" i="25"/>
  <c r="L152" i="49"/>
  <c r="C152" i="11"/>
  <c r="L47" i="49"/>
  <c r="E47" i="25"/>
  <c r="C47" i="11"/>
  <c r="L77" i="49"/>
  <c r="C77" i="11"/>
  <c r="E77" i="25"/>
  <c r="E308" i="25"/>
  <c r="C308" i="11"/>
  <c r="L308" i="49"/>
  <c r="C132" i="11"/>
  <c r="L132" i="49"/>
  <c r="E132" i="25"/>
  <c r="E53" i="25"/>
  <c r="C53" i="11"/>
  <c r="L53" i="49"/>
  <c r="E102" i="25"/>
  <c r="L102" i="49"/>
  <c r="C102" i="11"/>
  <c r="E104" i="25"/>
  <c r="L104" i="49"/>
  <c r="C104" i="11"/>
  <c r="E154" i="25"/>
  <c r="C154" i="11"/>
  <c r="L154" i="49"/>
  <c r="E138" i="25"/>
  <c r="C138" i="11"/>
  <c r="L138" i="49"/>
  <c r="C7" i="11"/>
  <c r="E7" i="25"/>
  <c r="L7" i="49"/>
  <c r="L287" i="49"/>
  <c r="C287" i="11"/>
  <c r="E287" i="25"/>
  <c r="C220" i="11"/>
  <c r="L220" i="49"/>
  <c r="E220" i="25"/>
  <c r="L89" i="49"/>
  <c r="C89" i="11"/>
  <c r="E89" i="25"/>
  <c r="C189" i="11"/>
  <c r="E189" i="25"/>
  <c r="L189" i="49"/>
  <c r="C69" i="11"/>
  <c r="E69" i="25"/>
  <c r="L69" i="49"/>
  <c r="L81" i="49"/>
  <c r="C81" i="11"/>
  <c r="E81" i="25"/>
  <c r="C185" i="11"/>
  <c r="E185" i="25"/>
  <c r="L185" i="49"/>
  <c r="C201" i="11"/>
  <c r="E201" i="25"/>
  <c r="L201" i="49"/>
  <c r="E65" i="25"/>
  <c r="L65" i="49"/>
  <c r="C65" i="11"/>
  <c r="E73" i="25"/>
  <c r="L73" i="49"/>
  <c r="C73" i="11"/>
  <c r="C229" i="11"/>
  <c r="E229" i="25"/>
  <c r="L229" i="49"/>
  <c r="E57" i="25"/>
  <c r="L57" i="49"/>
  <c r="C57" i="11"/>
  <c r="E157" i="25"/>
  <c r="L157" i="49"/>
  <c r="C157" i="11"/>
  <c r="L18" i="49"/>
  <c r="E18" i="25"/>
  <c r="C18" i="11"/>
  <c r="L137" i="49"/>
  <c r="C137" i="11"/>
  <c r="E137" i="25"/>
  <c r="E181" i="25"/>
  <c r="L181" i="49"/>
  <c r="C181" i="11"/>
  <c r="E288" i="25"/>
  <c r="L288" i="49"/>
  <c r="C288" i="11"/>
  <c r="J244" i="13"/>
  <c r="G243" i="49"/>
  <c r="J170" i="13"/>
  <c r="G169" i="49"/>
  <c r="Q5" i="11"/>
  <c r="K5" i="11"/>
  <c r="J268" i="11" l="1"/>
  <c r="K268" i="11" s="1"/>
  <c r="P268" i="11"/>
  <c r="Q268" i="11" s="1"/>
  <c r="J311" i="11"/>
  <c r="K311" i="11" s="1"/>
  <c r="P311" i="11"/>
  <c r="Q311" i="11" s="1"/>
  <c r="P111" i="11"/>
  <c r="Q111" i="11" s="1"/>
  <c r="J111" i="11"/>
  <c r="K111" i="11" s="1"/>
  <c r="L243" i="49"/>
  <c r="E243" i="25"/>
  <c r="C243" i="11"/>
  <c r="P240" i="11"/>
  <c r="Q240" i="11" s="1"/>
  <c r="J240" i="11"/>
  <c r="K240" i="11" s="1"/>
  <c r="P221" i="11"/>
  <c r="Q221" i="11" s="1"/>
  <c r="J221" i="11"/>
  <c r="K221" i="11" s="1"/>
  <c r="P220" i="11"/>
  <c r="Q220" i="11" s="1"/>
  <c r="J220" i="11"/>
  <c r="K220" i="11" s="1"/>
  <c r="P132" i="11"/>
  <c r="Q132" i="11" s="1"/>
  <c r="J132" i="11"/>
  <c r="K132" i="11" s="1"/>
  <c r="P262" i="11"/>
  <c r="Q262" i="11" s="1"/>
  <c r="J262" i="11"/>
  <c r="K262" i="11" s="1"/>
  <c r="J214" i="11"/>
  <c r="K214" i="11" s="1"/>
  <c r="P214" i="11"/>
  <c r="Q214" i="11" s="1"/>
  <c r="P231" i="11"/>
  <c r="Q231" i="11" s="1"/>
  <c r="J231" i="11"/>
  <c r="K231" i="11" s="1"/>
  <c r="J159" i="11"/>
  <c r="K159" i="11" s="1"/>
  <c r="P159" i="11"/>
  <c r="Q159" i="11" s="1"/>
  <c r="P205" i="11"/>
  <c r="Q205" i="11" s="1"/>
  <c r="J205" i="11"/>
  <c r="K205" i="11" s="1"/>
  <c r="J228" i="11"/>
  <c r="K228" i="11" s="1"/>
  <c r="P228" i="11"/>
  <c r="Q228" i="11" s="1"/>
  <c r="P131" i="11"/>
  <c r="Q131" i="11" s="1"/>
  <c r="J131" i="11"/>
  <c r="K131" i="11" s="1"/>
  <c r="P312" i="11"/>
  <c r="Q312" i="11" s="1"/>
  <c r="J312" i="11"/>
  <c r="K312" i="11" s="1"/>
  <c r="J123" i="11"/>
  <c r="K123" i="11" s="1"/>
  <c r="P123" i="11"/>
  <c r="Q123" i="11" s="1"/>
  <c r="P294" i="11"/>
  <c r="Q294" i="11" s="1"/>
  <c r="J294" i="11"/>
  <c r="K294" i="11" s="1"/>
  <c r="J133" i="11"/>
  <c r="K133" i="11" s="1"/>
  <c r="P133" i="11"/>
  <c r="Q133" i="11" s="1"/>
  <c r="P197" i="11"/>
  <c r="Q197" i="11" s="1"/>
  <c r="J197" i="11"/>
  <c r="K197" i="11" s="1"/>
  <c r="P301" i="11"/>
  <c r="Q301" i="11" s="1"/>
  <c r="J301" i="11"/>
  <c r="K301" i="11" s="1"/>
  <c r="J278" i="11"/>
  <c r="K278" i="11" s="1"/>
  <c r="P278" i="11"/>
  <c r="Q278" i="11" s="1"/>
  <c r="P304" i="11"/>
  <c r="Q304" i="11" s="1"/>
  <c r="J304" i="11"/>
  <c r="K304" i="11" s="1"/>
  <c r="P114" i="11"/>
  <c r="Q114" i="11" s="1"/>
  <c r="J114" i="11"/>
  <c r="K114" i="11" s="1"/>
  <c r="P274" i="11"/>
  <c r="Q274" i="11" s="1"/>
  <c r="J274" i="11"/>
  <c r="K274" i="11" s="1"/>
  <c r="P191" i="11"/>
  <c r="Q191" i="11" s="1"/>
  <c r="J191" i="11"/>
  <c r="K191" i="11" s="1"/>
  <c r="P122" i="11"/>
  <c r="Q122" i="11" s="1"/>
  <c r="J122" i="11"/>
  <c r="K122" i="11" s="1"/>
  <c r="P217" i="11"/>
  <c r="Q217" i="11" s="1"/>
  <c r="J217" i="11"/>
  <c r="K217" i="11" s="1"/>
  <c r="P270" i="11"/>
  <c r="Q270" i="11" s="1"/>
  <c r="J270" i="11"/>
  <c r="K270" i="11" s="1"/>
  <c r="P180" i="11"/>
  <c r="Q180" i="11" s="1"/>
  <c r="J180" i="11"/>
  <c r="K180" i="11" s="1"/>
  <c r="P164" i="11"/>
  <c r="Q164" i="11" s="1"/>
  <c r="J164" i="11"/>
  <c r="K164" i="11" s="1"/>
  <c r="P265" i="11"/>
  <c r="Q265" i="11" s="1"/>
  <c r="J265" i="11"/>
  <c r="K265" i="11" s="1"/>
  <c r="P298" i="11"/>
  <c r="Q298" i="11" s="1"/>
  <c r="J298" i="11"/>
  <c r="K298" i="11" s="1"/>
  <c r="P151" i="11"/>
  <c r="Q151" i="11" s="1"/>
  <c r="J151" i="11"/>
  <c r="K151" i="11" s="1"/>
  <c r="P309" i="11"/>
  <c r="Q309" i="11" s="1"/>
  <c r="J309" i="11"/>
  <c r="K309" i="11" s="1"/>
  <c r="P176" i="11"/>
  <c r="Q176" i="11" s="1"/>
  <c r="J176" i="11"/>
  <c r="K176" i="11" s="1"/>
  <c r="P135" i="11"/>
  <c r="Q135" i="11" s="1"/>
  <c r="J135" i="11"/>
  <c r="K135" i="11" s="1"/>
  <c r="P130" i="11"/>
  <c r="Q130" i="11" s="1"/>
  <c r="J130" i="11"/>
  <c r="K130" i="11" s="1"/>
  <c r="J229" i="11"/>
  <c r="K229" i="11" s="1"/>
  <c r="P229" i="11"/>
  <c r="Q229" i="11" s="1"/>
  <c r="J77" i="11"/>
  <c r="K77" i="11" s="1"/>
  <c r="P77" i="11"/>
  <c r="Q77" i="11" s="1"/>
  <c r="J152" i="11"/>
  <c r="K152" i="11" s="1"/>
  <c r="P152" i="11"/>
  <c r="Q152" i="11" s="1"/>
  <c r="P106" i="11"/>
  <c r="Q106" i="11" s="1"/>
  <c r="J106" i="11"/>
  <c r="K106" i="11" s="1"/>
  <c r="P162" i="11"/>
  <c r="Q162" i="11" s="1"/>
  <c r="J162" i="11"/>
  <c r="K162" i="11" s="1"/>
  <c r="P136" i="11"/>
  <c r="Q136" i="11" s="1"/>
  <c r="J136" i="11"/>
  <c r="K136" i="11" s="1"/>
  <c r="P96" i="11"/>
  <c r="Q96" i="11" s="1"/>
  <c r="J96" i="11"/>
  <c r="K96" i="11" s="1"/>
  <c r="J118" i="11"/>
  <c r="K118" i="11" s="1"/>
  <c r="P118" i="11"/>
  <c r="Q118" i="11" s="1"/>
  <c r="J145" i="11"/>
  <c r="K145" i="11" s="1"/>
  <c r="P145" i="11"/>
  <c r="Q145" i="11" s="1"/>
  <c r="P200" i="11"/>
  <c r="Q200" i="11" s="1"/>
  <c r="J200" i="11"/>
  <c r="K200" i="11" s="1"/>
  <c r="P98" i="11"/>
  <c r="Q98" i="11" s="1"/>
  <c r="J98" i="11"/>
  <c r="K98" i="11" s="1"/>
  <c r="P88" i="11"/>
  <c r="Q88" i="11" s="1"/>
  <c r="J88" i="11"/>
  <c r="K88" i="11" s="1"/>
  <c r="P170" i="11"/>
  <c r="Q170" i="11" s="1"/>
  <c r="J170" i="11"/>
  <c r="K170" i="11" s="1"/>
  <c r="P160" i="11"/>
  <c r="Q160" i="11" s="1"/>
  <c r="J160" i="11"/>
  <c r="K160" i="11" s="1"/>
  <c r="J283" i="11"/>
  <c r="K283" i="11" s="1"/>
  <c r="P283" i="11"/>
  <c r="Q283" i="11" s="1"/>
  <c r="P109" i="11"/>
  <c r="Q109" i="11" s="1"/>
  <c r="J109" i="11"/>
  <c r="K109" i="11" s="1"/>
  <c r="P244" i="11"/>
  <c r="Q244" i="11" s="1"/>
  <c r="J244" i="11"/>
  <c r="K244" i="11" s="1"/>
  <c r="J237" i="11"/>
  <c r="K237" i="11" s="1"/>
  <c r="P237" i="11"/>
  <c r="Q237" i="11" s="1"/>
  <c r="J173" i="11"/>
  <c r="K173" i="11" s="1"/>
  <c r="P173" i="11"/>
  <c r="Q173" i="11" s="1"/>
  <c r="J235" i="11"/>
  <c r="K235" i="11" s="1"/>
  <c r="P235" i="11"/>
  <c r="Q235" i="11" s="1"/>
  <c r="J183" i="11"/>
  <c r="K183" i="11" s="1"/>
  <c r="P183" i="11"/>
  <c r="Q183" i="11" s="1"/>
  <c r="P276" i="11"/>
  <c r="Q276" i="11" s="1"/>
  <c r="J276" i="11"/>
  <c r="K276" i="11" s="1"/>
  <c r="P80" i="11"/>
  <c r="Q80" i="11" s="1"/>
  <c r="J80" i="11"/>
  <c r="K80" i="11" s="1"/>
  <c r="J147" i="11"/>
  <c r="K147" i="11" s="1"/>
  <c r="P147" i="11"/>
  <c r="Q147" i="11" s="1"/>
  <c r="P284" i="11"/>
  <c r="Q284" i="11" s="1"/>
  <c r="J284" i="11"/>
  <c r="K284" i="11" s="1"/>
  <c r="J215" i="11"/>
  <c r="K215" i="11" s="1"/>
  <c r="P215" i="11"/>
  <c r="Q215" i="11" s="1"/>
  <c r="P142" i="11"/>
  <c r="Q142" i="11" s="1"/>
  <c r="J142" i="11"/>
  <c r="K142" i="11" s="1"/>
  <c r="P289" i="11"/>
  <c r="Q289" i="11" s="1"/>
  <c r="J289" i="11"/>
  <c r="K289" i="11" s="1"/>
  <c r="P300" i="11"/>
  <c r="Q300" i="11" s="1"/>
  <c r="J300" i="11"/>
  <c r="K300" i="11" s="1"/>
  <c r="P201" i="11"/>
  <c r="Q201" i="11" s="1"/>
  <c r="J201" i="11"/>
  <c r="K201" i="11" s="1"/>
  <c r="J89" i="11"/>
  <c r="K89" i="11" s="1"/>
  <c r="P89" i="11"/>
  <c r="Q89" i="11" s="1"/>
  <c r="P154" i="11"/>
  <c r="Q154" i="11" s="1"/>
  <c r="J154" i="11"/>
  <c r="K154" i="11" s="1"/>
  <c r="P102" i="11"/>
  <c r="Q102" i="11" s="1"/>
  <c r="J102" i="11"/>
  <c r="K102" i="11" s="1"/>
  <c r="P92" i="11"/>
  <c r="Q92" i="11" s="1"/>
  <c r="J92" i="11"/>
  <c r="K92" i="11" s="1"/>
  <c r="P223" i="11"/>
  <c r="Q223" i="11" s="1"/>
  <c r="J223" i="11"/>
  <c r="K223" i="11" s="1"/>
  <c r="P146" i="11"/>
  <c r="Q146" i="11" s="1"/>
  <c r="J146" i="11"/>
  <c r="K146" i="11" s="1"/>
  <c r="P82" i="11"/>
  <c r="Q82" i="11" s="1"/>
  <c r="J82" i="11"/>
  <c r="K82" i="11" s="1"/>
  <c r="P236" i="11"/>
  <c r="Q236" i="11" s="1"/>
  <c r="J236" i="11"/>
  <c r="K236" i="11" s="1"/>
  <c r="P193" i="11"/>
  <c r="Q193" i="11" s="1"/>
  <c r="J193" i="11"/>
  <c r="K193" i="11" s="1"/>
  <c r="P277" i="11"/>
  <c r="Q277" i="11" s="1"/>
  <c r="J277" i="11"/>
  <c r="K277" i="11" s="1"/>
  <c r="P226" i="11"/>
  <c r="Q226" i="11" s="1"/>
  <c r="J226" i="11"/>
  <c r="K226" i="11" s="1"/>
  <c r="P227" i="11"/>
  <c r="Q227" i="11" s="1"/>
  <c r="J227" i="11"/>
  <c r="K227" i="11" s="1"/>
  <c r="P190" i="11"/>
  <c r="Q190" i="11" s="1"/>
  <c r="J190" i="11"/>
  <c r="K190" i="11" s="1"/>
  <c r="P148" i="11"/>
  <c r="Q148" i="11" s="1"/>
  <c r="J148" i="11"/>
  <c r="K148" i="11" s="1"/>
  <c r="P281" i="11"/>
  <c r="Q281" i="11" s="1"/>
  <c r="J281" i="11"/>
  <c r="K281" i="11" s="1"/>
  <c r="J174" i="11"/>
  <c r="K174" i="11" s="1"/>
  <c r="P174" i="11"/>
  <c r="Q174" i="11" s="1"/>
  <c r="J290" i="11"/>
  <c r="K290" i="11" s="1"/>
  <c r="P290" i="11"/>
  <c r="Q290" i="11" s="1"/>
  <c r="P179" i="11"/>
  <c r="Q179" i="11" s="1"/>
  <c r="J179" i="11"/>
  <c r="K179" i="11" s="1"/>
  <c r="P86" i="11"/>
  <c r="Q86" i="11" s="1"/>
  <c r="J86" i="11"/>
  <c r="K86" i="11" s="1"/>
  <c r="P313" i="11"/>
  <c r="Q313" i="11" s="1"/>
  <c r="J313" i="11"/>
  <c r="K313" i="11" s="1"/>
  <c r="P256" i="11"/>
  <c r="Q256" i="11" s="1"/>
  <c r="J256" i="11"/>
  <c r="K256" i="11" s="1"/>
  <c r="P245" i="11"/>
  <c r="Q245" i="11" s="1"/>
  <c r="J245" i="11"/>
  <c r="K245" i="11" s="1"/>
  <c r="P208" i="11"/>
  <c r="Q208" i="11" s="1"/>
  <c r="J208" i="11"/>
  <c r="K208" i="11" s="1"/>
  <c r="P91" i="11"/>
  <c r="Q91" i="11" s="1"/>
  <c r="J91" i="11"/>
  <c r="K91" i="11" s="1"/>
  <c r="P259" i="11"/>
  <c r="Q259" i="11" s="1"/>
  <c r="J259" i="11"/>
  <c r="K259" i="11" s="1"/>
  <c r="P224" i="11"/>
  <c r="Q224" i="11" s="1"/>
  <c r="J224" i="11"/>
  <c r="K224" i="11" s="1"/>
  <c r="J105" i="11"/>
  <c r="K105" i="11" s="1"/>
  <c r="P105" i="11"/>
  <c r="Q105" i="11" s="1"/>
  <c r="P293" i="11"/>
  <c r="Q293" i="11" s="1"/>
  <c r="J293" i="11"/>
  <c r="K293" i="11" s="1"/>
  <c r="J110" i="11"/>
  <c r="K110" i="11" s="1"/>
  <c r="P110" i="11"/>
  <c r="Q110" i="11" s="1"/>
  <c r="P249" i="11"/>
  <c r="Q249" i="11" s="1"/>
  <c r="J249" i="11"/>
  <c r="K249" i="11" s="1"/>
  <c r="P222" i="11"/>
  <c r="Q222" i="11" s="1"/>
  <c r="J222" i="11"/>
  <c r="K222" i="11" s="1"/>
  <c r="P186" i="11"/>
  <c r="Q186" i="11" s="1"/>
  <c r="J186" i="11"/>
  <c r="K186" i="11" s="1"/>
  <c r="P233" i="11"/>
  <c r="Q233" i="11" s="1"/>
  <c r="J233" i="11"/>
  <c r="K233" i="11" s="1"/>
  <c r="P115" i="11"/>
  <c r="Q115" i="11" s="1"/>
  <c r="J115" i="11"/>
  <c r="K115" i="11" s="1"/>
  <c r="J129" i="11"/>
  <c r="K129" i="11" s="1"/>
  <c r="P129" i="11"/>
  <c r="Q129" i="11" s="1"/>
  <c r="P241" i="11"/>
  <c r="Q241" i="11" s="1"/>
  <c r="J241" i="11"/>
  <c r="K241" i="11" s="1"/>
  <c r="P171" i="11"/>
  <c r="Q171" i="11" s="1"/>
  <c r="J171" i="11"/>
  <c r="K171" i="11" s="1"/>
  <c r="P255" i="11"/>
  <c r="Q255" i="11" s="1"/>
  <c r="J255" i="11"/>
  <c r="K255" i="11" s="1"/>
  <c r="J213" i="11"/>
  <c r="K213" i="11" s="1"/>
  <c r="P213" i="11"/>
  <c r="Q213" i="11" s="1"/>
  <c r="P207" i="11"/>
  <c r="Q207" i="11" s="1"/>
  <c r="J207" i="11"/>
  <c r="K207" i="11" s="1"/>
  <c r="P126" i="11"/>
  <c r="Q126" i="11" s="1"/>
  <c r="J126" i="11"/>
  <c r="K126" i="11" s="1"/>
  <c r="P288" i="11"/>
  <c r="Q288" i="11" s="1"/>
  <c r="J288" i="11"/>
  <c r="K288" i="11" s="1"/>
  <c r="P81" i="11"/>
  <c r="Q81" i="11" s="1"/>
  <c r="J81" i="11"/>
  <c r="K81" i="11" s="1"/>
  <c r="P287" i="11"/>
  <c r="Q287" i="11" s="1"/>
  <c r="J287" i="11"/>
  <c r="K287" i="11" s="1"/>
  <c r="P172" i="11"/>
  <c r="Q172" i="11" s="1"/>
  <c r="J172" i="11"/>
  <c r="K172" i="11" s="1"/>
  <c r="P305" i="11"/>
  <c r="Q305" i="11" s="1"/>
  <c r="J305" i="11"/>
  <c r="K305" i="11" s="1"/>
  <c r="J230" i="11"/>
  <c r="K230" i="11" s="1"/>
  <c r="P230" i="11"/>
  <c r="Q230" i="11" s="1"/>
  <c r="P192" i="11"/>
  <c r="Q192" i="11" s="1"/>
  <c r="J192" i="11"/>
  <c r="K192" i="11" s="1"/>
  <c r="J188" i="11"/>
  <c r="K188" i="11" s="1"/>
  <c r="P188" i="11"/>
  <c r="Q188" i="11" s="1"/>
  <c r="P267" i="11"/>
  <c r="Q267" i="11" s="1"/>
  <c r="J267" i="11"/>
  <c r="K267" i="11" s="1"/>
  <c r="P211" i="11"/>
  <c r="Q211" i="11" s="1"/>
  <c r="J211" i="11"/>
  <c r="K211" i="11" s="1"/>
  <c r="J248" i="11"/>
  <c r="K248" i="11" s="1"/>
  <c r="P248" i="11"/>
  <c r="Q248" i="11" s="1"/>
  <c r="P279" i="11"/>
  <c r="Q279" i="11" s="1"/>
  <c r="J279" i="11"/>
  <c r="K279" i="11" s="1"/>
  <c r="P117" i="11"/>
  <c r="Q117" i="11" s="1"/>
  <c r="J117" i="11"/>
  <c r="K117" i="11" s="1"/>
  <c r="J252" i="11"/>
  <c r="K252" i="11" s="1"/>
  <c r="P252" i="11"/>
  <c r="Q252" i="11" s="1"/>
  <c r="P120" i="11"/>
  <c r="Q120" i="11" s="1"/>
  <c r="J120" i="11"/>
  <c r="K120" i="11" s="1"/>
  <c r="J177" i="11"/>
  <c r="K177" i="11" s="1"/>
  <c r="P177" i="11"/>
  <c r="Q177" i="11" s="1"/>
  <c r="J161" i="11"/>
  <c r="K161" i="11" s="1"/>
  <c r="P161" i="11"/>
  <c r="Q161" i="11" s="1"/>
  <c r="P291" i="11"/>
  <c r="Q291" i="11" s="1"/>
  <c r="J291" i="11"/>
  <c r="K291" i="11" s="1"/>
  <c r="J134" i="11"/>
  <c r="K134" i="11" s="1"/>
  <c r="P134" i="11"/>
  <c r="Q134" i="11" s="1"/>
  <c r="J286" i="11"/>
  <c r="K286" i="11" s="1"/>
  <c r="P286" i="11"/>
  <c r="Q286" i="11" s="1"/>
  <c r="P232" i="11"/>
  <c r="Q232" i="11" s="1"/>
  <c r="J232" i="11"/>
  <c r="K232" i="11" s="1"/>
  <c r="J209" i="11"/>
  <c r="K209" i="11" s="1"/>
  <c r="P209" i="11"/>
  <c r="Q209" i="11" s="1"/>
  <c r="P163" i="11"/>
  <c r="Q163" i="11" s="1"/>
  <c r="J163" i="11"/>
  <c r="K163" i="11" s="1"/>
  <c r="J87" i="11"/>
  <c r="K87" i="11" s="1"/>
  <c r="P87" i="11"/>
  <c r="Q87" i="11" s="1"/>
  <c r="P239" i="11"/>
  <c r="Q239" i="11" s="1"/>
  <c r="J239" i="11"/>
  <c r="K239" i="11" s="1"/>
  <c r="J195" i="11"/>
  <c r="K195" i="11" s="1"/>
  <c r="P195" i="11"/>
  <c r="Q195" i="11" s="1"/>
  <c r="P210" i="11"/>
  <c r="Q210" i="11" s="1"/>
  <c r="J210" i="11"/>
  <c r="K210" i="11" s="1"/>
  <c r="P125" i="11"/>
  <c r="Q125" i="11" s="1"/>
  <c r="J125" i="11"/>
  <c r="K125" i="11" s="1"/>
  <c r="P185" i="11"/>
  <c r="Q185" i="11" s="1"/>
  <c r="J185" i="11"/>
  <c r="K185" i="11" s="1"/>
  <c r="P175" i="11"/>
  <c r="Q175" i="11" s="1"/>
  <c r="J175" i="11"/>
  <c r="K175" i="11" s="1"/>
  <c r="J99" i="11"/>
  <c r="K99" i="11" s="1"/>
  <c r="P99" i="11"/>
  <c r="Q99" i="11" s="1"/>
  <c r="P308" i="11"/>
  <c r="Q308" i="11" s="1"/>
  <c r="J308" i="11"/>
  <c r="K308" i="11" s="1"/>
  <c r="J285" i="11"/>
  <c r="K285" i="11" s="1"/>
  <c r="P285" i="11"/>
  <c r="Q285" i="11" s="1"/>
  <c r="P266" i="11"/>
  <c r="Q266" i="11" s="1"/>
  <c r="J266" i="11"/>
  <c r="K266" i="11" s="1"/>
  <c r="P184" i="11"/>
  <c r="Q184" i="11" s="1"/>
  <c r="J184" i="11"/>
  <c r="K184" i="11" s="1"/>
  <c r="P303" i="11"/>
  <c r="Q303" i="11" s="1"/>
  <c r="J303" i="11"/>
  <c r="K303" i="11" s="1"/>
  <c r="P143" i="11"/>
  <c r="Q143" i="11" s="1"/>
  <c r="J143" i="11"/>
  <c r="K143" i="11" s="1"/>
  <c r="P78" i="11"/>
  <c r="Q78" i="11" s="1"/>
  <c r="J78" i="11"/>
  <c r="K78" i="11" s="1"/>
  <c r="P263" i="11"/>
  <c r="Q263" i="11" s="1"/>
  <c r="J263" i="11"/>
  <c r="K263" i="11" s="1"/>
  <c r="P282" i="11"/>
  <c r="Q282" i="11" s="1"/>
  <c r="J282" i="11"/>
  <c r="K282" i="11" s="1"/>
  <c r="P269" i="11"/>
  <c r="Q269" i="11" s="1"/>
  <c r="J269" i="11"/>
  <c r="K269" i="11" s="1"/>
  <c r="P113" i="11"/>
  <c r="Q113" i="11" s="1"/>
  <c r="J113" i="11"/>
  <c r="K113" i="11" s="1"/>
  <c r="P85" i="11"/>
  <c r="Q85" i="11" s="1"/>
  <c r="J85" i="11"/>
  <c r="K85" i="11" s="1"/>
  <c r="P295" i="11"/>
  <c r="Q295" i="11" s="1"/>
  <c r="J295" i="11"/>
  <c r="K295" i="11" s="1"/>
  <c r="P251" i="11"/>
  <c r="Q251" i="11" s="1"/>
  <c r="J251" i="11"/>
  <c r="K251" i="11" s="1"/>
  <c r="J203" i="11"/>
  <c r="K203" i="11" s="1"/>
  <c r="P203" i="11"/>
  <c r="Q203" i="11" s="1"/>
  <c r="P199" i="11"/>
  <c r="Q199" i="11" s="1"/>
  <c r="J199" i="11"/>
  <c r="K199" i="11" s="1"/>
  <c r="P299" i="11"/>
  <c r="Q299" i="11" s="1"/>
  <c r="J299" i="11"/>
  <c r="K299" i="11" s="1"/>
  <c r="P167" i="11"/>
  <c r="Q167" i="11" s="1"/>
  <c r="J167" i="11"/>
  <c r="K167" i="11" s="1"/>
  <c r="J254" i="11"/>
  <c r="K254" i="11" s="1"/>
  <c r="P254" i="11"/>
  <c r="Q254" i="11" s="1"/>
  <c r="J271" i="11"/>
  <c r="K271" i="11" s="1"/>
  <c r="P271" i="11"/>
  <c r="Q271" i="11" s="1"/>
  <c r="P166" i="11"/>
  <c r="Q166" i="11" s="1"/>
  <c r="J166" i="11"/>
  <c r="K166" i="11" s="1"/>
  <c r="J292" i="11"/>
  <c r="K292" i="11" s="1"/>
  <c r="P292" i="11"/>
  <c r="Q292" i="11" s="1"/>
  <c r="P250" i="11"/>
  <c r="Q250" i="11" s="1"/>
  <c r="J250" i="11"/>
  <c r="K250" i="11" s="1"/>
  <c r="P261" i="11"/>
  <c r="Q261" i="11" s="1"/>
  <c r="J261" i="11"/>
  <c r="K261" i="11" s="1"/>
  <c r="P182" i="11"/>
  <c r="Q182" i="11" s="1"/>
  <c r="J182" i="11"/>
  <c r="K182" i="11" s="1"/>
  <c r="P296" i="11"/>
  <c r="Q296" i="11" s="1"/>
  <c r="J296" i="11"/>
  <c r="K296" i="11" s="1"/>
  <c r="P202" i="11"/>
  <c r="Q202" i="11" s="1"/>
  <c r="J202" i="11"/>
  <c r="K202" i="11" s="1"/>
  <c r="P264" i="11"/>
  <c r="Q264" i="11" s="1"/>
  <c r="J264" i="11"/>
  <c r="K264" i="11" s="1"/>
  <c r="P297" i="11"/>
  <c r="Q297" i="11" s="1"/>
  <c r="J297" i="11"/>
  <c r="K297" i="11" s="1"/>
  <c r="P101" i="11"/>
  <c r="Q101" i="11" s="1"/>
  <c r="J101" i="11"/>
  <c r="K101" i="11" s="1"/>
  <c r="P107" i="11"/>
  <c r="Q107" i="11" s="1"/>
  <c r="J107" i="11"/>
  <c r="K107" i="11" s="1"/>
  <c r="J153" i="11"/>
  <c r="K153" i="11" s="1"/>
  <c r="P153" i="11"/>
  <c r="Q153" i="11" s="1"/>
  <c r="J140" i="11"/>
  <c r="K140" i="11" s="1"/>
  <c r="P140" i="11"/>
  <c r="Q140" i="11" s="1"/>
  <c r="P181" i="11"/>
  <c r="Q181" i="11" s="1"/>
  <c r="J181" i="11"/>
  <c r="K181" i="11" s="1"/>
  <c r="P196" i="11"/>
  <c r="Q196" i="11" s="1"/>
  <c r="J196" i="11"/>
  <c r="K196" i="11" s="1"/>
  <c r="J137" i="11"/>
  <c r="K137" i="11" s="1"/>
  <c r="P137" i="11"/>
  <c r="Q137" i="11" s="1"/>
  <c r="P138" i="11"/>
  <c r="Q138" i="11" s="1"/>
  <c r="J138" i="11"/>
  <c r="K138" i="11" s="1"/>
  <c r="P104" i="11"/>
  <c r="Q104" i="11" s="1"/>
  <c r="J104" i="11"/>
  <c r="K104" i="11" s="1"/>
  <c r="J79" i="11"/>
  <c r="K79" i="11" s="1"/>
  <c r="P79" i="11"/>
  <c r="Q79" i="11" s="1"/>
  <c r="P206" i="11"/>
  <c r="Q206" i="11" s="1"/>
  <c r="J206" i="11"/>
  <c r="K206" i="11" s="1"/>
  <c r="J108" i="11"/>
  <c r="K108" i="11" s="1"/>
  <c r="P108" i="11"/>
  <c r="Q108" i="11" s="1"/>
  <c r="P124" i="11"/>
  <c r="Q124" i="11" s="1"/>
  <c r="J124" i="11"/>
  <c r="K124" i="11" s="1"/>
  <c r="J139" i="11"/>
  <c r="K139" i="11" s="1"/>
  <c r="P139" i="11"/>
  <c r="Q139" i="11" s="1"/>
  <c r="J225" i="11"/>
  <c r="K225" i="11" s="1"/>
  <c r="P225" i="11"/>
  <c r="Q225" i="11" s="1"/>
  <c r="P219" i="11"/>
  <c r="Q219" i="11" s="1"/>
  <c r="J219" i="11"/>
  <c r="K219" i="11" s="1"/>
  <c r="P116" i="11"/>
  <c r="Q116" i="11" s="1"/>
  <c r="J116" i="11"/>
  <c r="K116" i="11" s="1"/>
  <c r="P83" i="11"/>
  <c r="Q83" i="11" s="1"/>
  <c r="J83" i="11"/>
  <c r="K83" i="11" s="1"/>
  <c r="P149" i="11"/>
  <c r="Q149" i="11" s="1"/>
  <c r="J149" i="11"/>
  <c r="K149" i="11" s="1"/>
  <c r="P187" i="11"/>
  <c r="Q187" i="11" s="1"/>
  <c r="J187" i="11"/>
  <c r="K187" i="11" s="1"/>
  <c r="P260" i="11"/>
  <c r="Q260" i="11" s="1"/>
  <c r="J260" i="11"/>
  <c r="K260" i="11" s="1"/>
  <c r="P103" i="11"/>
  <c r="Q103" i="11" s="1"/>
  <c r="J103" i="11"/>
  <c r="K103" i="11" s="1"/>
  <c r="J280" i="11"/>
  <c r="K280" i="11" s="1"/>
  <c r="P280" i="11"/>
  <c r="Q280" i="11" s="1"/>
  <c r="P128" i="11"/>
  <c r="Q128" i="11" s="1"/>
  <c r="J128" i="11"/>
  <c r="K128" i="11" s="1"/>
  <c r="P204" i="11"/>
  <c r="Q204" i="11" s="1"/>
  <c r="J204" i="11"/>
  <c r="K204" i="11" s="1"/>
  <c r="J275" i="11"/>
  <c r="K275" i="11" s="1"/>
  <c r="P275" i="11"/>
  <c r="Q275" i="11" s="1"/>
  <c r="P141" i="11"/>
  <c r="Q141" i="11" s="1"/>
  <c r="J141" i="11"/>
  <c r="K141" i="11" s="1"/>
  <c r="P84" i="11"/>
  <c r="Q84" i="11" s="1"/>
  <c r="J84" i="11"/>
  <c r="K84" i="11" s="1"/>
  <c r="P158" i="11"/>
  <c r="Q158" i="11" s="1"/>
  <c r="J158" i="11"/>
  <c r="K158" i="11" s="1"/>
  <c r="P253" i="11"/>
  <c r="Q253" i="11" s="1"/>
  <c r="J253" i="11"/>
  <c r="K253" i="11" s="1"/>
  <c r="P168" i="11"/>
  <c r="Q168" i="11" s="1"/>
  <c r="J168" i="11"/>
  <c r="K168" i="11" s="1"/>
  <c r="P310" i="11"/>
  <c r="Q310" i="11" s="1"/>
  <c r="J310" i="11"/>
  <c r="K310" i="11" s="1"/>
  <c r="P121" i="11"/>
  <c r="Q121" i="11" s="1"/>
  <c r="J121" i="11"/>
  <c r="K121" i="11" s="1"/>
  <c r="P302" i="11"/>
  <c r="Q302" i="11" s="1"/>
  <c r="J302" i="11"/>
  <c r="K302" i="11" s="1"/>
  <c r="E169" i="25"/>
  <c r="L169" i="49"/>
  <c r="C169" i="11"/>
  <c r="P157" i="11"/>
  <c r="Q157" i="11" s="1"/>
  <c r="J157" i="11"/>
  <c r="K157" i="11" s="1"/>
  <c r="P189" i="11"/>
  <c r="Q189" i="11" s="1"/>
  <c r="J189" i="11"/>
  <c r="K189" i="11" s="1"/>
  <c r="P194" i="11"/>
  <c r="Q194" i="11" s="1"/>
  <c r="J194" i="11"/>
  <c r="K194" i="11" s="1"/>
  <c r="P247" i="11"/>
  <c r="Q247" i="11" s="1"/>
  <c r="J247" i="11"/>
  <c r="K247" i="11" s="1"/>
  <c r="P100" i="11"/>
  <c r="Q100" i="11" s="1"/>
  <c r="J100" i="11"/>
  <c r="K100" i="11" s="1"/>
  <c r="P144" i="11"/>
  <c r="Q144" i="11" s="1"/>
  <c r="J144" i="11"/>
  <c r="K144" i="11" s="1"/>
  <c r="P273" i="11"/>
  <c r="Q273" i="11" s="1"/>
  <c r="J273" i="11"/>
  <c r="K273" i="11" s="1"/>
  <c r="J246" i="11"/>
  <c r="K246" i="11" s="1"/>
  <c r="P246" i="11"/>
  <c r="Q246" i="11" s="1"/>
  <c r="J93" i="11"/>
  <c r="K93" i="11" s="1"/>
  <c r="P93" i="11"/>
  <c r="Q93" i="11" s="1"/>
  <c r="J216" i="11"/>
  <c r="K216" i="11" s="1"/>
  <c r="P216" i="11"/>
  <c r="Q216" i="11" s="1"/>
  <c r="P127" i="11"/>
  <c r="Q127" i="11" s="1"/>
  <c r="J127" i="11"/>
  <c r="K127" i="11" s="1"/>
  <c r="P234" i="11"/>
  <c r="Q234" i="11" s="1"/>
  <c r="J234" i="11"/>
  <c r="K234" i="11" s="1"/>
  <c r="P212" i="11"/>
  <c r="Q212" i="11" s="1"/>
  <c r="J212" i="11"/>
  <c r="K212" i="11" s="1"/>
  <c r="P218" i="11"/>
  <c r="Q218" i="11" s="1"/>
  <c r="J218" i="11"/>
  <c r="K218" i="11" s="1"/>
  <c r="J95" i="11"/>
  <c r="K95" i="11" s="1"/>
  <c r="P95" i="11"/>
  <c r="Q95" i="11" s="1"/>
  <c r="J119" i="11"/>
  <c r="K119" i="11" s="1"/>
  <c r="P119" i="11"/>
  <c r="Q119" i="11" s="1"/>
  <c r="P94" i="11"/>
  <c r="Q94" i="11" s="1"/>
  <c r="J94" i="11"/>
  <c r="K94" i="11" s="1"/>
  <c r="J155" i="11"/>
  <c r="K155" i="11" s="1"/>
  <c r="P155" i="11"/>
  <c r="Q155" i="11" s="1"/>
  <c r="J198" i="11"/>
  <c r="K198" i="11" s="1"/>
  <c r="P198" i="11"/>
  <c r="Q198" i="11" s="1"/>
  <c r="P306" i="11"/>
  <c r="Q306" i="11" s="1"/>
  <c r="J306" i="11"/>
  <c r="K306" i="11" s="1"/>
  <c r="P165" i="11"/>
  <c r="Q165" i="11" s="1"/>
  <c r="J165" i="11"/>
  <c r="K165" i="11" s="1"/>
  <c r="P242" i="11"/>
  <c r="Q242" i="11" s="1"/>
  <c r="J242" i="11"/>
  <c r="K242" i="11" s="1"/>
  <c r="J150" i="11"/>
  <c r="K150" i="11" s="1"/>
  <c r="P150" i="11"/>
  <c r="Q150" i="11" s="1"/>
  <c r="P156" i="11"/>
  <c r="Q156" i="11" s="1"/>
  <c r="J156" i="11"/>
  <c r="K156" i="11" s="1"/>
  <c r="P307" i="11"/>
  <c r="Q307" i="11" s="1"/>
  <c r="J307" i="11"/>
  <c r="K307" i="11" s="1"/>
  <c r="P258" i="11"/>
  <c r="Q258" i="11" s="1"/>
  <c r="J258" i="11"/>
  <c r="K258" i="11" s="1"/>
  <c r="P97" i="11"/>
  <c r="Q97" i="11" s="1"/>
  <c r="J97" i="11"/>
  <c r="K97" i="11" s="1"/>
  <c r="P178" i="11"/>
  <c r="Q178" i="11" s="1"/>
  <c r="J178" i="11"/>
  <c r="K178" i="11" s="1"/>
  <c r="P238" i="11"/>
  <c r="Q238" i="11" s="1"/>
  <c r="J238" i="11"/>
  <c r="K238" i="11" s="1"/>
  <c r="P257" i="11"/>
  <c r="Q257" i="11" s="1"/>
  <c r="J257" i="11"/>
  <c r="K257" i="11" s="1"/>
  <c r="P90" i="11"/>
  <c r="Q90" i="11" s="1"/>
  <c r="J90" i="11"/>
  <c r="K90" i="11" s="1"/>
  <c r="P112" i="11"/>
  <c r="Q112" i="11" s="1"/>
  <c r="J112" i="11"/>
  <c r="K112" i="11" s="1"/>
  <c r="M8" i="42"/>
  <c r="T8" i="42" s="1"/>
  <c r="AE8" i="42" s="1"/>
  <c r="M9" i="42"/>
  <c r="T9" i="42" s="1"/>
  <c r="AE9" i="42" s="1"/>
  <c r="M10" i="42"/>
  <c r="T10" i="42" s="1"/>
  <c r="AE10" i="42" s="1"/>
  <c r="M11" i="42"/>
  <c r="T11" i="42" s="1"/>
  <c r="AE11" i="42" s="1"/>
  <c r="M12" i="42"/>
  <c r="T12" i="42" s="1"/>
  <c r="AE12" i="42" s="1"/>
  <c r="M13" i="42"/>
  <c r="T13" i="42" s="1"/>
  <c r="AE13" i="42" s="1"/>
  <c r="M14" i="42"/>
  <c r="T14" i="42" s="1"/>
  <c r="AE14" i="42" s="1"/>
  <c r="M15" i="42"/>
  <c r="T15" i="42" s="1"/>
  <c r="AE15" i="42" s="1"/>
  <c r="M16" i="42"/>
  <c r="T16" i="42" s="1"/>
  <c r="AE16" i="42" s="1"/>
  <c r="M17" i="42"/>
  <c r="T17" i="42" s="1"/>
  <c r="AE17" i="42" s="1"/>
  <c r="M18" i="42"/>
  <c r="T18" i="42" s="1"/>
  <c r="AE18" i="42" s="1"/>
  <c r="M19" i="42"/>
  <c r="T19" i="42" s="1"/>
  <c r="AE19" i="42" s="1"/>
  <c r="M20" i="42"/>
  <c r="T20" i="42" s="1"/>
  <c r="AE20" i="42" s="1"/>
  <c r="M21" i="42"/>
  <c r="T21" i="42" s="1"/>
  <c r="AE21" i="42" s="1"/>
  <c r="M22" i="42"/>
  <c r="T22" i="42" s="1"/>
  <c r="AE22" i="42" s="1"/>
  <c r="M23" i="42"/>
  <c r="T23" i="42" s="1"/>
  <c r="AE23" i="42" s="1"/>
  <c r="M24" i="42"/>
  <c r="T24" i="42" s="1"/>
  <c r="AE24" i="42" s="1"/>
  <c r="M25" i="42"/>
  <c r="T25" i="42" s="1"/>
  <c r="AE25" i="42" s="1"/>
  <c r="M26" i="42"/>
  <c r="T26" i="42" s="1"/>
  <c r="AE26" i="42" s="1"/>
  <c r="M27" i="42"/>
  <c r="T27" i="42" s="1"/>
  <c r="AE27" i="42" s="1"/>
  <c r="M28" i="42"/>
  <c r="T28" i="42" s="1"/>
  <c r="AE28" i="42" s="1"/>
  <c r="M29" i="42"/>
  <c r="T29" i="42" s="1"/>
  <c r="AE29" i="42" s="1"/>
  <c r="M30" i="42"/>
  <c r="T30" i="42" s="1"/>
  <c r="AE30" i="42" s="1"/>
  <c r="M31" i="42"/>
  <c r="T31" i="42" s="1"/>
  <c r="AE31" i="42" s="1"/>
  <c r="M32" i="42"/>
  <c r="T32" i="42" s="1"/>
  <c r="AE32" i="42" s="1"/>
  <c r="M33" i="42"/>
  <c r="T33" i="42" s="1"/>
  <c r="AE33" i="42" s="1"/>
  <c r="M34" i="42"/>
  <c r="T34" i="42" s="1"/>
  <c r="AE34" i="42" s="1"/>
  <c r="M35" i="42"/>
  <c r="T35" i="42" s="1"/>
  <c r="AE35" i="42" s="1"/>
  <c r="M36" i="42"/>
  <c r="T36" i="42" s="1"/>
  <c r="AE36" i="42" s="1"/>
  <c r="M37" i="42"/>
  <c r="T37" i="42" s="1"/>
  <c r="AE37" i="42" s="1"/>
  <c r="M38" i="42"/>
  <c r="T38" i="42" s="1"/>
  <c r="AE38" i="42" s="1"/>
  <c r="M39" i="42"/>
  <c r="T39" i="42" s="1"/>
  <c r="AE39" i="42" s="1"/>
  <c r="M40" i="42"/>
  <c r="T40" i="42" s="1"/>
  <c r="AE40" i="42" s="1"/>
  <c r="M41" i="42"/>
  <c r="T41" i="42" s="1"/>
  <c r="AE41" i="42" s="1"/>
  <c r="M42" i="42"/>
  <c r="T42" i="42" s="1"/>
  <c r="AE42" i="42" s="1"/>
  <c r="M43" i="42"/>
  <c r="T43" i="42" s="1"/>
  <c r="AE43" i="42" s="1"/>
  <c r="M44" i="42"/>
  <c r="T44" i="42" s="1"/>
  <c r="AE44" i="42" s="1"/>
  <c r="M45" i="42"/>
  <c r="T45" i="42" s="1"/>
  <c r="AE45" i="42" s="1"/>
  <c r="M46" i="42"/>
  <c r="T46" i="42" s="1"/>
  <c r="AE46" i="42" s="1"/>
  <c r="M47" i="42"/>
  <c r="T47" i="42" s="1"/>
  <c r="AE47" i="42" s="1"/>
  <c r="M48" i="42"/>
  <c r="T48" i="42" s="1"/>
  <c r="AE48" i="42" s="1"/>
  <c r="M49" i="42"/>
  <c r="T49" i="42" s="1"/>
  <c r="AE49" i="42" s="1"/>
  <c r="M50" i="42"/>
  <c r="T50" i="42" s="1"/>
  <c r="AE50" i="42" s="1"/>
  <c r="M51" i="42"/>
  <c r="T51" i="42" s="1"/>
  <c r="AE51" i="42" s="1"/>
  <c r="M52" i="42"/>
  <c r="T52" i="42" s="1"/>
  <c r="AE52" i="42" s="1"/>
  <c r="M53" i="42"/>
  <c r="T53" i="42" s="1"/>
  <c r="AE53" i="42" s="1"/>
  <c r="M54" i="42"/>
  <c r="T54" i="42" s="1"/>
  <c r="AE54" i="42" s="1"/>
  <c r="M55" i="42"/>
  <c r="T55" i="42" s="1"/>
  <c r="AE55" i="42" s="1"/>
  <c r="M56" i="42"/>
  <c r="T56" i="42" s="1"/>
  <c r="AE56" i="42" s="1"/>
  <c r="M57" i="42"/>
  <c r="T57" i="42" s="1"/>
  <c r="AE57" i="42" s="1"/>
  <c r="M58" i="42"/>
  <c r="T58" i="42" s="1"/>
  <c r="AE58" i="42" s="1"/>
  <c r="M59" i="42"/>
  <c r="T59" i="42" s="1"/>
  <c r="AE59" i="42" s="1"/>
  <c r="M60" i="42"/>
  <c r="T60" i="42" s="1"/>
  <c r="AE60" i="42" s="1"/>
  <c r="M61" i="42"/>
  <c r="T61" i="42" s="1"/>
  <c r="AE61" i="42" s="1"/>
  <c r="M62" i="42"/>
  <c r="T62" i="42" s="1"/>
  <c r="AE62" i="42" s="1"/>
  <c r="M63" i="42"/>
  <c r="T63" i="42" s="1"/>
  <c r="AE63" i="42" s="1"/>
  <c r="M64" i="42"/>
  <c r="T64" i="42" s="1"/>
  <c r="AE64" i="42" s="1"/>
  <c r="M65" i="42"/>
  <c r="T65" i="42" s="1"/>
  <c r="AE65" i="42" s="1"/>
  <c r="M66" i="42"/>
  <c r="T66" i="42" s="1"/>
  <c r="AE66" i="42" s="1"/>
  <c r="M68" i="42"/>
  <c r="T68" i="42" s="1"/>
  <c r="AE68" i="42" s="1"/>
  <c r="M69" i="42"/>
  <c r="T69" i="42" s="1"/>
  <c r="AE69" i="42" s="1"/>
  <c r="M70" i="42"/>
  <c r="T70" i="42" s="1"/>
  <c r="AE70" i="42" s="1"/>
  <c r="M71" i="42"/>
  <c r="T71" i="42" s="1"/>
  <c r="AE71" i="42" s="1"/>
  <c r="M72" i="42"/>
  <c r="T72" i="42" s="1"/>
  <c r="AE72" i="42" s="1"/>
  <c r="M73" i="42"/>
  <c r="T73" i="42" s="1"/>
  <c r="AE73" i="42" s="1"/>
  <c r="M74" i="42"/>
  <c r="T74" i="42" s="1"/>
  <c r="AE74" i="42" s="1"/>
  <c r="M75" i="42"/>
  <c r="T75" i="42" s="1"/>
  <c r="AE75" i="42" s="1"/>
  <c r="M76" i="42"/>
  <c r="T76" i="42" s="1"/>
  <c r="AE76" i="42" s="1"/>
  <c r="M77" i="42"/>
  <c r="T77" i="42" s="1"/>
  <c r="AE77" i="42" s="1"/>
  <c r="M78" i="42"/>
  <c r="T78" i="42" s="1"/>
  <c r="AE78" i="42" s="1"/>
  <c r="M79" i="42"/>
  <c r="T79" i="42" s="1"/>
  <c r="AE79" i="42" s="1"/>
  <c r="M80" i="42"/>
  <c r="T80" i="42" s="1"/>
  <c r="AE80" i="42" s="1"/>
  <c r="M81" i="42"/>
  <c r="T81" i="42" s="1"/>
  <c r="AE81" i="42" s="1"/>
  <c r="M82" i="42"/>
  <c r="T82" i="42" s="1"/>
  <c r="AE82" i="42" s="1"/>
  <c r="M83" i="42"/>
  <c r="T83" i="42" s="1"/>
  <c r="AE83" i="42" s="1"/>
  <c r="M84" i="42"/>
  <c r="T84" i="42" s="1"/>
  <c r="AE84" i="42" s="1"/>
  <c r="M85" i="42"/>
  <c r="T85" i="42" s="1"/>
  <c r="AE85" i="42" s="1"/>
  <c r="M86" i="42"/>
  <c r="T86" i="42" s="1"/>
  <c r="AE86" i="42" s="1"/>
  <c r="M87" i="42"/>
  <c r="T87" i="42" s="1"/>
  <c r="AE87" i="42" s="1"/>
  <c r="M88" i="42"/>
  <c r="T88" i="42" s="1"/>
  <c r="AE88" i="42" s="1"/>
  <c r="M89" i="42"/>
  <c r="T89" i="42" s="1"/>
  <c r="AE89" i="42" s="1"/>
  <c r="M90" i="42"/>
  <c r="T90" i="42" s="1"/>
  <c r="AE90" i="42" s="1"/>
  <c r="M91" i="42"/>
  <c r="T91" i="42" s="1"/>
  <c r="AE91" i="42" s="1"/>
  <c r="M92" i="42"/>
  <c r="T92" i="42" s="1"/>
  <c r="AE92" i="42" s="1"/>
  <c r="M93" i="42"/>
  <c r="T93" i="42" s="1"/>
  <c r="AE93" i="42" s="1"/>
  <c r="M94" i="42"/>
  <c r="T94" i="42" s="1"/>
  <c r="AE94" i="42" s="1"/>
  <c r="M95" i="42"/>
  <c r="T95" i="42" s="1"/>
  <c r="AE95" i="42" s="1"/>
  <c r="M96" i="42"/>
  <c r="T96" i="42" s="1"/>
  <c r="AE96" i="42" s="1"/>
  <c r="M97" i="42"/>
  <c r="T97" i="42" s="1"/>
  <c r="AE97" i="42" s="1"/>
  <c r="M98" i="42"/>
  <c r="T98" i="42" s="1"/>
  <c r="AE98" i="42" s="1"/>
  <c r="M99" i="42"/>
  <c r="T99" i="42" s="1"/>
  <c r="AE99" i="42" s="1"/>
  <c r="M100" i="42"/>
  <c r="T100" i="42" s="1"/>
  <c r="AE100" i="42" s="1"/>
  <c r="M101" i="42"/>
  <c r="T101" i="42" s="1"/>
  <c r="AE101" i="42" s="1"/>
  <c r="M102" i="42"/>
  <c r="T102" i="42" s="1"/>
  <c r="AE102" i="42" s="1"/>
  <c r="M103" i="42"/>
  <c r="T103" i="42" s="1"/>
  <c r="AE103" i="42" s="1"/>
  <c r="M104" i="42"/>
  <c r="T104" i="42" s="1"/>
  <c r="AE104" i="42" s="1"/>
  <c r="M105" i="42"/>
  <c r="T105" i="42" s="1"/>
  <c r="AE105" i="42" s="1"/>
  <c r="M106" i="42"/>
  <c r="T106" i="42" s="1"/>
  <c r="AE106" i="42" s="1"/>
  <c r="M107" i="42"/>
  <c r="T107" i="42" s="1"/>
  <c r="AE107" i="42" s="1"/>
  <c r="M108" i="42"/>
  <c r="T108" i="42" s="1"/>
  <c r="AE108" i="42" s="1"/>
  <c r="M109" i="42"/>
  <c r="T109" i="42" s="1"/>
  <c r="AE109" i="42" s="1"/>
  <c r="M110" i="42"/>
  <c r="T110" i="42" s="1"/>
  <c r="AE110" i="42" s="1"/>
  <c r="M111" i="42"/>
  <c r="T111" i="42" s="1"/>
  <c r="AE111" i="42" s="1"/>
  <c r="M112" i="42"/>
  <c r="T112" i="42" s="1"/>
  <c r="AE112" i="42" s="1"/>
  <c r="M113" i="42"/>
  <c r="T113" i="42" s="1"/>
  <c r="AE113" i="42" s="1"/>
  <c r="M114" i="42"/>
  <c r="T114" i="42" s="1"/>
  <c r="AE114" i="42" s="1"/>
  <c r="M115" i="42"/>
  <c r="T115" i="42" s="1"/>
  <c r="AE115" i="42" s="1"/>
  <c r="M116" i="42"/>
  <c r="T116" i="42" s="1"/>
  <c r="AE116" i="42" s="1"/>
  <c r="M117" i="42"/>
  <c r="T117" i="42" s="1"/>
  <c r="AE117" i="42" s="1"/>
  <c r="M118" i="42"/>
  <c r="T118" i="42" s="1"/>
  <c r="AE118" i="42" s="1"/>
  <c r="M119" i="42"/>
  <c r="T119" i="42" s="1"/>
  <c r="AE119" i="42" s="1"/>
  <c r="M120" i="42"/>
  <c r="T120" i="42" s="1"/>
  <c r="AE120" i="42" s="1"/>
  <c r="M121" i="42"/>
  <c r="T121" i="42" s="1"/>
  <c r="AE121" i="42" s="1"/>
  <c r="M122" i="42"/>
  <c r="T122" i="42" s="1"/>
  <c r="AE122" i="42" s="1"/>
  <c r="M123" i="42"/>
  <c r="T123" i="42" s="1"/>
  <c r="AE123" i="42" s="1"/>
  <c r="M124" i="42"/>
  <c r="T124" i="42" s="1"/>
  <c r="AE124" i="42" s="1"/>
  <c r="M125" i="42"/>
  <c r="T125" i="42" s="1"/>
  <c r="AE125" i="42" s="1"/>
  <c r="M126" i="42"/>
  <c r="T126" i="42" s="1"/>
  <c r="AE126" i="42" s="1"/>
  <c r="M127" i="42"/>
  <c r="T127" i="42" s="1"/>
  <c r="AE127" i="42" s="1"/>
  <c r="M128" i="42"/>
  <c r="T128" i="42" s="1"/>
  <c r="AE128" i="42" s="1"/>
  <c r="M129" i="42"/>
  <c r="T129" i="42" s="1"/>
  <c r="AE129" i="42" s="1"/>
  <c r="M130" i="42"/>
  <c r="T130" i="42" s="1"/>
  <c r="AE130" i="42" s="1"/>
  <c r="M131" i="42"/>
  <c r="T131" i="42" s="1"/>
  <c r="AE131" i="42" s="1"/>
  <c r="M132" i="42"/>
  <c r="T132" i="42" s="1"/>
  <c r="AE132" i="42" s="1"/>
  <c r="M133" i="42"/>
  <c r="T133" i="42" s="1"/>
  <c r="AE133" i="42" s="1"/>
  <c r="M134" i="42"/>
  <c r="T134" i="42" s="1"/>
  <c r="AE134" i="42" s="1"/>
  <c r="M136" i="42"/>
  <c r="T136" i="42" s="1"/>
  <c r="AE136" i="42" s="1"/>
  <c r="M137" i="42"/>
  <c r="T137" i="42" s="1"/>
  <c r="AE137" i="42" s="1"/>
  <c r="M138" i="42"/>
  <c r="T138" i="42" s="1"/>
  <c r="AE138" i="42" s="1"/>
  <c r="M139" i="42"/>
  <c r="T139" i="42" s="1"/>
  <c r="AE139" i="42" s="1"/>
  <c r="M140" i="42"/>
  <c r="T140" i="42" s="1"/>
  <c r="AE140" i="42" s="1"/>
  <c r="M141" i="42"/>
  <c r="T141" i="42" s="1"/>
  <c r="AE141" i="42" s="1"/>
  <c r="M142" i="42"/>
  <c r="T142" i="42" s="1"/>
  <c r="AE142" i="42" s="1"/>
  <c r="M143" i="42"/>
  <c r="T143" i="42" s="1"/>
  <c r="AE143" i="42" s="1"/>
  <c r="M144" i="42"/>
  <c r="T144" i="42" s="1"/>
  <c r="AE144" i="42" s="1"/>
  <c r="M145" i="42"/>
  <c r="T145" i="42" s="1"/>
  <c r="AE145" i="42" s="1"/>
  <c r="M146" i="42"/>
  <c r="T146" i="42" s="1"/>
  <c r="AE146" i="42" s="1"/>
  <c r="M147" i="42"/>
  <c r="T147" i="42" s="1"/>
  <c r="AE147" i="42" s="1"/>
  <c r="M148" i="42"/>
  <c r="T148" i="42" s="1"/>
  <c r="AE148" i="42" s="1"/>
  <c r="M149" i="42"/>
  <c r="T149" i="42" s="1"/>
  <c r="AE149" i="42" s="1"/>
  <c r="M150" i="42"/>
  <c r="T150" i="42" s="1"/>
  <c r="AE150" i="42" s="1"/>
  <c r="M151" i="42"/>
  <c r="T151" i="42" s="1"/>
  <c r="AE151" i="42" s="1"/>
  <c r="M152" i="42"/>
  <c r="T152" i="42" s="1"/>
  <c r="AE152" i="42" s="1"/>
  <c r="M153" i="42"/>
  <c r="T153" i="42" s="1"/>
  <c r="AE153" i="42" s="1"/>
  <c r="M154" i="42"/>
  <c r="T154" i="42" s="1"/>
  <c r="AE154" i="42" s="1"/>
  <c r="M155" i="42"/>
  <c r="T155" i="42" s="1"/>
  <c r="AE155" i="42" s="1"/>
  <c r="M156" i="42"/>
  <c r="T156" i="42" s="1"/>
  <c r="AE156" i="42" s="1"/>
  <c r="M157" i="42"/>
  <c r="T157" i="42" s="1"/>
  <c r="AE157" i="42" s="1"/>
  <c r="M158" i="42"/>
  <c r="T158" i="42" s="1"/>
  <c r="AE158" i="42" s="1"/>
  <c r="M159" i="42"/>
  <c r="T159" i="42" s="1"/>
  <c r="AE159" i="42" s="1"/>
  <c r="M160" i="42"/>
  <c r="T160" i="42" s="1"/>
  <c r="AE160" i="42" s="1"/>
  <c r="M161" i="42"/>
  <c r="T161" i="42" s="1"/>
  <c r="AE161" i="42" s="1"/>
  <c r="M162" i="42"/>
  <c r="T162" i="42" s="1"/>
  <c r="AE162" i="42" s="1"/>
  <c r="M163" i="42"/>
  <c r="T163" i="42" s="1"/>
  <c r="AE163" i="42" s="1"/>
  <c r="M164" i="42"/>
  <c r="T164" i="42" s="1"/>
  <c r="AE164" i="42" s="1"/>
  <c r="M165" i="42"/>
  <c r="T165" i="42" s="1"/>
  <c r="AE165" i="42" s="1"/>
  <c r="M166" i="42"/>
  <c r="T166" i="42" s="1"/>
  <c r="AE166" i="42" s="1"/>
  <c r="M167" i="42"/>
  <c r="T167" i="42" s="1"/>
  <c r="AE167" i="42" s="1"/>
  <c r="M168" i="42"/>
  <c r="T168" i="42" s="1"/>
  <c r="AE168" i="42" s="1"/>
  <c r="M171" i="42"/>
  <c r="T171" i="42" s="1"/>
  <c r="AE171" i="42" s="1"/>
  <c r="M172" i="42"/>
  <c r="T172" i="42" s="1"/>
  <c r="AE172" i="42" s="1"/>
  <c r="M173" i="42"/>
  <c r="T173" i="42" s="1"/>
  <c r="AE173" i="42" s="1"/>
  <c r="M174" i="42"/>
  <c r="T174" i="42" s="1"/>
  <c r="AE174" i="42" s="1"/>
  <c r="M175" i="42"/>
  <c r="T175" i="42" s="1"/>
  <c r="AE175" i="42" s="1"/>
  <c r="M176" i="42"/>
  <c r="T176" i="42" s="1"/>
  <c r="AE176" i="42" s="1"/>
  <c r="M177" i="42"/>
  <c r="T177" i="42" s="1"/>
  <c r="AE177" i="42" s="1"/>
  <c r="M178" i="42"/>
  <c r="T178" i="42" s="1"/>
  <c r="AE178" i="42" s="1"/>
  <c r="M179" i="42"/>
  <c r="T179" i="42" s="1"/>
  <c r="AE179" i="42" s="1"/>
  <c r="M180" i="42"/>
  <c r="T180" i="42" s="1"/>
  <c r="AE180" i="42" s="1"/>
  <c r="M181" i="42"/>
  <c r="T181" i="42" s="1"/>
  <c r="AE181" i="42" s="1"/>
  <c r="M182" i="42"/>
  <c r="T182" i="42" s="1"/>
  <c r="AE182" i="42" s="1"/>
  <c r="M183" i="42"/>
  <c r="T183" i="42" s="1"/>
  <c r="AE183" i="42" s="1"/>
  <c r="M184" i="42"/>
  <c r="T184" i="42" s="1"/>
  <c r="AE184" i="42" s="1"/>
  <c r="M185" i="42"/>
  <c r="T185" i="42" s="1"/>
  <c r="AE185" i="42" s="1"/>
  <c r="M186" i="42"/>
  <c r="T186" i="42" s="1"/>
  <c r="AE186" i="42" s="1"/>
  <c r="M187" i="42"/>
  <c r="T187" i="42" s="1"/>
  <c r="AE187" i="42" s="1"/>
  <c r="M188" i="42"/>
  <c r="T188" i="42" s="1"/>
  <c r="AE188" i="42" s="1"/>
  <c r="M189" i="42"/>
  <c r="T189" i="42" s="1"/>
  <c r="AE189" i="42" s="1"/>
  <c r="M190" i="42"/>
  <c r="T190" i="42" s="1"/>
  <c r="AE190" i="42" s="1"/>
  <c r="M191" i="42"/>
  <c r="T191" i="42" s="1"/>
  <c r="AE191" i="42" s="1"/>
  <c r="M192" i="42"/>
  <c r="T192" i="42" s="1"/>
  <c r="AE192" i="42" s="1"/>
  <c r="M193" i="42"/>
  <c r="T193" i="42" s="1"/>
  <c r="AE193" i="42" s="1"/>
  <c r="M194" i="42"/>
  <c r="T194" i="42" s="1"/>
  <c r="AE194" i="42" s="1"/>
  <c r="M195" i="42"/>
  <c r="T195" i="42" s="1"/>
  <c r="AE195" i="42" s="1"/>
  <c r="M196" i="42"/>
  <c r="T196" i="42" s="1"/>
  <c r="AE196" i="42" s="1"/>
  <c r="M197" i="42"/>
  <c r="T197" i="42" s="1"/>
  <c r="AE197" i="42" s="1"/>
  <c r="M198" i="42"/>
  <c r="T198" i="42" s="1"/>
  <c r="AE198" i="42" s="1"/>
  <c r="M199" i="42"/>
  <c r="T199" i="42" s="1"/>
  <c r="AE199" i="42" s="1"/>
  <c r="M200" i="42"/>
  <c r="T200" i="42" s="1"/>
  <c r="AE200" i="42" s="1"/>
  <c r="M201" i="42"/>
  <c r="T201" i="42" s="1"/>
  <c r="AE201" i="42" s="1"/>
  <c r="M202" i="42"/>
  <c r="T202" i="42" s="1"/>
  <c r="AE202" i="42" s="1"/>
  <c r="M203" i="42"/>
  <c r="T203" i="42" s="1"/>
  <c r="AE203" i="42" s="1"/>
  <c r="M204" i="42"/>
  <c r="T204" i="42" s="1"/>
  <c r="AE204" i="42" s="1"/>
  <c r="M205" i="42"/>
  <c r="T205" i="42" s="1"/>
  <c r="AE205" i="42" s="1"/>
  <c r="M206" i="42"/>
  <c r="T206" i="42" s="1"/>
  <c r="AE206" i="42" s="1"/>
  <c r="M207" i="42"/>
  <c r="T207" i="42" s="1"/>
  <c r="AE207" i="42" s="1"/>
  <c r="M208" i="42"/>
  <c r="T208" i="42" s="1"/>
  <c r="AE208" i="42" s="1"/>
  <c r="M209" i="42"/>
  <c r="T209" i="42" s="1"/>
  <c r="AE209" i="42" s="1"/>
  <c r="M210" i="42"/>
  <c r="T210" i="42" s="1"/>
  <c r="AE210" i="42" s="1"/>
  <c r="M211" i="42"/>
  <c r="T211" i="42" s="1"/>
  <c r="AE211" i="42" s="1"/>
  <c r="M212" i="42"/>
  <c r="T212" i="42" s="1"/>
  <c r="AE212" i="42" s="1"/>
  <c r="M213" i="42"/>
  <c r="T213" i="42" s="1"/>
  <c r="AE213" i="42" s="1"/>
  <c r="M214" i="42"/>
  <c r="T214" i="42" s="1"/>
  <c r="AE214" i="42" s="1"/>
  <c r="M215" i="42"/>
  <c r="T215" i="42" s="1"/>
  <c r="AE215" i="42" s="1"/>
  <c r="M216" i="42"/>
  <c r="T216" i="42" s="1"/>
  <c r="AE216" i="42" s="1"/>
  <c r="M217" i="42"/>
  <c r="T217" i="42" s="1"/>
  <c r="AE217" i="42" s="1"/>
  <c r="M218" i="42"/>
  <c r="T218" i="42" s="1"/>
  <c r="AE218" i="42" s="1"/>
  <c r="M220" i="42"/>
  <c r="T220" i="42" s="1"/>
  <c r="AE220" i="42" s="1"/>
  <c r="M221" i="42"/>
  <c r="T221" i="42" s="1"/>
  <c r="AE221" i="42" s="1"/>
  <c r="M222" i="42"/>
  <c r="T222" i="42" s="1"/>
  <c r="AE222" i="42" s="1"/>
  <c r="M223" i="42"/>
  <c r="T223" i="42" s="1"/>
  <c r="AE223" i="42" s="1"/>
  <c r="M224" i="42"/>
  <c r="T224" i="42" s="1"/>
  <c r="AE224" i="42" s="1"/>
  <c r="M225" i="42"/>
  <c r="T225" i="42" s="1"/>
  <c r="AE225" i="42" s="1"/>
  <c r="M226" i="42"/>
  <c r="T226" i="42" s="1"/>
  <c r="AE226" i="42" s="1"/>
  <c r="M227" i="42"/>
  <c r="T227" i="42" s="1"/>
  <c r="AE227" i="42" s="1"/>
  <c r="M228" i="42"/>
  <c r="T228" i="42" s="1"/>
  <c r="AE228" i="42" s="1"/>
  <c r="M229" i="42"/>
  <c r="T229" i="42" s="1"/>
  <c r="AE229" i="42" s="1"/>
  <c r="M230" i="42"/>
  <c r="T230" i="42" s="1"/>
  <c r="AE230" i="42" s="1"/>
  <c r="M231" i="42"/>
  <c r="T231" i="42" s="1"/>
  <c r="AE231" i="42" s="1"/>
  <c r="M232" i="42"/>
  <c r="T232" i="42" s="1"/>
  <c r="AE232" i="42" s="1"/>
  <c r="M233" i="42"/>
  <c r="T233" i="42" s="1"/>
  <c r="AE233" i="42" s="1"/>
  <c r="M234" i="42"/>
  <c r="T234" i="42" s="1"/>
  <c r="AE234" i="42" s="1"/>
  <c r="M235" i="42"/>
  <c r="T235" i="42" s="1"/>
  <c r="AE235" i="42" s="1"/>
  <c r="M236" i="42"/>
  <c r="T236" i="42" s="1"/>
  <c r="AE236" i="42" s="1"/>
  <c r="M237" i="42"/>
  <c r="T237" i="42" s="1"/>
  <c r="AE237" i="42" s="1"/>
  <c r="M239" i="42"/>
  <c r="T239" i="42" s="1"/>
  <c r="AE239" i="42" s="1"/>
  <c r="M240" i="42"/>
  <c r="T240" i="42" s="1"/>
  <c r="AE240" i="42" s="1"/>
  <c r="M241" i="42"/>
  <c r="T241" i="42" s="1"/>
  <c r="AE241" i="42" s="1"/>
  <c r="M242" i="42"/>
  <c r="T242" i="42" s="1"/>
  <c r="AE242" i="42" s="1"/>
  <c r="M243" i="42"/>
  <c r="T243" i="42" s="1"/>
  <c r="AE243" i="42" s="1"/>
  <c r="M246" i="42"/>
  <c r="T246" i="42" s="1"/>
  <c r="AE246" i="42" s="1"/>
  <c r="M247" i="42"/>
  <c r="T247" i="42" s="1"/>
  <c r="AE247" i="42" s="1"/>
  <c r="M248" i="42"/>
  <c r="T248" i="42" s="1"/>
  <c r="AE248" i="42" s="1"/>
  <c r="M249" i="42"/>
  <c r="T249" i="42" s="1"/>
  <c r="AE249" i="42" s="1"/>
  <c r="M250" i="42"/>
  <c r="T250" i="42" s="1"/>
  <c r="AE250" i="42" s="1"/>
  <c r="M251" i="42"/>
  <c r="T251" i="42" s="1"/>
  <c r="AE251" i="42" s="1"/>
  <c r="M252" i="42"/>
  <c r="T252" i="42" s="1"/>
  <c r="AE252" i="42" s="1"/>
  <c r="M253" i="42"/>
  <c r="T253" i="42" s="1"/>
  <c r="AE253" i="42" s="1"/>
  <c r="M254" i="42"/>
  <c r="T254" i="42" s="1"/>
  <c r="AE254" i="42" s="1"/>
  <c r="M255" i="42"/>
  <c r="T255" i="42" s="1"/>
  <c r="AE255" i="42" s="1"/>
  <c r="M256" i="42"/>
  <c r="T256" i="42" s="1"/>
  <c r="AE256" i="42" s="1"/>
  <c r="M257" i="42"/>
  <c r="T257" i="42" s="1"/>
  <c r="AE257" i="42" s="1"/>
  <c r="M258" i="42"/>
  <c r="T258" i="42" s="1"/>
  <c r="AE258" i="42" s="1"/>
  <c r="M259" i="42"/>
  <c r="T259" i="42" s="1"/>
  <c r="AE259" i="42" s="1"/>
  <c r="M260" i="42"/>
  <c r="T260" i="42" s="1"/>
  <c r="AE260" i="42" s="1"/>
  <c r="M262" i="42"/>
  <c r="T262" i="42" s="1"/>
  <c r="AE262" i="42" s="1"/>
  <c r="M263" i="42"/>
  <c r="T263" i="42" s="1"/>
  <c r="AE263" i="42" s="1"/>
  <c r="M264" i="42"/>
  <c r="T264" i="42" s="1"/>
  <c r="AE264" i="42" s="1"/>
  <c r="M265" i="42"/>
  <c r="T265" i="42" s="1"/>
  <c r="AE265" i="42" s="1"/>
  <c r="M266" i="42"/>
  <c r="T266" i="42" s="1"/>
  <c r="AE266" i="42" s="1"/>
  <c r="M267" i="42"/>
  <c r="T267" i="42" s="1"/>
  <c r="AE267" i="42" s="1"/>
  <c r="M268" i="42"/>
  <c r="T268" i="42" s="1"/>
  <c r="AE268" i="42" s="1"/>
  <c r="M269" i="42"/>
  <c r="T269" i="42" s="1"/>
  <c r="AE269" i="42" s="1"/>
  <c r="M270" i="42"/>
  <c r="T270" i="42" s="1"/>
  <c r="AE270" i="42" s="1"/>
  <c r="M271" i="42"/>
  <c r="T271" i="42" s="1"/>
  <c r="AE271" i="42" s="1"/>
  <c r="M272" i="42"/>
  <c r="T272" i="42" s="1"/>
  <c r="AE272" i="42" s="1"/>
  <c r="M274" i="42"/>
  <c r="T274" i="42" s="1"/>
  <c r="AE274" i="42" s="1"/>
  <c r="M275" i="42"/>
  <c r="T275" i="42" s="1"/>
  <c r="AE275" i="42" s="1"/>
  <c r="M276" i="42"/>
  <c r="T276" i="42" s="1"/>
  <c r="AE276" i="42" s="1"/>
  <c r="M277" i="42"/>
  <c r="T277" i="42" s="1"/>
  <c r="AE277" i="42" s="1"/>
  <c r="M278" i="42"/>
  <c r="T278" i="42" s="1"/>
  <c r="AE278" i="42" s="1"/>
  <c r="M279" i="42"/>
  <c r="T279" i="42" s="1"/>
  <c r="AE279" i="42" s="1"/>
  <c r="M280" i="42"/>
  <c r="T280" i="42" s="1"/>
  <c r="AE280" i="42" s="1"/>
  <c r="M281" i="42"/>
  <c r="T281" i="42" s="1"/>
  <c r="AE281" i="42" s="1"/>
  <c r="M282" i="42"/>
  <c r="T282" i="42" s="1"/>
  <c r="AE282" i="42" s="1"/>
  <c r="M283" i="42"/>
  <c r="T283" i="42" s="1"/>
  <c r="AE283" i="42" s="1"/>
  <c r="M284" i="42"/>
  <c r="T284" i="42" s="1"/>
  <c r="AE284" i="42" s="1"/>
  <c r="M285" i="42"/>
  <c r="T285" i="42" s="1"/>
  <c r="AE285" i="42" s="1"/>
  <c r="M286" i="42"/>
  <c r="T286" i="42" s="1"/>
  <c r="AE286" i="42" s="1"/>
  <c r="M287" i="42"/>
  <c r="T287" i="42" s="1"/>
  <c r="AE287" i="42" s="1"/>
  <c r="M288" i="42"/>
  <c r="T288" i="42" s="1"/>
  <c r="AE288" i="42" s="1"/>
  <c r="M289" i="42"/>
  <c r="T289" i="42" s="1"/>
  <c r="AE289" i="42" s="1"/>
  <c r="M290" i="42"/>
  <c r="T290" i="42" s="1"/>
  <c r="AE290" i="42" s="1"/>
  <c r="M291" i="42"/>
  <c r="T291" i="42" s="1"/>
  <c r="AE291" i="42" s="1"/>
  <c r="M292" i="42"/>
  <c r="T292" i="42" s="1"/>
  <c r="AE292" i="42" s="1"/>
  <c r="M293" i="42"/>
  <c r="T293" i="42" s="1"/>
  <c r="AE293" i="42" s="1"/>
  <c r="M294" i="42"/>
  <c r="T294" i="42" s="1"/>
  <c r="AE294" i="42" s="1"/>
  <c r="M295" i="42"/>
  <c r="T295" i="42" s="1"/>
  <c r="AE295" i="42" s="1"/>
  <c r="M296" i="42"/>
  <c r="T296" i="42" s="1"/>
  <c r="AE296" i="42" s="1"/>
  <c r="M297" i="42"/>
  <c r="T297" i="42" s="1"/>
  <c r="AE297" i="42" s="1"/>
  <c r="M298" i="42"/>
  <c r="T298" i="42" s="1"/>
  <c r="AE298" i="42" s="1"/>
  <c r="M299" i="42"/>
  <c r="T299" i="42" s="1"/>
  <c r="AE299" i="42" s="1"/>
  <c r="M300" i="42"/>
  <c r="T300" i="42" s="1"/>
  <c r="AE300" i="42" s="1"/>
  <c r="M301" i="42"/>
  <c r="T301" i="42" s="1"/>
  <c r="AE301" i="42" s="1"/>
  <c r="M302" i="42"/>
  <c r="T302" i="42" s="1"/>
  <c r="AE302" i="42" s="1"/>
  <c r="M303" i="42"/>
  <c r="T303" i="42" s="1"/>
  <c r="AE303" i="42" s="1"/>
  <c r="M304" i="42"/>
  <c r="T304" i="42" s="1"/>
  <c r="AE304" i="42" s="1"/>
  <c r="M305" i="42"/>
  <c r="T305" i="42" s="1"/>
  <c r="AE305" i="42" s="1"/>
  <c r="M306" i="42"/>
  <c r="T306" i="42" s="1"/>
  <c r="AE306" i="42" s="1"/>
  <c r="M307" i="42"/>
  <c r="T307" i="42" s="1"/>
  <c r="AE307" i="42" s="1"/>
  <c r="M308" i="42"/>
  <c r="T308" i="42" s="1"/>
  <c r="AE308" i="42" s="1"/>
  <c r="M309" i="42"/>
  <c r="T309" i="42" s="1"/>
  <c r="AE309" i="42" s="1"/>
  <c r="M310" i="42"/>
  <c r="T310" i="42" s="1"/>
  <c r="AE310" i="42" s="1"/>
  <c r="M311" i="42"/>
  <c r="T311" i="42" s="1"/>
  <c r="AE311" i="42" s="1"/>
  <c r="M312" i="42"/>
  <c r="T312" i="42" s="1"/>
  <c r="AE312" i="42" s="1"/>
  <c r="M313" i="42"/>
  <c r="T313" i="42" s="1"/>
  <c r="AE313" i="42" s="1"/>
  <c r="M314" i="42"/>
  <c r="T314" i="42" s="1"/>
  <c r="AE314" i="42" s="1"/>
  <c r="P169" i="11" l="1"/>
  <c r="Q169" i="11" s="1"/>
  <c r="J169" i="11"/>
  <c r="K169" i="11" s="1"/>
  <c r="P243" i="11"/>
  <c r="Q243" i="11" s="1"/>
  <c r="J243" i="11"/>
  <c r="K243" i="11" s="1"/>
  <c r="M135" i="42"/>
  <c r="T135" i="42" s="1"/>
  <c r="AE135" i="42" s="1"/>
  <c r="D61" i="40" l="1"/>
  <c r="D62" i="40" s="1"/>
  <c r="F60" i="40" s="1"/>
  <c r="F61" i="40" s="1"/>
  <c r="F62" i="40" s="1"/>
  <c r="H60" i="40" s="1"/>
  <c r="H61" i="40" s="1"/>
  <c r="H62" i="40" s="1"/>
  <c r="B61" i="40" s="1"/>
  <c r="B25" i="40" l="1"/>
  <c r="M7" i="42" l="1"/>
  <c r="T7" i="42" s="1"/>
  <c r="AE7" i="42" s="1"/>
  <c r="M261" i="42" l="1"/>
  <c r="T261" i="42" s="1"/>
  <c r="AE261" i="42" s="1"/>
  <c r="M67" i="42" l="1"/>
  <c r="T67" i="42" s="1"/>
  <c r="AE67" i="42" s="1"/>
  <c r="I6" i="13" l="1"/>
  <c r="Q7" i="19" l="1"/>
  <c r="AA6" i="19"/>
  <c r="S6" i="19"/>
  <c r="B55" i="40" l="1"/>
  <c r="K14" i="49" l="1"/>
  <c r="K111" i="49"/>
  <c r="K113" i="49"/>
  <c r="K116" i="49"/>
  <c r="K118" i="49"/>
  <c r="K119" i="49"/>
  <c r="K120" i="49"/>
  <c r="K121" i="49"/>
  <c r="K123" i="49"/>
  <c r="K125" i="49"/>
  <c r="K126" i="49"/>
  <c r="K127" i="49"/>
  <c r="K128" i="49"/>
  <c r="K129" i="49"/>
  <c r="K130" i="49"/>
  <c r="K133" i="49"/>
  <c r="K134" i="49"/>
  <c r="K136" i="49"/>
  <c r="K143" i="49"/>
  <c r="K148" i="49"/>
  <c r="K149" i="49"/>
  <c r="K150" i="49"/>
  <c r="K153" i="49"/>
  <c r="K154" i="49"/>
  <c r="K155" i="49"/>
  <c r="K157" i="49"/>
  <c r="K190" i="49"/>
  <c r="K201" i="49"/>
  <c r="K202" i="49"/>
  <c r="K223" i="49"/>
  <c r="K274" i="49"/>
  <c r="K275" i="49"/>
  <c r="K276" i="49"/>
  <c r="K277" i="49"/>
  <c r="K278" i="49"/>
  <c r="K279" i="49"/>
  <c r="K280" i="49"/>
  <c r="K281" i="49"/>
  <c r="K282" i="49"/>
  <c r="K283" i="49"/>
  <c r="K295" i="49"/>
  <c r="K304" i="49"/>
  <c r="K312" i="49"/>
  <c r="K7" i="49"/>
  <c r="K6" i="49"/>
  <c r="I5" i="49"/>
  <c r="A2" i="49"/>
  <c r="C314" i="49"/>
  <c r="A7" i="49"/>
  <c r="B7" i="49"/>
  <c r="A8" i="49"/>
  <c r="B8" i="49"/>
  <c r="A9" i="49"/>
  <c r="B9" i="49"/>
  <c r="A10" i="49"/>
  <c r="B10" i="49"/>
  <c r="A11" i="49"/>
  <c r="B11" i="49"/>
  <c r="A12" i="49"/>
  <c r="B12" i="49"/>
  <c r="A13" i="49"/>
  <c r="B13" i="49"/>
  <c r="A14" i="49"/>
  <c r="B14" i="49"/>
  <c r="A15" i="49"/>
  <c r="B15" i="49"/>
  <c r="A16" i="49"/>
  <c r="B16" i="49"/>
  <c r="A17" i="49"/>
  <c r="B17" i="49"/>
  <c r="A18" i="49"/>
  <c r="B18" i="49"/>
  <c r="A19" i="49"/>
  <c r="B19" i="49"/>
  <c r="A20" i="49"/>
  <c r="B20" i="49"/>
  <c r="A21" i="49"/>
  <c r="B21" i="49"/>
  <c r="A22" i="49"/>
  <c r="B22" i="49"/>
  <c r="A23" i="49"/>
  <c r="B23" i="49"/>
  <c r="A24" i="49"/>
  <c r="B24" i="49"/>
  <c r="A25" i="49"/>
  <c r="B25" i="49"/>
  <c r="A26" i="49"/>
  <c r="B26" i="49"/>
  <c r="A27" i="49"/>
  <c r="B27" i="49"/>
  <c r="A28" i="49"/>
  <c r="B28" i="49"/>
  <c r="A29" i="49"/>
  <c r="B29" i="49"/>
  <c r="A30" i="49"/>
  <c r="B30" i="49"/>
  <c r="A31" i="49"/>
  <c r="B31" i="49"/>
  <c r="A32" i="49"/>
  <c r="B32" i="49"/>
  <c r="A33" i="49"/>
  <c r="B33" i="49"/>
  <c r="A34" i="49"/>
  <c r="B34" i="49"/>
  <c r="A35" i="49"/>
  <c r="B35" i="49"/>
  <c r="A36" i="49"/>
  <c r="B36" i="49"/>
  <c r="A37" i="49"/>
  <c r="B37" i="49"/>
  <c r="A38" i="49"/>
  <c r="B38" i="49"/>
  <c r="A39" i="49"/>
  <c r="B39" i="49"/>
  <c r="A40" i="49"/>
  <c r="B40" i="49"/>
  <c r="A41" i="49"/>
  <c r="B41" i="49"/>
  <c r="A42" i="49"/>
  <c r="B42" i="49"/>
  <c r="A43" i="49"/>
  <c r="B43" i="49"/>
  <c r="A44" i="49"/>
  <c r="B44" i="49"/>
  <c r="A45" i="49"/>
  <c r="B45" i="49"/>
  <c r="A46" i="49"/>
  <c r="B46" i="49"/>
  <c r="A47" i="49"/>
  <c r="B47" i="49"/>
  <c r="A48" i="49"/>
  <c r="B48" i="49"/>
  <c r="A49" i="49"/>
  <c r="B49" i="49"/>
  <c r="A50" i="49"/>
  <c r="B50" i="49"/>
  <c r="A51" i="49"/>
  <c r="B51" i="49"/>
  <c r="A52" i="49"/>
  <c r="B52" i="49"/>
  <c r="A53" i="49"/>
  <c r="B53" i="49"/>
  <c r="A54" i="49"/>
  <c r="B54" i="49"/>
  <c r="A55" i="49"/>
  <c r="B55" i="49"/>
  <c r="A56" i="49"/>
  <c r="B56" i="49"/>
  <c r="A57" i="49"/>
  <c r="B57" i="49"/>
  <c r="A58" i="49"/>
  <c r="B58" i="49"/>
  <c r="A59" i="49"/>
  <c r="B59" i="49"/>
  <c r="A60" i="49"/>
  <c r="B60" i="49"/>
  <c r="A61" i="49"/>
  <c r="B61" i="49"/>
  <c r="A62" i="49"/>
  <c r="B62" i="49"/>
  <c r="A63" i="49"/>
  <c r="B63" i="49"/>
  <c r="A64" i="49"/>
  <c r="B64" i="49"/>
  <c r="A65" i="49"/>
  <c r="B65" i="49"/>
  <c r="A66" i="49"/>
  <c r="B66" i="49"/>
  <c r="A67" i="49"/>
  <c r="B67" i="49"/>
  <c r="A68" i="49"/>
  <c r="B68" i="49"/>
  <c r="A69" i="49"/>
  <c r="B69" i="49"/>
  <c r="A70" i="49"/>
  <c r="B70" i="49"/>
  <c r="A71" i="49"/>
  <c r="B71" i="49"/>
  <c r="A72" i="49"/>
  <c r="B72" i="49"/>
  <c r="A73" i="49"/>
  <c r="B73" i="49"/>
  <c r="A74" i="49"/>
  <c r="B74" i="49"/>
  <c r="A75" i="49"/>
  <c r="B75" i="49"/>
  <c r="A76" i="49"/>
  <c r="B76" i="49"/>
  <c r="A77" i="49"/>
  <c r="B77" i="49"/>
  <c r="A78" i="49"/>
  <c r="B78" i="49"/>
  <c r="A79" i="49"/>
  <c r="B79" i="49"/>
  <c r="A80" i="49"/>
  <c r="B80" i="49"/>
  <c r="A81" i="49"/>
  <c r="B81" i="49"/>
  <c r="A82" i="49"/>
  <c r="B82" i="49"/>
  <c r="A83" i="49"/>
  <c r="B83" i="49"/>
  <c r="A84" i="49"/>
  <c r="B84" i="49"/>
  <c r="A85" i="49"/>
  <c r="B85" i="49"/>
  <c r="A86" i="49"/>
  <c r="B86" i="49"/>
  <c r="A87" i="49"/>
  <c r="B87" i="49"/>
  <c r="A88" i="49"/>
  <c r="B88" i="49"/>
  <c r="A89" i="49"/>
  <c r="B89" i="49"/>
  <c r="A90" i="49"/>
  <c r="B90" i="49"/>
  <c r="A91" i="49"/>
  <c r="B91" i="49"/>
  <c r="A92" i="49"/>
  <c r="B92" i="49"/>
  <c r="A93" i="49"/>
  <c r="B93" i="49"/>
  <c r="A94" i="49"/>
  <c r="B94" i="49"/>
  <c r="A95" i="49"/>
  <c r="B95" i="49"/>
  <c r="A96" i="49"/>
  <c r="B96" i="49"/>
  <c r="A97" i="49"/>
  <c r="B97" i="49"/>
  <c r="A98" i="49"/>
  <c r="B98" i="49"/>
  <c r="A99" i="49"/>
  <c r="B99" i="49"/>
  <c r="A100" i="49"/>
  <c r="B100" i="49"/>
  <c r="A101" i="49"/>
  <c r="B101" i="49"/>
  <c r="A102" i="49"/>
  <c r="B102" i="49"/>
  <c r="A103" i="49"/>
  <c r="B103" i="49"/>
  <c r="A104" i="49"/>
  <c r="B104" i="49"/>
  <c r="A105" i="49"/>
  <c r="B105" i="49"/>
  <c r="A106" i="49"/>
  <c r="B106" i="49"/>
  <c r="A107" i="49"/>
  <c r="B107" i="49"/>
  <c r="A108" i="49"/>
  <c r="B108" i="49"/>
  <c r="A109" i="49"/>
  <c r="B109" i="49"/>
  <c r="A110" i="49"/>
  <c r="B110" i="49"/>
  <c r="A111" i="49"/>
  <c r="B111" i="49"/>
  <c r="A112" i="49"/>
  <c r="B112" i="49"/>
  <c r="A113" i="49"/>
  <c r="B113" i="49"/>
  <c r="A114" i="49"/>
  <c r="B114" i="49"/>
  <c r="A115" i="49"/>
  <c r="B115" i="49"/>
  <c r="A116" i="49"/>
  <c r="B116" i="49"/>
  <c r="A117" i="49"/>
  <c r="B117" i="49"/>
  <c r="A118" i="49"/>
  <c r="B118" i="49"/>
  <c r="A119" i="49"/>
  <c r="B119" i="49"/>
  <c r="A120" i="49"/>
  <c r="B120" i="49"/>
  <c r="A121" i="49"/>
  <c r="B121" i="49"/>
  <c r="A122" i="49"/>
  <c r="B122" i="49"/>
  <c r="A123" i="49"/>
  <c r="B123" i="49"/>
  <c r="A124" i="49"/>
  <c r="B124" i="49"/>
  <c r="A125" i="49"/>
  <c r="B125" i="49"/>
  <c r="A126" i="49"/>
  <c r="B126" i="49"/>
  <c r="A127" i="49"/>
  <c r="B127" i="49"/>
  <c r="A128" i="49"/>
  <c r="B128" i="49"/>
  <c r="A129" i="49"/>
  <c r="B129" i="49"/>
  <c r="A130" i="49"/>
  <c r="B130" i="49"/>
  <c r="A131" i="49"/>
  <c r="B131" i="49"/>
  <c r="A132" i="49"/>
  <c r="B132" i="49"/>
  <c r="A133" i="49"/>
  <c r="B133" i="49"/>
  <c r="A134" i="49"/>
  <c r="B134" i="49"/>
  <c r="A135" i="49"/>
  <c r="B135" i="49"/>
  <c r="A136" i="49"/>
  <c r="B136" i="49"/>
  <c r="A137" i="49"/>
  <c r="B137" i="49"/>
  <c r="A138" i="49"/>
  <c r="B138" i="49"/>
  <c r="A139" i="49"/>
  <c r="B139" i="49"/>
  <c r="A140" i="49"/>
  <c r="B140" i="49"/>
  <c r="A141" i="49"/>
  <c r="B141" i="49"/>
  <c r="A142" i="49"/>
  <c r="B142" i="49"/>
  <c r="A143" i="49"/>
  <c r="B143" i="49"/>
  <c r="A144" i="49"/>
  <c r="B144" i="49"/>
  <c r="A145" i="49"/>
  <c r="B145" i="49"/>
  <c r="A146" i="49"/>
  <c r="B146" i="49"/>
  <c r="A147" i="49"/>
  <c r="B147" i="49"/>
  <c r="A148" i="49"/>
  <c r="B148" i="49"/>
  <c r="A149" i="49"/>
  <c r="B149" i="49"/>
  <c r="A150" i="49"/>
  <c r="B150" i="49"/>
  <c r="A151" i="49"/>
  <c r="B151" i="49"/>
  <c r="A152" i="49"/>
  <c r="B152" i="49"/>
  <c r="A153" i="49"/>
  <c r="B153" i="49"/>
  <c r="A154" i="49"/>
  <c r="B154" i="49"/>
  <c r="A155" i="49"/>
  <c r="B155" i="49"/>
  <c r="A156" i="49"/>
  <c r="B156" i="49"/>
  <c r="A157" i="49"/>
  <c r="B157" i="49"/>
  <c r="A158" i="49"/>
  <c r="B158" i="49"/>
  <c r="A159" i="49"/>
  <c r="B159" i="49"/>
  <c r="A160" i="49"/>
  <c r="B160" i="49"/>
  <c r="A161" i="49"/>
  <c r="B161" i="49"/>
  <c r="A162" i="49"/>
  <c r="B162" i="49"/>
  <c r="A163" i="49"/>
  <c r="B163" i="49"/>
  <c r="A164" i="49"/>
  <c r="B164" i="49"/>
  <c r="A165" i="49"/>
  <c r="B165" i="49"/>
  <c r="A166" i="49"/>
  <c r="B166" i="49"/>
  <c r="A167" i="49"/>
  <c r="B167" i="49"/>
  <c r="A168" i="49"/>
  <c r="B168" i="49"/>
  <c r="A170" i="49"/>
  <c r="B170" i="49"/>
  <c r="A171" i="49"/>
  <c r="B171" i="49"/>
  <c r="A172" i="49"/>
  <c r="B172" i="49"/>
  <c r="A173" i="49"/>
  <c r="B173" i="49"/>
  <c r="A174" i="49"/>
  <c r="B174" i="49"/>
  <c r="A175" i="49"/>
  <c r="B175" i="49"/>
  <c r="A176" i="49"/>
  <c r="B176" i="49"/>
  <c r="A177" i="49"/>
  <c r="B177" i="49"/>
  <c r="A178" i="49"/>
  <c r="B178" i="49"/>
  <c r="A179" i="49"/>
  <c r="B179" i="49"/>
  <c r="A180" i="49"/>
  <c r="B180" i="49"/>
  <c r="A181" i="49"/>
  <c r="B181" i="49"/>
  <c r="A182" i="49"/>
  <c r="B182" i="49"/>
  <c r="A183" i="49"/>
  <c r="B183" i="49"/>
  <c r="A184" i="49"/>
  <c r="B184" i="49"/>
  <c r="A185" i="49"/>
  <c r="B185" i="49"/>
  <c r="A186" i="49"/>
  <c r="B186" i="49"/>
  <c r="A187" i="49"/>
  <c r="B187" i="49"/>
  <c r="A188" i="49"/>
  <c r="B188" i="49"/>
  <c r="A189" i="49"/>
  <c r="B189" i="49"/>
  <c r="A190" i="49"/>
  <c r="B190" i="49"/>
  <c r="A191" i="49"/>
  <c r="B191" i="49"/>
  <c r="A192" i="49"/>
  <c r="B192" i="49"/>
  <c r="A193" i="49"/>
  <c r="B193" i="49"/>
  <c r="A194" i="49"/>
  <c r="B194" i="49"/>
  <c r="A195" i="49"/>
  <c r="B195" i="49"/>
  <c r="A196" i="49"/>
  <c r="B196" i="49"/>
  <c r="A197" i="49"/>
  <c r="B197" i="49"/>
  <c r="A198" i="49"/>
  <c r="B198" i="49"/>
  <c r="A199" i="49"/>
  <c r="B199" i="49"/>
  <c r="A200" i="49"/>
  <c r="B200" i="49"/>
  <c r="A201" i="49"/>
  <c r="B201" i="49"/>
  <c r="A202" i="49"/>
  <c r="B202" i="49"/>
  <c r="A203" i="49"/>
  <c r="B203" i="49"/>
  <c r="A204" i="49"/>
  <c r="B204" i="49"/>
  <c r="A205" i="49"/>
  <c r="B205" i="49"/>
  <c r="A206" i="49"/>
  <c r="B206" i="49"/>
  <c r="A207" i="49"/>
  <c r="B207" i="49"/>
  <c r="A208" i="49"/>
  <c r="B208" i="49"/>
  <c r="A209" i="49"/>
  <c r="B209" i="49"/>
  <c r="A210" i="49"/>
  <c r="B210" i="49"/>
  <c r="A211" i="49"/>
  <c r="B211" i="49"/>
  <c r="A212" i="49"/>
  <c r="B212" i="49"/>
  <c r="A213" i="49"/>
  <c r="B213" i="49"/>
  <c r="A214" i="49"/>
  <c r="B214" i="49"/>
  <c r="A215" i="49"/>
  <c r="B215" i="49"/>
  <c r="A216" i="49"/>
  <c r="B216" i="49"/>
  <c r="A217" i="49"/>
  <c r="B217" i="49"/>
  <c r="A219" i="49"/>
  <c r="B219" i="49"/>
  <c r="A220" i="49"/>
  <c r="B220" i="49"/>
  <c r="A221" i="49"/>
  <c r="B221" i="49"/>
  <c r="A222" i="49"/>
  <c r="B222" i="49"/>
  <c r="A223" i="49"/>
  <c r="B223" i="49"/>
  <c r="A224" i="49"/>
  <c r="B224" i="49"/>
  <c r="A225" i="49"/>
  <c r="B225" i="49"/>
  <c r="A226" i="49"/>
  <c r="B226" i="49"/>
  <c r="A227" i="49"/>
  <c r="B227" i="49"/>
  <c r="A228" i="49"/>
  <c r="B228" i="49"/>
  <c r="A229" i="49"/>
  <c r="B229" i="49"/>
  <c r="A230" i="49"/>
  <c r="B230" i="49"/>
  <c r="A231" i="49"/>
  <c r="B231" i="49"/>
  <c r="A232" i="49"/>
  <c r="B232" i="49"/>
  <c r="A233" i="49"/>
  <c r="B233" i="49"/>
  <c r="A234" i="49"/>
  <c r="B234" i="49"/>
  <c r="A235" i="49"/>
  <c r="B235" i="49"/>
  <c r="A236" i="49"/>
  <c r="B236" i="49"/>
  <c r="A237" i="49"/>
  <c r="B237" i="49"/>
  <c r="A238" i="49"/>
  <c r="B238" i="49"/>
  <c r="A239" i="49"/>
  <c r="B239" i="49"/>
  <c r="A240" i="49"/>
  <c r="B240" i="49"/>
  <c r="A241" i="49"/>
  <c r="B241" i="49"/>
  <c r="B242" i="49"/>
  <c r="B244" i="49"/>
  <c r="B245" i="49"/>
  <c r="B246" i="49"/>
  <c r="A247" i="49"/>
  <c r="B247" i="49"/>
  <c r="A248" i="49"/>
  <c r="B248" i="49"/>
  <c r="A249" i="49"/>
  <c r="B249" i="49"/>
  <c r="A250" i="49"/>
  <c r="B250" i="49"/>
  <c r="A251" i="49"/>
  <c r="B251" i="49"/>
  <c r="A252" i="49"/>
  <c r="B252" i="49"/>
  <c r="A253" i="49"/>
  <c r="B253" i="49"/>
  <c r="A254" i="49"/>
  <c r="B254" i="49"/>
  <c r="A255" i="49"/>
  <c r="B255" i="49"/>
  <c r="A256" i="49"/>
  <c r="B256" i="49"/>
  <c r="A257" i="49"/>
  <c r="B257" i="49"/>
  <c r="A258" i="49"/>
  <c r="B258" i="49"/>
  <c r="A259" i="49"/>
  <c r="B259" i="49"/>
  <c r="A260" i="49"/>
  <c r="B260" i="49"/>
  <c r="A261" i="49"/>
  <c r="B261" i="49"/>
  <c r="A262" i="49"/>
  <c r="B262" i="49"/>
  <c r="A263" i="49"/>
  <c r="B263" i="49"/>
  <c r="A264" i="49"/>
  <c r="B264" i="49"/>
  <c r="A265" i="49"/>
  <c r="B265" i="49"/>
  <c r="A266" i="49"/>
  <c r="B266" i="49"/>
  <c r="A267" i="49"/>
  <c r="B267" i="49"/>
  <c r="A268" i="49"/>
  <c r="B268" i="49"/>
  <c r="A269" i="49"/>
  <c r="B269" i="49"/>
  <c r="A270" i="49"/>
  <c r="B270" i="49"/>
  <c r="A271" i="49"/>
  <c r="B271" i="49"/>
  <c r="A272" i="49"/>
  <c r="B272" i="49"/>
  <c r="A273" i="49"/>
  <c r="B273" i="49"/>
  <c r="A274" i="49"/>
  <c r="B274" i="49"/>
  <c r="A275" i="49"/>
  <c r="B275" i="49"/>
  <c r="A276" i="49"/>
  <c r="B276" i="49"/>
  <c r="A277" i="49"/>
  <c r="B277" i="49"/>
  <c r="A278" i="49"/>
  <c r="B278" i="49"/>
  <c r="A279" i="49"/>
  <c r="B279" i="49"/>
  <c r="A280" i="49"/>
  <c r="B280" i="49"/>
  <c r="A281" i="49"/>
  <c r="B281" i="49"/>
  <c r="A282" i="49"/>
  <c r="B282" i="49"/>
  <c r="A283" i="49"/>
  <c r="B283" i="49"/>
  <c r="A284" i="49"/>
  <c r="B284" i="49"/>
  <c r="A285" i="49"/>
  <c r="B285" i="49"/>
  <c r="A286" i="49"/>
  <c r="B286" i="49"/>
  <c r="A287" i="49"/>
  <c r="B287" i="49"/>
  <c r="A288" i="49"/>
  <c r="B288" i="49"/>
  <c r="A289" i="49"/>
  <c r="B289" i="49"/>
  <c r="A290" i="49"/>
  <c r="B290" i="49"/>
  <c r="A291" i="49"/>
  <c r="B291" i="49"/>
  <c r="A292" i="49"/>
  <c r="B292" i="49"/>
  <c r="A293" i="49"/>
  <c r="B293" i="49"/>
  <c r="A294" i="49"/>
  <c r="B294" i="49"/>
  <c r="A295" i="49"/>
  <c r="B295" i="49"/>
  <c r="A296" i="49"/>
  <c r="B296" i="49"/>
  <c r="A297" i="49"/>
  <c r="B297" i="49"/>
  <c r="A298" i="49"/>
  <c r="B298" i="49"/>
  <c r="A299" i="49"/>
  <c r="B299" i="49"/>
  <c r="A300" i="49"/>
  <c r="B300" i="49"/>
  <c r="A301" i="49"/>
  <c r="B301" i="49"/>
  <c r="A302" i="49"/>
  <c r="B302" i="49"/>
  <c r="A303" i="49"/>
  <c r="B303" i="49"/>
  <c r="A304" i="49"/>
  <c r="B304" i="49"/>
  <c r="A305" i="49"/>
  <c r="B305" i="49"/>
  <c r="A306" i="49"/>
  <c r="B306" i="49"/>
  <c r="A307" i="49"/>
  <c r="B307" i="49"/>
  <c r="A308" i="49"/>
  <c r="B308" i="49"/>
  <c r="A309" i="49"/>
  <c r="B309" i="49"/>
  <c r="A310" i="49"/>
  <c r="B310" i="49"/>
  <c r="A311" i="49"/>
  <c r="B311" i="49"/>
  <c r="A312" i="49"/>
  <c r="B312" i="49"/>
  <c r="A313" i="49"/>
  <c r="B313" i="49"/>
  <c r="B6" i="49"/>
  <c r="A6" i="49"/>
  <c r="E47" i="48" l="1"/>
  <c r="I169" i="49"/>
  <c r="I243" i="49"/>
  <c r="I218" i="49"/>
  <c r="B314" i="49"/>
  <c r="B7" i="48"/>
  <c r="B9" i="48" l="1"/>
  <c r="B8" i="48"/>
  <c r="F8" i="48"/>
  <c r="C9" i="34"/>
  <c r="U6" i="19" l="1"/>
  <c r="C25" i="40" l="1"/>
  <c r="A2" i="25"/>
  <c r="J6" i="13"/>
  <c r="A8" i="13"/>
  <c r="B8" i="13"/>
  <c r="A9" i="13"/>
  <c r="B9" i="13"/>
  <c r="A10" i="13"/>
  <c r="B10" i="13"/>
  <c r="A11" i="13"/>
  <c r="B11" i="13"/>
  <c r="A12" i="13"/>
  <c r="B12" i="13"/>
  <c r="A13" i="13"/>
  <c r="B13" i="13"/>
  <c r="A14" i="13"/>
  <c r="B14" i="13"/>
  <c r="A15" i="13"/>
  <c r="B15" i="13"/>
  <c r="A16" i="13"/>
  <c r="B16" i="13"/>
  <c r="A17" i="13"/>
  <c r="B17" i="13"/>
  <c r="A18" i="13"/>
  <c r="B18" i="13"/>
  <c r="A19" i="13"/>
  <c r="B19" i="13"/>
  <c r="A20" i="13"/>
  <c r="B20" i="13"/>
  <c r="A21" i="13"/>
  <c r="B21" i="13"/>
  <c r="A22" i="13"/>
  <c r="B22" i="13"/>
  <c r="A23" i="13"/>
  <c r="B23" i="13"/>
  <c r="A24" i="13"/>
  <c r="B24" i="13"/>
  <c r="A25" i="13"/>
  <c r="B25" i="13"/>
  <c r="A26" i="13"/>
  <c r="B26" i="13"/>
  <c r="A27" i="13"/>
  <c r="B27" i="13"/>
  <c r="A28" i="13"/>
  <c r="B28" i="13"/>
  <c r="A29" i="13"/>
  <c r="B29" i="13"/>
  <c r="A30" i="13"/>
  <c r="B30" i="13"/>
  <c r="A31" i="13"/>
  <c r="B31" i="13"/>
  <c r="A32" i="13"/>
  <c r="B32" i="13"/>
  <c r="A33" i="13"/>
  <c r="B33" i="13"/>
  <c r="A34" i="13"/>
  <c r="B34" i="13"/>
  <c r="A35" i="13"/>
  <c r="B35" i="13"/>
  <c r="A36" i="13"/>
  <c r="B36" i="13"/>
  <c r="A37" i="13"/>
  <c r="B37" i="13"/>
  <c r="A38" i="13"/>
  <c r="B38" i="13"/>
  <c r="A39" i="13"/>
  <c r="B39" i="13"/>
  <c r="A40" i="13"/>
  <c r="B40" i="13"/>
  <c r="A41" i="13"/>
  <c r="B41" i="13"/>
  <c r="A42" i="13"/>
  <c r="B42" i="13"/>
  <c r="A43" i="13"/>
  <c r="B43" i="13"/>
  <c r="A44" i="13"/>
  <c r="B44" i="13"/>
  <c r="A45" i="13"/>
  <c r="B45" i="13"/>
  <c r="A46" i="13"/>
  <c r="B46" i="13"/>
  <c r="A47" i="13"/>
  <c r="B47" i="13"/>
  <c r="A48" i="13"/>
  <c r="B48" i="13"/>
  <c r="A49" i="13"/>
  <c r="B49" i="13"/>
  <c r="A50" i="13"/>
  <c r="B50" i="13"/>
  <c r="A51" i="13"/>
  <c r="B51" i="13"/>
  <c r="A52" i="13"/>
  <c r="B52" i="13"/>
  <c r="A53" i="13"/>
  <c r="B53" i="13"/>
  <c r="A54" i="13"/>
  <c r="B54" i="13"/>
  <c r="A55" i="13"/>
  <c r="B55" i="13"/>
  <c r="A56" i="13"/>
  <c r="B56" i="13"/>
  <c r="A57" i="13"/>
  <c r="B57" i="13"/>
  <c r="A58" i="13"/>
  <c r="B58" i="13"/>
  <c r="A59" i="13"/>
  <c r="B59" i="13"/>
  <c r="A60" i="13"/>
  <c r="B60" i="13"/>
  <c r="A61" i="13"/>
  <c r="B61" i="13"/>
  <c r="A62" i="13"/>
  <c r="B62" i="13"/>
  <c r="A63" i="13"/>
  <c r="B63" i="13"/>
  <c r="A64" i="13"/>
  <c r="B64" i="13"/>
  <c r="A65" i="13"/>
  <c r="B65" i="13"/>
  <c r="A66" i="13"/>
  <c r="B66" i="13"/>
  <c r="A67" i="13"/>
  <c r="B67" i="13"/>
  <c r="A68" i="13"/>
  <c r="B68" i="13"/>
  <c r="A69" i="13"/>
  <c r="B69" i="13"/>
  <c r="A70" i="13"/>
  <c r="B70" i="13"/>
  <c r="A71" i="13"/>
  <c r="B71" i="13"/>
  <c r="A72" i="13"/>
  <c r="B72" i="13"/>
  <c r="A73" i="13"/>
  <c r="B73" i="13"/>
  <c r="A74" i="13"/>
  <c r="B74" i="13"/>
  <c r="A75" i="13"/>
  <c r="B75" i="13"/>
  <c r="A76" i="13"/>
  <c r="B76" i="13"/>
  <c r="A77" i="13"/>
  <c r="B77" i="13"/>
  <c r="A78" i="13"/>
  <c r="B78" i="13"/>
  <c r="A79" i="13"/>
  <c r="B79" i="13"/>
  <c r="A80" i="13"/>
  <c r="B80" i="13"/>
  <c r="A81" i="13"/>
  <c r="B81" i="13"/>
  <c r="A82" i="13"/>
  <c r="B82" i="13"/>
  <c r="A83" i="13"/>
  <c r="B83" i="13"/>
  <c r="A84" i="13"/>
  <c r="B84" i="13"/>
  <c r="A85" i="13"/>
  <c r="B85" i="13"/>
  <c r="A86" i="13"/>
  <c r="B86" i="13"/>
  <c r="A87" i="13"/>
  <c r="B87" i="13"/>
  <c r="A88" i="13"/>
  <c r="B88" i="13"/>
  <c r="A89" i="13"/>
  <c r="B89" i="13"/>
  <c r="A90" i="13"/>
  <c r="B90" i="13"/>
  <c r="A91" i="13"/>
  <c r="B91" i="13"/>
  <c r="A92" i="13"/>
  <c r="B92" i="13"/>
  <c r="A93" i="13"/>
  <c r="B93" i="13"/>
  <c r="A94" i="13"/>
  <c r="B94" i="13"/>
  <c r="A95" i="13"/>
  <c r="B95" i="13"/>
  <c r="A96" i="13"/>
  <c r="B96" i="13"/>
  <c r="A97" i="13"/>
  <c r="B97" i="13"/>
  <c r="A98" i="13"/>
  <c r="B98" i="13"/>
  <c r="A99" i="13"/>
  <c r="B99" i="13"/>
  <c r="A100" i="13"/>
  <c r="B100" i="13"/>
  <c r="A101" i="13"/>
  <c r="B101" i="13"/>
  <c r="A102" i="13"/>
  <c r="B102" i="13"/>
  <c r="A103" i="13"/>
  <c r="B103" i="13"/>
  <c r="A104" i="13"/>
  <c r="B104" i="13"/>
  <c r="A105" i="13"/>
  <c r="B105" i="13"/>
  <c r="A106" i="13"/>
  <c r="B106" i="13"/>
  <c r="A107" i="13"/>
  <c r="B107" i="13"/>
  <c r="A108" i="13"/>
  <c r="B108" i="13"/>
  <c r="A109" i="13"/>
  <c r="B109" i="13"/>
  <c r="A110" i="13"/>
  <c r="B110" i="13"/>
  <c r="A111" i="13"/>
  <c r="B111" i="13"/>
  <c r="A112" i="13"/>
  <c r="B112" i="13"/>
  <c r="A113" i="13"/>
  <c r="B113" i="13"/>
  <c r="A114" i="13"/>
  <c r="B114" i="13"/>
  <c r="A115" i="13"/>
  <c r="B115" i="13"/>
  <c r="A116" i="13"/>
  <c r="B116" i="13"/>
  <c r="A117" i="13"/>
  <c r="B117" i="13"/>
  <c r="A118" i="13"/>
  <c r="B118" i="13"/>
  <c r="A119" i="13"/>
  <c r="B119" i="13"/>
  <c r="A120" i="13"/>
  <c r="B120" i="13"/>
  <c r="A121" i="13"/>
  <c r="B121" i="13"/>
  <c r="A122" i="13"/>
  <c r="B122" i="13"/>
  <c r="A123" i="13"/>
  <c r="B123" i="13"/>
  <c r="A124" i="13"/>
  <c r="B124" i="13"/>
  <c r="A125" i="13"/>
  <c r="B125" i="13"/>
  <c r="A126" i="13"/>
  <c r="B126" i="13"/>
  <c r="A127" i="13"/>
  <c r="B127" i="13"/>
  <c r="A128" i="13"/>
  <c r="B128" i="13"/>
  <c r="A129" i="13"/>
  <c r="B129" i="13"/>
  <c r="A130" i="13"/>
  <c r="B130" i="13"/>
  <c r="A131" i="13"/>
  <c r="B131" i="13"/>
  <c r="A132" i="13"/>
  <c r="B132" i="13"/>
  <c r="A133" i="13"/>
  <c r="B133" i="13"/>
  <c r="A134" i="13"/>
  <c r="B134" i="13"/>
  <c r="A135" i="13"/>
  <c r="B135" i="13"/>
  <c r="A136" i="13"/>
  <c r="B136" i="13"/>
  <c r="A137" i="13"/>
  <c r="B137" i="13"/>
  <c r="A138" i="13"/>
  <c r="B138" i="13"/>
  <c r="A139" i="13"/>
  <c r="B139" i="13"/>
  <c r="A140" i="13"/>
  <c r="B140" i="13"/>
  <c r="A141" i="13"/>
  <c r="B141" i="13"/>
  <c r="A142" i="13"/>
  <c r="B142" i="13"/>
  <c r="A143" i="13"/>
  <c r="B143" i="13"/>
  <c r="A144" i="13"/>
  <c r="B144" i="13"/>
  <c r="A145" i="13"/>
  <c r="B145" i="13"/>
  <c r="A146" i="13"/>
  <c r="B146" i="13"/>
  <c r="A147" i="13"/>
  <c r="B147" i="13"/>
  <c r="A148" i="13"/>
  <c r="B148" i="13"/>
  <c r="A149" i="13"/>
  <c r="B149" i="13"/>
  <c r="A150" i="13"/>
  <c r="B150" i="13"/>
  <c r="A151" i="13"/>
  <c r="B151" i="13"/>
  <c r="A152" i="13"/>
  <c r="B152" i="13"/>
  <c r="A153" i="13"/>
  <c r="B153" i="13"/>
  <c r="A154" i="13"/>
  <c r="B154" i="13"/>
  <c r="A155" i="13"/>
  <c r="B155" i="13"/>
  <c r="A156" i="13"/>
  <c r="B156" i="13"/>
  <c r="A157" i="13"/>
  <c r="B157" i="13"/>
  <c r="A158" i="13"/>
  <c r="B158" i="13"/>
  <c r="A159" i="13"/>
  <c r="B159" i="13"/>
  <c r="A160" i="13"/>
  <c r="B160" i="13"/>
  <c r="A161" i="13"/>
  <c r="B161" i="13"/>
  <c r="A162" i="13"/>
  <c r="B162" i="13"/>
  <c r="A163" i="13"/>
  <c r="B163" i="13"/>
  <c r="A164" i="13"/>
  <c r="B164" i="13"/>
  <c r="A165" i="13"/>
  <c r="B165" i="13"/>
  <c r="A166" i="13"/>
  <c r="B166" i="13"/>
  <c r="A167" i="13"/>
  <c r="B167" i="13"/>
  <c r="A168" i="13"/>
  <c r="B168" i="13"/>
  <c r="A169" i="13"/>
  <c r="B169" i="13"/>
  <c r="A171" i="13"/>
  <c r="B171" i="13"/>
  <c r="A172" i="13"/>
  <c r="B172" i="13"/>
  <c r="A173" i="13"/>
  <c r="B173" i="13"/>
  <c r="A174" i="13"/>
  <c r="B174" i="13"/>
  <c r="A175" i="13"/>
  <c r="B175" i="13"/>
  <c r="A176" i="13"/>
  <c r="B176" i="13"/>
  <c r="A177" i="13"/>
  <c r="B177" i="13"/>
  <c r="A178" i="13"/>
  <c r="B178" i="13"/>
  <c r="A179" i="13"/>
  <c r="B179" i="13"/>
  <c r="A180" i="13"/>
  <c r="B180" i="13"/>
  <c r="A181" i="13"/>
  <c r="B181" i="13"/>
  <c r="A182" i="13"/>
  <c r="B182" i="13"/>
  <c r="A183" i="13"/>
  <c r="B183" i="13"/>
  <c r="A184" i="13"/>
  <c r="B184" i="13"/>
  <c r="A185" i="13"/>
  <c r="B185" i="13"/>
  <c r="A186" i="13"/>
  <c r="B186" i="13"/>
  <c r="A187" i="13"/>
  <c r="B187" i="13"/>
  <c r="A188" i="13"/>
  <c r="B188" i="13"/>
  <c r="A189" i="13"/>
  <c r="B189" i="13"/>
  <c r="A190" i="13"/>
  <c r="B190" i="13"/>
  <c r="A191" i="13"/>
  <c r="B191" i="13"/>
  <c r="A192" i="13"/>
  <c r="B192" i="13"/>
  <c r="A193" i="13"/>
  <c r="B193" i="13"/>
  <c r="A194" i="13"/>
  <c r="B194" i="13"/>
  <c r="A195" i="13"/>
  <c r="B195" i="13"/>
  <c r="A196" i="13"/>
  <c r="B196" i="13"/>
  <c r="A197" i="13"/>
  <c r="B197" i="13"/>
  <c r="A198" i="13"/>
  <c r="B198" i="13"/>
  <c r="A199" i="13"/>
  <c r="B199" i="13"/>
  <c r="A200" i="13"/>
  <c r="B200" i="13"/>
  <c r="A201" i="13"/>
  <c r="B201" i="13"/>
  <c r="A202" i="13"/>
  <c r="B202" i="13"/>
  <c r="A203" i="13"/>
  <c r="B203" i="13"/>
  <c r="A204" i="13"/>
  <c r="B204" i="13"/>
  <c r="A205" i="13"/>
  <c r="B205" i="13"/>
  <c r="A206" i="13"/>
  <c r="B206" i="13"/>
  <c r="A207" i="13"/>
  <c r="B207" i="13"/>
  <c r="A208" i="13"/>
  <c r="B208" i="13"/>
  <c r="A209" i="13"/>
  <c r="B209" i="13"/>
  <c r="A210" i="13"/>
  <c r="B210" i="13"/>
  <c r="A211" i="13"/>
  <c r="B211" i="13"/>
  <c r="A212" i="13"/>
  <c r="B212" i="13"/>
  <c r="A213" i="13"/>
  <c r="B213" i="13"/>
  <c r="A214" i="13"/>
  <c r="B214" i="13"/>
  <c r="A215" i="13"/>
  <c r="B215" i="13"/>
  <c r="A216" i="13"/>
  <c r="B216" i="13"/>
  <c r="A217" i="13"/>
  <c r="B217" i="13"/>
  <c r="A218" i="13"/>
  <c r="B218" i="13"/>
  <c r="A220" i="13"/>
  <c r="B220" i="13"/>
  <c r="A221" i="13"/>
  <c r="B221" i="13"/>
  <c r="A222" i="13"/>
  <c r="B222" i="13"/>
  <c r="A223" i="13"/>
  <c r="B223" i="13"/>
  <c r="A224" i="13"/>
  <c r="B224" i="13"/>
  <c r="A225" i="13"/>
  <c r="B225" i="13"/>
  <c r="A226" i="13"/>
  <c r="B226" i="13"/>
  <c r="A227" i="13"/>
  <c r="B227" i="13"/>
  <c r="A228" i="13"/>
  <c r="B228" i="13"/>
  <c r="A229" i="13"/>
  <c r="B229" i="13"/>
  <c r="A230" i="13"/>
  <c r="B230" i="13"/>
  <c r="A231" i="13"/>
  <c r="B231" i="13"/>
  <c r="A232" i="13"/>
  <c r="B232" i="13"/>
  <c r="A233" i="13"/>
  <c r="B233" i="13"/>
  <c r="A234" i="13"/>
  <c r="B234" i="13"/>
  <c r="A235" i="13"/>
  <c r="B235" i="13"/>
  <c r="A236" i="13"/>
  <c r="B236" i="13"/>
  <c r="A237" i="13"/>
  <c r="B237" i="13"/>
  <c r="A238" i="13"/>
  <c r="B238" i="13"/>
  <c r="A239" i="13"/>
  <c r="B239" i="13"/>
  <c r="A240" i="13"/>
  <c r="B240" i="13"/>
  <c r="A241" i="13"/>
  <c r="B241" i="13"/>
  <c r="A242" i="13"/>
  <c r="B242" i="13"/>
  <c r="A243" i="13"/>
  <c r="B243" i="13"/>
  <c r="A245" i="13"/>
  <c r="B245" i="13"/>
  <c r="A246" i="13"/>
  <c r="B246" i="13"/>
  <c r="A247" i="13"/>
  <c r="B247" i="13"/>
  <c r="A248" i="13"/>
  <c r="B248" i="13"/>
  <c r="A249" i="13"/>
  <c r="B249" i="13"/>
  <c r="A250" i="13"/>
  <c r="B250" i="13"/>
  <c r="A251" i="13"/>
  <c r="B251" i="13"/>
  <c r="A252" i="13"/>
  <c r="B252" i="13"/>
  <c r="A253" i="13"/>
  <c r="B253" i="13"/>
  <c r="A254" i="13"/>
  <c r="B254" i="13"/>
  <c r="A255" i="13"/>
  <c r="B255" i="13"/>
  <c r="A256" i="13"/>
  <c r="B256" i="13"/>
  <c r="A257" i="13"/>
  <c r="B257" i="13"/>
  <c r="A258" i="13"/>
  <c r="B258" i="13"/>
  <c r="A259" i="13"/>
  <c r="B259" i="13"/>
  <c r="A260" i="13"/>
  <c r="B260" i="13"/>
  <c r="A261" i="13"/>
  <c r="B261" i="13"/>
  <c r="A262" i="13"/>
  <c r="B262" i="13"/>
  <c r="A263" i="13"/>
  <c r="B263" i="13"/>
  <c r="A264" i="13"/>
  <c r="B264" i="13"/>
  <c r="A265" i="13"/>
  <c r="B265" i="13"/>
  <c r="A266" i="13"/>
  <c r="B266" i="13"/>
  <c r="A267" i="13"/>
  <c r="B267" i="13"/>
  <c r="A268" i="13"/>
  <c r="B268" i="13"/>
  <c r="A269" i="13"/>
  <c r="B269" i="13"/>
  <c r="A270" i="13"/>
  <c r="B270" i="13"/>
  <c r="A271" i="13"/>
  <c r="B271" i="13"/>
  <c r="A272" i="13"/>
  <c r="B272" i="13"/>
  <c r="A273" i="13"/>
  <c r="B273" i="13"/>
  <c r="A274" i="13"/>
  <c r="B274" i="13"/>
  <c r="A275" i="13"/>
  <c r="B275" i="13"/>
  <c r="A276" i="13"/>
  <c r="B276" i="13"/>
  <c r="A277" i="13"/>
  <c r="B277" i="13"/>
  <c r="A278" i="13"/>
  <c r="B278" i="13"/>
  <c r="A279" i="13"/>
  <c r="B279" i="13"/>
  <c r="A280" i="13"/>
  <c r="B280" i="13"/>
  <c r="A281" i="13"/>
  <c r="B281" i="13"/>
  <c r="A282" i="13"/>
  <c r="B282" i="13"/>
  <c r="A283" i="13"/>
  <c r="B283" i="13"/>
  <c r="A284" i="13"/>
  <c r="B284" i="13"/>
  <c r="A285" i="13"/>
  <c r="B285" i="13"/>
  <c r="A286" i="13"/>
  <c r="B286" i="13"/>
  <c r="A287" i="13"/>
  <c r="B287" i="13"/>
  <c r="A288" i="13"/>
  <c r="B288" i="13"/>
  <c r="A289" i="13"/>
  <c r="B289" i="13"/>
  <c r="A290" i="13"/>
  <c r="B290" i="13"/>
  <c r="A291" i="13"/>
  <c r="B291" i="13"/>
  <c r="A292" i="13"/>
  <c r="B292" i="13"/>
  <c r="A293" i="13"/>
  <c r="B293" i="13"/>
  <c r="A294" i="13"/>
  <c r="B294" i="13"/>
  <c r="A295" i="13"/>
  <c r="B295" i="13"/>
  <c r="A296" i="13"/>
  <c r="B296" i="13"/>
  <c r="A297" i="13"/>
  <c r="B297" i="13"/>
  <c r="A298" i="13"/>
  <c r="B298" i="13"/>
  <c r="A299" i="13"/>
  <c r="B299" i="13"/>
  <c r="A300" i="13"/>
  <c r="B300" i="13"/>
  <c r="A301" i="13"/>
  <c r="B301" i="13"/>
  <c r="A302" i="13"/>
  <c r="B302" i="13"/>
  <c r="A303" i="13"/>
  <c r="B303" i="13"/>
  <c r="A304" i="13"/>
  <c r="B304" i="13"/>
  <c r="A305" i="13"/>
  <c r="B305" i="13"/>
  <c r="A306" i="13"/>
  <c r="B306" i="13"/>
  <c r="A307" i="13"/>
  <c r="B307" i="13"/>
  <c r="A308" i="13"/>
  <c r="B308" i="13"/>
  <c r="A309" i="13"/>
  <c r="B309" i="13"/>
  <c r="A310" i="13"/>
  <c r="B310" i="13"/>
  <c r="A311" i="13"/>
  <c r="B311" i="13"/>
  <c r="A312" i="13"/>
  <c r="B312" i="13"/>
  <c r="A313" i="13"/>
  <c r="B313" i="13"/>
  <c r="A314" i="13"/>
  <c r="B314" i="13"/>
  <c r="B7" i="13"/>
  <c r="A7" i="13"/>
  <c r="B6" i="39"/>
  <c r="A6" i="39"/>
  <c r="B6" i="12"/>
  <c r="A6" i="12"/>
  <c r="O314" i="11"/>
  <c r="H314" i="11"/>
  <c r="G314" i="11"/>
  <c r="F314" i="11"/>
  <c r="D16" i="34"/>
  <c r="B16" i="34"/>
  <c r="A16" i="34"/>
  <c r="C6" i="37"/>
  <c r="B6" i="37"/>
  <c r="A6" i="37"/>
  <c r="C9" i="36"/>
  <c r="B9" i="36"/>
  <c r="A9" i="36"/>
  <c r="C12" i="9"/>
  <c r="C320" i="9" s="1"/>
  <c r="B12" i="9"/>
  <c r="A12" i="9"/>
  <c r="D324" i="34" l="1"/>
  <c r="B314" i="37"/>
  <c r="C314" i="37"/>
  <c r="C317" i="36"/>
  <c r="B317" i="36"/>
  <c r="B314" i="12"/>
  <c r="B314" i="39"/>
  <c r="B315" i="13"/>
  <c r="B324" i="34"/>
  <c r="B320" i="9"/>
  <c r="T183" i="13" l="1"/>
  <c r="T155" i="13"/>
  <c r="T224" i="13"/>
  <c r="T33" i="13"/>
  <c r="T97" i="13"/>
  <c r="T24" i="13"/>
  <c r="T39" i="13"/>
  <c r="T55" i="13"/>
  <c r="T63" i="13"/>
  <c r="T101" i="13"/>
  <c r="T103" i="13"/>
  <c r="T107" i="13"/>
  <c r="T109" i="13"/>
  <c r="T117" i="13"/>
  <c r="T123" i="13"/>
  <c r="T125" i="13"/>
  <c r="T135" i="13"/>
  <c r="T137" i="13"/>
  <c r="T143" i="13"/>
  <c r="T145" i="13"/>
  <c r="T147" i="13"/>
  <c r="T151" i="13"/>
  <c r="T153" i="13"/>
  <c r="T159" i="13"/>
  <c r="T161" i="13"/>
  <c r="T163" i="13"/>
  <c r="T172" i="13"/>
  <c r="T188" i="13"/>
  <c r="T192" i="13"/>
  <c r="T204" i="13"/>
  <c r="T210" i="13"/>
  <c r="T218" i="13"/>
  <c r="T221" i="13"/>
  <c r="T223" i="13"/>
  <c r="T229" i="13"/>
  <c r="T254" i="13"/>
  <c r="T256" i="13"/>
  <c r="T264" i="13"/>
  <c r="T266" i="13"/>
  <c r="T270" i="13"/>
  <c r="T272" i="13"/>
  <c r="T274" i="13"/>
  <c r="T282" i="13"/>
  <c r="T314" i="13"/>
  <c r="E315" i="13"/>
  <c r="T19" i="13"/>
  <c r="T29" i="13"/>
  <c r="T31" i="13"/>
  <c r="T36" i="13"/>
  <c r="T44" i="13"/>
  <c r="T70" i="13"/>
  <c r="T78" i="13"/>
  <c r="T80" i="13"/>
  <c r="T82" i="13"/>
  <c r="T84" i="13"/>
  <c r="T88" i="13"/>
  <c r="T90" i="13"/>
  <c r="T92" i="13"/>
  <c r="T96" i="13"/>
  <c r="T98" i="13"/>
  <c r="T100" i="13"/>
  <c r="T112" i="13"/>
  <c r="T116" i="13"/>
  <c r="T118" i="13"/>
  <c r="T120" i="13"/>
  <c r="T124" i="13"/>
  <c r="T126" i="13"/>
  <c r="T128" i="13"/>
  <c r="T132" i="13"/>
  <c r="T140" i="13"/>
  <c r="T156" i="13"/>
  <c r="T160" i="13"/>
  <c r="T209" i="13"/>
  <c r="T213" i="13"/>
  <c r="T217" i="13"/>
  <c r="T226" i="13"/>
  <c r="T242" i="13"/>
  <c r="T247" i="13"/>
  <c r="T251" i="13"/>
  <c r="T255" i="13"/>
  <c r="T259" i="13"/>
  <c r="T261" i="13"/>
  <c r="T279" i="13"/>
  <c r="T283" i="13"/>
  <c r="T285" i="13"/>
  <c r="T287" i="13"/>
  <c r="T303" i="13"/>
  <c r="T307" i="13"/>
  <c r="T309" i="13"/>
  <c r="T311" i="13"/>
  <c r="T30" i="13"/>
  <c r="T41" i="13"/>
  <c r="T43" i="13"/>
  <c r="T47" i="13"/>
  <c r="T81" i="13"/>
  <c r="T91" i="13"/>
  <c r="T49" i="13"/>
  <c r="T53" i="13"/>
  <c r="T59" i="13"/>
  <c r="T61" i="13"/>
  <c r="T75" i="13"/>
  <c r="T165" i="13"/>
  <c r="T167" i="13"/>
  <c r="T169" i="13"/>
  <c r="T176" i="13"/>
  <c r="T178" i="13"/>
  <c r="T182" i="13"/>
  <c r="T184" i="13"/>
  <c r="T186" i="13"/>
  <c r="T190" i="13"/>
  <c r="T194" i="13"/>
  <c r="T198" i="13"/>
  <c r="T208" i="13"/>
  <c r="T212" i="13"/>
  <c r="T233" i="13"/>
  <c r="T237" i="13"/>
  <c r="T239" i="13"/>
  <c r="T243" i="13"/>
  <c r="T248" i="13"/>
  <c r="T252" i="13"/>
  <c r="T276" i="13"/>
  <c r="T280" i="13"/>
  <c r="T288" i="13"/>
  <c r="T304" i="13"/>
  <c r="T308" i="13"/>
  <c r="F315" i="13"/>
  <c r="T9" i="13"/>
  <c r="T13" i="13"/>
  <c r="T21" i="13"/>
  <c r="T27" i="13"/>
  <c r="T38" i="13"/>
  <c r="T42" i="13"/>
  <c r="T46" i="13"/>
  <c r="T48" i="13"/>
  <c r="T56" i="13"/>
  <c r="T64" i="13"/>
  <c r="T102" i="13"/>
  <c r="T104" i="13"/>
  <c r="T106" i="13"/>
  <c r="T108" i="13"/>
  <c r="T134" i="13"/>
  <c r="T138" i="13"/>
  <c r="T142" i="13"/>
  <c r="T146" i="13"/>
  <c r="T148" i="13"/>
  <c r="T150" i="13"/>
  <c r="T154" i="13"/>
  <c r="T158" i="13"/>
  <c r="T162" i="13"/>
  <c r="T168" i="13"/>
  <c r="T173" i="13"/>
  <c r="T175" i="13"/>
  <c r="T177" i="13"/>
  <c r="T185" i="13"/>
  <c r="T193" i="13"/>
  <c r="T201" i="13"/>
  <c r="T207" i="13"/>
  <c r="T211" i="13"/>
  <c r="T222" i="13"/>
  <c r="T228" i="13"/>
  <c r="T232" i="13"/>
  <c r="T236" i="13"/>
  <c r="T263" i="13"/>
  <c r="T265" i="13"/>
  <c r="T269" i="13"/>
  <c r="T271" i="13"/>
  <c r="T273" i="13"/>
  <c r="T291" i="13"/>
  <c r="T293" i="13"/>
  <c r="T295" i="13"/>
  <c r="T297" i="13"/>
  <c r="T299" i="13"/>
  <c r="T301" i="13"/>
  <c r="T20" i="13"/>
  <c r="T18" i="13"/>
  <c r="T26" i="13"/>
  <c r="T51" i="13"/>
  <c r="T57" i="13"/>
  <c r="T67" i="13"/>
  <c r="T71" i="13"/>
  <c r="T73" i="13"/>
  <c r="T79" i="13"/>
  <c r="T85" i="13"/>
  <c r="T89" i="13"/>
  <c r="T105" i="13"/>
  <c r="T113" i="13"/>
  <c r="T121" i="13"/>
  <c r="T129" i="13"/>
  <c r="T139" i="13"/>
  <c r="T180" i="13"/>
  <c r="T196" i="13"/>
  <c r="T200" i="13"/>
  <c r="T202" i="13"/>
  <c r="T206" i="13"/>
  <c r="T227" i="13"/>
  <c r="T231" i="13"/>
  <c r="T235" i="13"/>
  <c r="T241" i="13"/>
  <c r="T246" i="13"/>
  <c r="T250" i="13"/>
  <c r="T268" i="13"/>
  <c r="T278" i="13"/>
  <c r="T292" i="13"/>
  <c r="T294" i="13"/>
  <c r="T296" i="13"/>
  <c r="T298" i="13"/>
  <c r="T300" i="13"/>
  <c r="T302" i="13"/>
  <c r="T306" i="13"/>
  <c r="T312" i="13"/>
  <c r="T7" i="13"/>
  <c r="G315" i="13"/>
  <c r="T17" i="13"/>
  <c r="T23" i="13"/>
  <c r="T40" i="13"/>
  <c r="T50" i="13"/>
  <c r="T52" i="13"/>
  <c r="T54" i="13"/>
  <c r="T58" i="13"/>
  <c r="T60" i="13"/>
  <c r="T62" i="13"/>
  <c r="T66" i="13"/>
  <c r="T74" i="13"/>
  <c r="T110" i="13"/>
  <c r="T136" i="13"/>
  <c r="T144" i="13"/>
  <c r="T152" i="13"/>
  <c r="T164" i="13"/>
  <c r="T166" i="13"/>
  <c r="T179" i="13"/>
  <c r="T181" i="13"/>
  <c r="T187" i="13"/>
  <c r="T189" i="13"/>
  <c r="T191" i="13"/>
  <c r="T195" i="13"/>
  <c r="T197" i="13"/>
  <c r="T203" i="13"/>
  <c r="T205" i="13"/>
  <c r="T230" i="13"/>
  <c r="T234" i="13"/>
  <c r="T238" i="13"/>
  <c r="T249" i="13"/>
  <c r="T257" i="13"/>
  <c r="T267" i="13"/>
  <c r="T275" i="13"/>
  <c r="T277" i="13"/>
  <c r="T281" i="13"/>
  <c r="T289" i="13"/>
  <c r="T10" i="13"/>
  <c r="T14" i="13"/>
  <c r="T22" i="13"/>
  <c r="T65" i="13"/>
  <c r="T69" i="13"/>
  <c r="T77" i="13"/>
  <c r="T8" i="13"/>
  <c r="T12" i="13"/>
  <c r="T16" i="13"/>
  <c r="T28" i="13"/>
  <c r="T32" i="13"/>
  <c r="T35" i="13"/>
  <c r="T37" i="13"/>
  <c r="T45" i="13"/>
  <c r="T83" i="13"/>
  <c r="T87" i="13"/>
  <c r="T93" i="13"/>
  <c r="T95" i="13"/>
  <c r="T99" i="13"/>
  <c r="T111" i="13"/>
  <c r="T115" i="13"/>
  <c r="T119" i="13"/>
  <c r="T127" i="13"/>
  <c r="T131" i="13"/>
  <c r="T133" i="13"/>
  <c r="T141" i="13"/>
  <c r="T149" i="13"/>
  <c r="T157" i="13"/>
  <c r="T174" i="13"/>
  <c r="T214" i="13"/>
  <c r="T216" i="13"/>
  <c r="T225" i="13"/>
  <c r="T258" i="13"/>
  <c r="T260" i="13"/>
  <c r="T262" i="13"/>
  <c r="T284" i="13"/>
  <c r="T286" i="13"/>
  <c r="T290" i="13"/>
  <c r="T310" i="13"/>
  <c r="D315" i="13"/>
  <c r="I315" i="13"/>
  <c r="T11" i="13"/>
  <c r="T15" i="13"/>
  <c r="T25" i="13"/>
  <c r="T34" i="13"/>
  <c r="T68" i="13"/>
  <c r="T72" i="13"/>
  <c r="T76" i="13"/>
  <c r="T86" i="13"/>
  <c r="T94" i="13"/>
  <c r="T114" i="13"/>
  <c r="T122" i="13"/>
  <c r="T130" i="13"/>
  <c r="T171" i="13"/>
  <c r="T199" i="13"/>
  <c r="T215" i="13"/>
  <c r="T220" i="13"/>
  <c r="T240" i="13"/>
  <c r="T245" i="13"/>
  <c r="T253" i="13"/>
  <c r="T305" i="13"/>
  <c r="T313" i="13"/>
  <c r="G4" i="33"/>
  <c r="G5" i="33"/>
  <c r="H315" i="13" l="1"/>
  <c r="K7" i="13"/>
  <c r="C5" i="32"/>
  <c r="B6" i="33"/>
  <c r="A6" i="33"/>
  <c r="B6" i="32"/>
  <c r="B314" i="32" s="1"/>
  <c r="A6" i="32"/>
  <c r="B7" i="19"/>
  <c r="A7" i="19"/>
  <c r="O7" i="19"/>
  <c r="R315" i="42"/>
  <c r="Q315" i="42"/>
  <c r="P315" i="42"/>
  <c r="O315" i="42"/>
  <c r="B315" i="42"/>
  <c r="B315" i="19" l="1"/>
  <c r="B314" i="33"/>
  <c r="E5" i="37" l="1"/>
  <c r="E8" i="36"/>
  <c r="D25" i="40"/>
  <c r="F8" i="36" s="1"/>
  <c r="E25" i="40"/>
  <c r="G8" i="36" s="1"/>
  <c r="F25" i="40"/>
  <c r="H8" i="36" s="1"/>
  <c r="G25" i="40"/>
  <c r="I8" i="36" s="1"/>
  <c r="H25" i="40"/>
  <c r="J8" i="36" s="1"/>
  <c r="D8" i="36"/>
  <c r="C5" i="9" l="1"/>
  <c r="N315" i="19"/>
  <c r="C7" i="19"/>
  <c r="D7" i="19"/>
  <c r="E7" i="19"/>
  <c r="F7" i="19"/>
  <c r="E11" i="49"/>
  <c r="E15" i="49"/>
  <c r="E19" i="49"/>
  <c r="E23" i="49"/>
  <c r="E24" i="49"/>
  <c r="E27" i="49"/>
  <c r="E28" i="49"/>
  <c r="E31" i="49"/>
  <c r="E34" i="49"/>
  <c r="E38" i="49"/>
  <c r="E42" i="49"/>
  <c r="E54" i="49"/>
  <c r="E62" i="49"/>
  <c r="E66" i="49"/>
  <c r="E70" i="49"/>
  <c r="E74" i="49"/>
  <c r="E78" i="49"/>
  <c r="E82" i="49"/>
  <c r="E85" i="49"/>
  <c r="E86" i="49"/>
  <c r="E90" i="49"/>
  <c r="E94" i="49"/>
  <c r="E95" i="49"/>
  <c r="E98" i="49"/>
  <c r="E102" i="49"/>
  <c r="E106" i="49"/>
  <c r="E110" i="49"/>
  <c r="E114" i="49"/>
  <c r="E117" i="49"/>
  <c r="E118" i="49"/>
  <c r="E119" i="49"/>
  <c r="E120" i="49"/>
  <c r="E122" i="49"/>
  <c r="E126" i="49"/>
  <c r="E127" i="49"/>
  <c r="E130" i="49"/>
  <c r="E131" i="49"/>
  <c r="E133" i="49"/>
  <c r="E135" i="49"/>
  <c r="E138" i="49"/>
  <c r="E141" i="49"/>
  <c r="E142" i="49"/>
  <c r="E145" i="49"/>
  <c r="E148" i="49"/>
  <c r="E151" i="49"/>
  <c r="E167" i="49"/>
  <c r="E170" i="49"/>
  <c r="E172" i="49"/>
  <c r="E179" i="49"/>
  <c r="E182" i="49"/>
  <c r="E194" i="49"/>
  <c r="E195" i="49"/>
  <c r="E196" i="49"/>
  <c r="E198" i="49"/>
  <c r="E214" i="49"/>
  <c r="E219" i="49"/>
  <c r="E220" i="49"/>
  <c r="E221" i="49"/>
  <c r="E226" i="49"/>
  <c r="E228" i="49"/>
  <c r="E233" i="49"/>
  <c r="E238" i="49"/>
  <c r="E241" i="49"/>
  <c r="E242" i="49"/>
  <c r="E244" i="49"/>
  <c r="E245" i="49"/>
  <c r="E255" i="49"/>
  <c r="E256" i="49"/>
  <c r="E260" i="49"/>
  <c r="E268" i="49"/>
  <c r="E269" i="49"/>
  <c r="E275" i="49"/>
  <c r="E287" i="49"/>
  <c r="E288" i="49"/>
  <c r="E292" i="49"/>
  <c r="E295" i="49"/>
  <c r="E296" i="49"/>
  <c r="E300" i="49"/>
  <c r="E303" i="49"/>
  <c r="E311" i="49"/>
  <c r="E312" i="49"/>
  <c r="D5" i="32"/>
  <c r="AA7" i="19"/>
  <c r="D6" i="49" s="1"/>
  <c r="D7" i="49"/>
  <c r="D8" i="49"/>
  <c r="D9" i="49"/>
  <c r="D10" i="49"/>
  <c r="D11" i="49"/>
  <c r="D12" i="49"/>
  <c r="D13" i="49"/>
  <c r="D14" i="49"/>
  <c r="D15" i="49"/>
  <c r="D16" i="49"/>
  <c r="D17" i="49"/>
  <c r="D18" i="49"/>
  <c r="D19" i="49"/>
  <c r="D20" i="49"/>
  <c r="D21" i="49"/>
  <c r="D22" i="49"/>
  <c r="D23" i="49"/>
  <c r="D24" i="49"/>
  <c r="D25" i="49"/>
  <c r="D26" i="49"/>
  <c r="D27" i="49"/>
  <c r="D28" i="49"/>
  <c r="D29" i="49"/>
  <c r="D30" i="49"/>
  <c r="D31" i="49"/>
  <c r="D32" i="49"/>
  <c r="D33" i="49"/>
  <c r="D34" i="49"/>
  <c r="D35" i="49"/>
  <c r="D36" i="49"/>
  <c r="D37" i="49"/>
  <c r="D38" i="49"/>
  <c r="D39" i="49"/>
  <c r="D40" i="49"/>
  <c r="D41" i="49"/>
  <c r="D42" i="49"/>
  <c r="D43" i="49"/>
  <c r="D44" i="49"/>
  <c r="D45" i="49"/>
  <c r="D46" i="49"/>
  <c r="D47" i="49"/>
  <c r="D48" i="49"/>
  <c r="D49" i="49"/>
  <c r="D50" i="49"/>
  <c r="D51" i="49"/>
  <c r="D52" i="49"/>
  <c r="D53" i="49"/>
  <c r="D54" i="49"/>
  <c r="D55" i="49"/>
  <c r="D56" i="49"/>
  <c r="D57" i="49"/>
  <c r="D58" i="49"/>
  <c r="D59" i="49"/>
  <c r="D60" i="49"/>
  <c r="D61" i="49"/>
  <c r="D62" i="49"/>
  <c r="D63" i="49"/>
  <c r="D64" i="49"/>
  <c r="D65" i="49"/>
  <c r="D66" i="49"/>
  <c r="D67" i="49"/>
  <c r="D68" i="49"/>
  <c r="D69" i="49"/>
  <c r="D70" i="49"/>
  <c r="D71" i="49"/>
  <c r="D72" i="49"/>
  <c r="D73" i="49"/>
  <c r="D74" i="49"/>
  <c r="D75" i="49"/>
  <c r="D76" i="49"/>
  <c r="D77" i="49"/>
  <c r="D78" i="49"/>
  <c r="D79" i="49"/>
  <c r="D80" i="49"/>
  <c r="D81" i="49"/>
  <c r="D82" i="49"/>
  <c r="D83" i="49"/>
  <c r="D84" i="49"/>
  <c r="D85" i="49"/>
  <c r="D86" i="49"/>
  <c r="D87" i="49"/>
  <c r="D88" i="49"/>
  <c r="D89" i="49"/>
  <c r="D90" i="49"/>
  <c r="D91" i="49"/>
  <c r="D92" i="49"/>
  <c r="D93" i="49"/>
  <c r="D94" i="49"/>
  <c r="D95" i="49"/>
  <c r="D96" i="49"/>
  <c r="D97" i="49"/>
  <c r="D98" i="49"/>
  <c r="D99" i="49"/>
  <c r="D100" i="49"/>
  <c r="D101" i="49"/>
  <c r="D102" i="49"/>
  <c r="D103" i="49"/>
  <c r="D104" i="49"/>
  <c r="D105" i="49"/>
  <c r="D106" i="49"/>
  <c r="D107" i="49"/>
  <c r="D108" i="49"/>
  <c r="D109" i="49"/>
  <c r="D110" i="49"/>
  <c r="D111" i="49"/>
  <c r="D112" i="49"/>
  <c r="D113" i="49"/>
  <c r="D114" i="49"/>
  <c r="D115" i="49"/>
  <c r="D116" i="49"/>
  <c r="D117" i="49"/>
  <c r="D118" i="49"/>
  <c r="D119" i="49"/>
  <c r="D120" i="49"/>
  <c r="D121" i="49"/>
  <c r="D122" i="49"/>
  <c r="D123" i="49"/>
  <c r="D124" i="49"/>
  <c r="D125" i="49"/>
  <c r="D126" i="49"/>
  <c r="D127" i="49"/>
  <c r="D128" i="49"/>
  <c r="D129" i="49"/>
  <c r="D130" i="49"/>
  <c r="D131" i="49"/>
  <c r="D132" i="49"/>
  <c r="D133" i="49"/>
  <c r="D134" i="49"/>
  <c r="D135" i="49"/>
  <c r="D136" i="49"/>
  <c r="D137" i="49"/>
  <c r="D138" i="49"/>
  <c r="D139" i="49"/>
  <c r="D140" i="49"/>
  <c r="D141" i="49"/>
  <c r="D142" i="49"/>
  <c r="D143" i="49"/>
  <c r="D144" i="49"/>
  <c r="D145" i="49"/>
  <c r="D146" i="49"/>
  <c r="D147" i="49"/>
  <c r="D148" i="49"/>
  <c r="D149" i="49"/>
  <c r="D150" i="49"/>
  <c r="D151" i="49"/>
  <c r="D152" i="49"/>
  <c r="D153" i="49"/>
  <c r="D154" i="49"/>
  <c r="D155" i="49"/>
  <c r="D156" i="49"/>
  <c r="D157" i="49"/>
  <c r="D158" i="49"/>
  <c r="D159" i="49"/>
  <c r="D160" i="49"/>
  <c r="D161" i="49"/>
  <c r="D162" i="49"/>
  <c r="D163" i="49"/>
  <c r="D164" i="49"/>
  <c r="D165" i="49"/>
  <c r="D166" i="49"/>
  <c r="D167" i="49"/>
  <c r="D168" i="49"/>
  <c r="D170" i="49"/>
  <c r="D171" i="49"/>
  <c r="D172" i="49"/>
  <c r="D173" i="49"/>
  <c r="D174" i="49"/>
  <c r="D175" i="49"/>
  <c r="D176" i="49"/>
  <c r="D177" i="49"/>
  <c r="D178" i="49"/>
  <c r="D179" i="49"/>
  <c r="D180" i="49"/>
  <c r="D181" i="49"/>
  <c r="D182" i="49"/>
  <c r="D183" i="49"/>
  <c r="D184" i="49"/>
  <c r="D185" i="49"/>
  <c r="D186" i="49"/>
  <c r="D187" i="49"/>
  <c r="D188" i="49"/>
  <c r="D189" i="49"/>
  <c r="D190" i="49"/>
  <c r="D191" i="49"/>
  <c r="D192" i="49"/>
  <c r="D193" i="49"/>
  <c r="D194" i="49"/>
  <c r="D195" i="49"/>
  <c r="D196" i="49"/>
  <c r="D197" i="49"/>
  <c r="D198" i="49"/>
  <c r="D199" i="49"/>
  <c r="D200" i="49"/>
  <c r="D201" i="49"/>
  <c r="D202" i="49"/>
  <c r="D203" i="49"/>
  <c r="D204" i="49"/>
  <c r="D205" i="49"/>
  <c r="D206" i="49"/>
  <c r="D207" i="49"/>
  <c r="D208" i="49"/>
  <c r="D209" i="49"/>
  <c r="D210" i="49"/>
  <c r="D211" i="49"/>
  <c r="D212" i="49"/>
  <c r="D213" i="49"/>
  <c r="D214" i="49"/>
  <c r="D215" i="49"/>
  <c r="D216" i="49"/>
  <c r="D217" i="49"/>
  <c r="D219" i="49"/>
  <c r="D220" i="49"/>
  <c r="D221" i="49"/>
  <c r="D222" i="49"/>
  <c r="D223" i="49"/>
  <c r="D224" i="49"/>
  <c r="D225" i="49"/>
  <c r="D226" i="49"/>
  <c r="D227" i="49"/>
  <c r="D228" i="49"/>
  <c r="D229" i="49"/>
  <c r="D230" i="49"/>
  <c r="D231" i="49"/>
  <c r="D232" i="49"/>
  <c r="D233" i="49"/>
  <c r="D234" i="49"/>
  <c r="D235" i="49"/>
  <c r="D236" i="49"/>
  <c r="D237" i="49"/>
  <c r="D238" i="49"/>
  <c r="D239" i="49"/>
  <c r="D240" i="49"/>
  <c r="D241" i="49"/>
  <c r="D242" i="49"/>
  <c r="D244" i="49"/>
  <c r="D245" i="49"/>
  <c r="D246" i="49"/>
  <c r="D247" i="49"/>
  <c r="D248" i="49"/>
  <c r="D249" i="49"/>
  <c r="D250" i="49"/>
  <c r="D251" i="49"/>
  <c r="D252" i="49"/>
  <c r="D253" i="49"/>
  <c r="D254" i="49"/>
  <c r="D255" i="49"/>
  <c r="D256" i="49"/>
  <c r="D257" i="49"/>
  <c r="D258" i="49"/>
  <c r="D259" i="49"/>
  <c r="D260" i="49"/>
  <c r="D261" i="49"/>
  <c r="D262" i="49"/>
  <c r="D263" i="49"/>
  <c r="D264" i="49"/>
  <c r="D265" i="49"/>
  <c r="D266" i="49"/>
  <c r="D267" i="49"/>
  <c r="D268" i="49"/>
  <c r="D269" i="49"/>
  <c r="D270" i="49"/>
  <c r="D271" i="49"/>
  <c r="D272" i="49"/>
  <c r="D273" i="49"/>
  <c r="D274" i="49"/>
  <c r="D275" i="49"/>
  <c r="D276" i="49"/>
  <c r="D277" i="49"/>
  <c r="D278" i="49"/>
  <c r="D279" i="49"/>
  <c r="D280" i="49"/>
  <c r="D281" i="49"/>
  <c r="D282" i="49"/>
  <c r="D283" i="49"/>
  <c r="D284" i="49"/>
  <c r="D285" i="49"/>
  <c r="D286" i="49"/>
  <c r="D287" i="49"/>
  <c r="D288" i="49"/>
  <c r="D289" i="49"/>
  <c r="D290" i="49"/>
  <c r="D291" i="49"/>
  <c r="D292" i="49"/>
  <c r="D293" i="49"/>
  <c r="D294" i="49"/>
  <c r="D295" i="49"/>
  <c r="D296" i="49"/>
  <c r="D297" i="49"/>
  <c r="D298" i="49"/>
  <c r="D299" i="49"/>
  <c r="D300" i="49"/>
  <c r="D301" i="49"/>
  <c r="D302" i="49"/>
  <c r="D303" i="49"/>
  <c r="D304" i="49"/>
  <c r="D305" i="49"/>
  <c r="D306" i="49"/>
  <c r="D307" i="49"/>
  <c r="D308" i="49"/>
  <c r="D309" i="49"/>
  <c r="D310" i="49"/>
  <c r="D311" i="49"/>
  <c r="D312" i="49"/>
  <c r="D313" i="49"/>
  <c r="E5" i="36"/>
  <c r="G5" i="36"/>
  <c r="I5" i="36"/>
  <c r="H5" i="36"/>
  <c r="G6" i="36"/>
  <c r="C7" i="34"/>
  <c r="D5" i="36"/>
  <c r="D6" i="36"/>
  <c r="E6" i="36"/>
  <c r="F5" i="36"/>
  <c r="F6" i="36"/>
  <c r="H6" i="36"/>
  <c r="J5" i="36"/>
  <c r="I6" i="36"/>
  <c r="I5" i="39"/>
  <c r="A6" i="25"/>
  <c r="B6" i="25"/>
  <c r="D15" i="36" l="1"/>
  <c r="D19" i="36"/>
  <c r="D29" i="36"/>
  <c r="D30" i="36"/>
  <c r="D13" i="36"/>
  <c r="D14" i="36"/>
  <c r="D10" i="36"/>
  <c r="D11" i="36"/>
  <c r="D17" i="36"/>
  <c r="D23" i="36"/>
  <c r="D31" i="36"/>
  <c r="D41" i="36"/>
  <c r="D42" i="36"/>
  <c r="D26" i="36"/>
  <c r="D44" i="36"/>
  <c r="D49" i="36"/>
  <c r="D50" i="36"/>
  <c r="D60" i="36"/>
  <c r="D63" i="36"/>
  <c r="D64" i="36"/>
  <c r="D68" i="36"/>
  <c r="D72" i="36"/>
  <c r="D79" i="36"/>
  <c r="D82" i="36"/>
  <c r="D83" i="36"/>
  <c r="D103" i="36"/>
  <c r="D117" i="36"/>
  <c r="D118" i="36"/>
  <c r="D123" i="36"/>
  <c r="D137" i="36"/>
  <c r="D143" i="36"/>
  <c r="D146" i="36"/>
  <c r="D147" i="36"/>
  <c r="D148" i="36"/>
  <c r="D158" i="36"/>
  <c r="D163" i="36"/>
  <c r="D164" i="36"/>
  <c r="D174" i="36"/>
  <c r="D179" i="36"/>
  <c r="D180" i="36"/>
  <c r="D190" i="36"/>
  <c r="D195" i="36"/>
  <c r="D196" i="36"/>
  <c r="D21" i="36"/>
  <c r="D27" i="36"/>
  <c r="D36" i="36"/>
  <c r="D46" i="36"/>
  <c r="D48" i="36"/>
  <c r="D54" i="36"/>
  <c r="D66" i="36"/>
  <c r="D67" i="36"/>
  <c r="D87" i="36"/>
  <c r="D101" i="36"/>
  <c r="D102" i="36"/>
  <c r="D107" i="36"/>
  <c r="D121" i="36"/>
  <c r="D127" i="36"/>
  <c r="D130" i="36"/>
  <c r="D131" i="36"/>
  <c r="D154" i="36"/>
  <c r="D159" i="36"/>
  <c r="D160" i="36"/>
  <c r="D170" i="36"/>
  <c r="D175" i="36"/>
  <c r="D176" i="36"/>
  <c r="D186" i="36"/>
  <c r="D191" i="36"/>
  <c r="D192" i="36"/>
  <c r="D33" i="36"/>
  <c r="D70" i="36"/>
  <c r="D114" i="36"/>
  <c r="D133" i="36"/>
  <c r="D139" i="36"/>
  <c r="D150" i="36"/>
  <c r="D155" i="36"/>
  <c r="D172" i="36"/>
  <c r="D182" i="36"/>
  <c r="D187" i="36"/>
  <c r="D214" i="36"/>
  <c r="D224" i="36"/>
  <c r="D230" i="36"/>
  <c r="D240" i="36"/>
  <c r="D246" i="36"/>
  <c r="D256" i="36"/>
  <c r="D262" i="36"/>
  <c r="D272" i="36"/>
  <c r="D278" i="36"/>
  <c r="D57" i="36"/>
  <c r="D85" i="36"/>
  <c r="D89" i="36"/>
  <c r="D98" i="36"/>
  <c r="D111" i="36"/>
  <c r="D151" i="36"/>
  <c r="D168" i="36"/>
  <c r="D178" i="36"/>
  <c r="D183" i="36"/>
  <c r="D200" i="36"/>
  <c r="D210" i="36"/>
  <c r="D215" i="36"/>
  <c r="D216" i="36"/>
  <c r="D222" i="36"/>
  <c r="D223" i="36"/>
  <c r="D227" i="36"/>
  <c r="D232" i="36"/>
  <c r="D238" i="36"/>
  <c r="D239" i="36"/>
  <c r="D243" i="36"/>
  <c r="D248" i="36"/>
  <c r="D254" i="36"/>
  <c r="D255" i="36"/>
  <c r="D259" i="36"/>
  <c r="D264" i="36"/>
  <c r="D270" i="36"/>
  <c r="D271" i="36"/>
  <c r="D275" i="36"/>
  <c r="D280" i="36"/>
  <c r="D76" i="36"/>
  <c r="D91" i="36"/>
  <c r="D95" i="36"/>
  <c r="D105" i="36"/>
  <c r="D115" i="36"/>
  <c r="D119" i="36"/>
  <c r="D134" i="36"/>
  <c r="D156" i="36"/>
  <c r="D166" i="36"/>
  <c r="D171" i="36"/>
  <c r="D188" i="36"/>
  <c r="D198" i="36"/>
  <c r="D202" i="36"/>
  <c r="D204" i="36"/>
  <c r="D206" i="36"/>
  <c r="D211" i="36"/>
  <c r="D212" i="36"/>
  <c r="D226" i="36"/>
  <c r="D242" i="36"/>
  <c r="D258" i="36"/>
  <c r="D274" i="36"/>
  <c r="D38" i="36"/>
  <c r="D45" i="36"/>
  <c r="D86" i="36"/>
  <c r="D99" i="36"/>
  <c r="D135" i="36"/>
  <c r="D152" i="36"/>
  <c r="D162" i="36"/>
  <c r="D167" i="36"/>
  <c r="D184" i="36"/>
  <c r="D194" i="36"/>
  <c r="D199" i="36"/>
  <c r="D203" i="36"/>
  <c r="D207" i="36"/>
  <c r="D208" i="36"/>
  <c r="D219" i="36"/>
  <c r="D220" i="36"/>
  <c r="D228" i="36"/>
  <c r="D235" i="36"/>
  <c r="D236" i="36"/>
  <c r="D244" i="36"/>
  <c r="D251" i="36"/>
  <c r="D252" i="36"/>
  <c r="D260" i="36"/>
  <c r="D267" i="36"/>
  <c r="D268" i="36"/>
  <c r="D276" i="36"/>
  <c r="D283" i="36"/>
  <c r="D284" i="36"/>
  <c r="D294" i="36"/>
  <c r="D300" i="36"/>
  <c r="D316" i="36"/>
  <c r="D287" i="36"/>
  <c r="D290" i="36"/>
  <c r="D292" i="36"/>
  <c r="D293" i="36"/>
  <c r="D296" i="36"/>
  <c r="D297" i="36"/>
  <c r="D302" i="36"/>
  <c r="D309" i="36"/>
  <c r="D310" i="36"/>
  <c r="D312" i="36"/>
  <c r="D313" i="36"/>
  <c r="D288" i="36"/>
  <c r="D289" i="36"/>
  <c r="D298" i="36"/>
  <c r="D306" i="36"/>
  <c r="D314" i="36"/>
  <c r="D286" i="36"/>
  <c r="D305" i="36"/>
  <c r="D308" i="36"/>
  <c r="D299" i="36"/>
  <c r="D247" i="36"/>
  <c r="D304" i="36"/>
  <c r="D285" i="36"/>
  <c r="D269" i="36"/>
  <c r="D253" i="36"/>
  <c r="D237" i="36"/>
  <c r="D221" i="36"/>
  <c r="D129" i="36"/>
  <c r="D71" i="36"/>
  <c r="D261" i="36"/>
  <c r="D142" i="36"/>
  <c r="D78" i="36"/>
  <c r="D307" i="36"/>
  <c r="D263" i="36"/>
  <c r="D125" i="36"/>
  <c r="D249" i="36"/>
  <c r="D233" i="36"/>
  <c r="D217" i="36"/>
  <c r="D213" i="36"/>
  <c r="D197" i="36"/>
  <c r="D181" i="36"/>
  <c r="D157" i="36"/>
  <c r="D122" i="36"/>
  <c r="D315" i="36"/>
  <c r="D291" i="36"/>
  <c r="D93" i="36"/>
  <c r="D281" i="36"/>
  <c r="D265" i="36"/>
  <c r="D209" i="36"/>
  <c r="D193" i="36"/>
  <c r="D177" i="36"/>
  <c r="D165" i="36"/>
  <c r="D153" i="36"/>
  <c r="D132" i="36"/>
  <c r="D106" i="36"/>
  <c r="D90" i="36"/>
  <c r="D55" i="36"/>
  <c r="D145" i="36"/>
  <c r="D277" i="36"/>
  <c r="D94" i="36"/>
  <c r="D62" i="36"/>
  <c r="D231" i="36"/>
  <c r="D303" i="36"/>
  <c r="D65" i="36"/>
  <c r="D229" i="36"/>
  <c r="D109" i="36"/>
  <c r="D201" i="36"/>
  <c r="D189" i="36"/>
  <c r="D173" i="36"/>
  <c r="D149" i="36"/>
  <c r="D34" i="36"/>
  <c r="D279" i="36"/>
  <c r="D141" i="36"/>
  <c r="D77" i="36"/>
  <c r="D205" i="36"/>
  <c r="D185" i="36"/>
  <c r="D169" i="36"/>
  <c r="D161" i="36"/>
  <c r="D138" i="36"/>
  <c r="D116" i="36"/>
  <c r="D100" i="36"/>
  <c r="D84" i="36"/>
  <c r="D311" i="36"/>
  <c r="D301" i="36"/>
  <c r="D295" i="36"/>
  <c r="D282" i="36"/>
  <c r="D266" i="36"/>
  <c r="D250" i="36"/>
  <c r="D234" i="36"/>
  <c r="D218" i="36"/>
  <c r="D113" i="36"/>
  <c r="D97" i="36"/>
  <c r="D81" i="36"/>
  <c r="D39" i="36"/>
  <c r="D245" i="36"/>
  <c r="D110" i="36"/>
  <c r="D273" i="36"/>
  <c r="D241" i="36"/>
  <c r="D58" i="36"/>
  <c r="D92" i="36"/>
  <c r="D59" i="36"/>
  <c r="D120" i="36"/>
  <c r="D88" i="36"/>
  <c r="D61" i="36"/>
  <c r="D73" i="36"/>
  <c r="D43" i="36"/>
  <c r="D12" i="36"/>
  <c r="D69" i="36"/>
  <c r="D22" i="36"/>
  <c r="D35" i="36"/>
  <c r="D47" i="36"/>
  <c r="D16" i="36"/>
  <c r="D126" i="36"/>
  <c r="D108" i="36"/>
  <c r="D56" i="36"/>
  <c r="D25" i="36"/>
  <c r="D37" i="36"/>
  <c r="D51" i="36"/>
  <c r="D18" i="36"/>
  <c r="D257" i="36"/>
  <c r="D225" i="36"/>
  <c r="D144" i="36"/>
  <c r="D128" i="36"/>
  <c r="D112" i="36"/>
  <c r="D96" i="36"/>
  <c r="D80" i="36"/>
  <c r="D74" i="36"/>
  <c r="D124" i="36"/>
  <c r="D75" i="36"/>
  <c r="D136" i="36"/>
  <c r="D104" i="36"/>
  <c r="D24" i="36"/>
  <c r="D53" i="36"/>
  <c r="D28" i="36"/>
  <c r="D32" i="36"/>
  <c r="D52" i="36"/>
  <c r="D140" i="36"/>
  <c r="D40" i="36"/>
  <c r="D20" i="36"/>
  <c r="G12" i="36"/>
  <c r="G16" i="36"/>
  <c r="G25" i="36"/>
  <c r="G27" i="36"/>
  <c r="G11" i="36"/>
  <c r="G29" i="36"/>
  <c r="G13" i="36"/>
  <c r="G15" i="36"/>
  <c r="G19" i="36"/>
  <c r="G26" i="36"/>
  <c r="G28" i="36"/>
  <c r="G32" i="36"/>
  <c r="G38" i="36"/>
  <c r="G54" i="36"/>
  <c r="G62" i="36"/>
  <c r="G69" i="36"/>
  <c r="G81" i="36"/>
  <c r="G85" i="36"/>
  <c r="G87" i="36"/>
  <c r="G104" i="36"/>
  <c r="G107" i="36"/>
  <c r="G114" i="36"/>
  <c r="G116" i="36"/>
  <c r="G126" i="36"/>
  <c r="G127" i="36"/>
  <c r="G131" i="36"/>
  <c r="G145" i="36"/>
  <c r="G155" i="36"/>
  <c r="G160" i="36"/>
  <c r="G162" i="36"/>
  <c r="G171" i="36"/>
  <c r="G176" i="36"/>
  <c r="G178" i="36"/>
  <c r="G187" i="36"/>
  <c r="G192" i="36"/>
  <c r="G194" i="36"/>
  <c r="G203" i="36"/>
  <c r="G22" i="36"/>
  <c r="G23" i="36"/>
  <c r="G37" i="36"/>
  <c r="G40" i="36"/>
  <c r="G42" i="36"/>
  <c r="G44" i="36"/>
  <c r="G53" i="36"/>
  <c r="G57" i="36"/>
  <c r="G76" i="36"/>
  <c r="G88" i="36"/>
  <c r="G91" i="36"/>
  <c r="G98" i="36"/>
  <c r="G100" i="36"/>
  <c r="G110" i="36"/>
  <c r="G111" i="36"/>
  <c r="G115" i="36"/>
  <c r="G129" i="36"/>
  <c r="G133" i="36"/>
  <c r="G135" i="36"/>
  <c r="G151" i="36"/>
  <c r="G156" i="36"/>
  <c r="G158" i="36"/>
  <c r="G167" i="36"/>
  <c r="G172" i="36"/>
  <c r="G174" i="36"/>
  <c r="G183" i="36"/>
  <c r="G188" i="36"/>
  <c r="G190" i="36"/>
  <c r="G199" i="36"/>
  <c r="G31" i="36"/>
  <c r="G46" i="36"/>
  <c r="G63" i="36"/>
  <c r="G78" i="36"/>
  <c r="G83" i="36"/>
  <c r="G99" i="36"/>
  <c r="G113" i="36"/>
  <c r="G117" i="36"/>
  <c r="G132" i="36"/>
  <c r="G146" i="36"/>
  <c r="G152" i="36"/>
  <c r="G154" i="36"/>
  <c r="G159" i="36"/>
  <c r="G184" i="36"/>
  <c r="G186" i="36"/>
  <c r="G191" i="36"/>
  <c r="G204" i="36"/>
  <c r="G211" i="36"/>
  <c r="G216" i="36"/>
  <c r="G225" i="36"/>
  <c r="G232" i="36"/>
  <c r="G241" i="36"/>
  <c r="G248" i="36"/>
  <c r="G257" i="36"/>
  <c r="G264" i="36"/>
  <c r="G273" i="36"/>
  <c r="G280" i="36"/>
  <c r="G47" i="36"/>
  <c r="G56" i="36"/>
  <c r="G68" i="36"/>
  <c r="G72" i="36"/>
  <c r="G79" i="36"/>
  <c r="G84" i="36"/>
  <c r="G94" i="36"/>
  <c r="G97" i="36"/>
  <c r="G101" i="36"/>
  <c r="G120" i="36"/>
  <c r="G130" i="36"/>
  <c r="G139" i="36"/>
  <c r="G147" i="36"/>
  <c r="G150" i="36"/>
  <c r="G164" i="36"/>
  <c r="G179" i="36"/>
  <c r="G182" i="36"/>
  <c r="G196" i="36"/>
  <c r="G207" i="36"/>
  <c r="G212" i="36"/>
  <c r="G214" i="36"/>
  <c r="G219" i="36"/>
  <c r="G235" i="36"/>
  <c r="G251" i="36"/>
  <c r="G267" i="36"/>
  <c r="G43" i="36"/>
  <c r="G50" i="36"/>
  <c r="G59" i="36"/>
  <c r="G64" i="36"/>
  <c r="G75" i="36"/>
  <c r="G82" i="36"/>
  <c r="G123" i="36"/>
  <c r="G136" i="36"/>
  <c r="G142" i="36"/>
  <c r="G168" i="36"/>
  <c r="G170" i="36"/>
  <c r="G175" i="36"/>
  <c r="G200" i="36"/>
  <c r="G208" i="36"/>
  <c r="G210" i="36"/>
  <c r="G220" i="36"/>
  <c r="G228" i="36"/>
  <c r="G236" i="36"/>
  <c r="G244" i="36"/>
  <c r="G252" i="36"/>
  <c r="G260" i="36"/>
  <c r="G268" i="36"/>
  <c r="G276" i="36"/>
  <c r="G284" i="36"/>
  <c r="G41" i="36"/>
  <c r="G60" i="36"/>
  <c r="G66" i="36"/>
  <c r="G95" i="36"/>
  <c r="G103" i="36"/>
  <c r="G119" i="36"/>
  <c r="G143" i="36"/>
  <c r="G148" i="36"/>
  <c r="G163" i="36"/>
  <c r="G166" i="36"/>
  <c r="G180" i="36"/>
  <c r="G195" i="36"/>
  <c r="G198" i="36"/>
  <c r="G202" i="36"/>
  <c r="G206" i="36"/>
  <c r="G215" i="36"/>
  <c r="G222" i="36"/>
  <c r="G224" i="36"/>
  <c r="G238" i="36"/>
  <c r="G240" i="36"/>
  <c r="G254" i="36"/>
  <c r="G256" i="36"/>
  <c r="G270" i="36"/>
  <c r="G272" i="36"/>
  <c r="G286" i="36"/>
  <c r="G290" i="36"/>
  <c r="G293" i="36"/>
  <c r="G283" i="36"/>
  <c r="G289" i="36"/>
  <c r="G295" i="36"/>
  <c r="G302" i="36"/>
  <c r="G308" i="36"/>
  <c r="G310" i="36"/>
  <c r="G311" i="36"/>
  <c r="G298" i="36"/>
  <c r="G305" i="36"/>
  <c r="G306" i="36"/>
  <c r="G314" i="36"/>
  <c r="G294" i="36"/>
  <c r="G299" i="36"/>
  <c r="G315" i="36"/>
  <c r="G296" i="36"/>
  <c r="G309" i="36"/>
  <c r="G312" i="36"/>
  <c r="G282" i="36"/>
  <c r="G250" i="36"/>
  <c r="G221" i="36"/>
  <c r="G125" i="36"/>
  <c r="G301" i="36"/>
  <c r="G249" i="36"/>
  <c r="G233" i="36"/>
  <c r="G217" i="36"/>
  <c r="G122" i="36"/>
  <c r="G278" i="36"/>
  <c r="G275" i="36"/>
  <c r="G230" i="36"/>
  <c r="G227" i="36"/>
  <c r="G65" i="36"/>
  <c r="G34" i="36"/>
  <c r="G93" i="36"/>
  <c r="G281" i="36"/>
  <c r="G265" i="36"/>
  <c r="G106" i="36"/>
  <c r="G90" i="36"/>
  <c r="G55" i="36"/>
  <c r="G300" i="36"/>
  <c r="G285" i="36"/>
  <c r="G234" i="36"/>
  <c r="G269" i="36"/>
  <c r="G304" i="36"/>
  <c r="G213" i="36"/>
  <c r="G197" i="36"/>
  <c r="G181" i="36"/>
  <c r="G157" i="36"/>
  <c r="G303" i="36"/>
  <c r="G262" i="36"/>
  <c r="G259" i="36"/>
  <c r="G209" i="36"/>
  <c r="G193" i="36"/>
  <c r="G177" i="36"/>
  <c r="G165" i="36"/>
  <c r="G153" i="36"/>
  <c r="G292" i="36"/>
  <c r="G52" i="36"/>
  <c r="G291" i="36"/>
  <c r="G297" i="36"/>
  <c r="G266" i="36"/>
  <c r="G218" i="36"/>
  <c r="G253" i="36"/>
  <c r="G109" i="36"/>
  <c r="G246" i="36"/>
  <c r="G243" i="36"/>
  <c r="G141" i="36"/>
  <c r="G77" i="36"/>
  <c r="G138" i="36"/>
  <c r="G39" i="36"/>
  <c r="G316" i="36"/>
  <c r="G237" i="36"/>
  <c r="G307" i="36"/>
  <c r="G201" i="36"/>
  <c r="G189" i="36"/>
  <c r="G173" i="36"/>
  <c r="G149" i="36"/>
  <c r="G10" i="36"/>
  <c r="G313" i="36"/>
  <c r="G205" i="36"/>
  <c r="G185" i="36"/>
  <c r="G169" i="36"/>
  <c r="G161" i="36"/>
  <c r="G288" i="36"/>
  <c r="G279" i="36"/>
  <c r="G263" i="36"/>
  <c r="G247" i="36"/>
  <c r="G231" i="36"/>
  <c r="G71" i="36"/>
  <c r="G287" i="36"/>
  <c r="G255" i="36"/>
  <c r="G223" i="36"/>
  <c r="G21" i="36"/>
  <c r="G134" i="36"/>
  <c r="G102" i="36"/>
  <c r="G30" i="36"/>
  <c r="G277" i="36"/>
  <c r="G258" i="36"/>
  <c r="G245" i="36"/>
  <c r="G226" i="36"/>
  <c r="G144" i="36"/>
  <c r="G128" i="36"/>
  <c r="G112" i="36"/>
  <c r="G96" i="36"/>
  <c r="G80" i="36"/>
  <c r="G74" i="36"/>
  <c r="G137" i="36"/>
  <c r="G124" i="36"/>
  <c r="G105" i="36"/>
  <c r="G92" i="36"/>
  <c r="G24" i="36"/>
  <c r="G73" i="36"/>
  <c r="G51" i="36"/>
  <c r="G33" i="36"/>
  <c r="G20" i="36"/>
  <c r="G271" i="36"/>
  <c r="G239" i="36"/>
  <c r="G49" i="36"/>
  <c r="G118" i="36"/>
  <c r="G86" i="36"/>
  <c r="G67" i="36"/>
  <c r="G45" i="36"/>
  <c r="G14" i="36"/>
  <c r="G18" i="36"/>
  <c r="G274" i="36"/>
  <c r="G261" i="36"/>
  <c r="G242" i="36"/>
  <c r="G229" i="36"/>
  <c r="G58" i="36"/>
  <c r="G140" i="36"/>
  <c r="G121" i="36"/>
  <c r="G108" i="36"/>
  <c r="G89" i="36"/>
  <c r="G61" i="36"/>
  <c r="G36" i="36"/>
  <c r="G70" i="36"/>
  <c r="G48" i="36"/>
  <c r="G35" i="36"/>
  <c r="G17" i="36"/>
  <c r="H19" i="32"/>
  <c r="H31" i="32"/>
  <c r="H61" i="32"/>
  <c r="H105" i="32"/>
  <c r="H151" i="32"/>
  <c r="H203" i="32"/>
  <c r="H235" i="32"/>
  <c r="H59" i="32"/>
  <c r="H103" i="32"/>
  <c r="H165" i="32"/>
  <c r="H215" i="32"/>
  <c r="H251" i="32"/>
  <c r="H63" i="32"/>
  <c r="H145" i="32"/>
  <c r="H227" i="32"/>
  <c r="H279" i="32"/>
  <c r="H26" i="32"/>
  <c r="H57" i="32"/>
  <c r="H141" i="32"/>
  <c r="H239" i="32"/>
  <c r="H15" i="32"/>
  <c r="H55" i="32"/>
  <c r="H163" i="32"/>
  <c r="H205" i="32"/>
  <c r="H291" i="32"/>
  <c r="H310" i="32"/>
  <c r="H65" i="32"/>
  <c r="H109" i="32"/>
  <c r="H201" i="32"/>
  <c r="H312" i="32"/>
  <c r="H269" i="32"/>
  <c r="H111" i="32"/>
  <c r="H274" i="32"/>
  <c r="H40" i="32"/>
  <c r="H90" i="32"/>
  <c r="H122" i="32"/>
  <c r="H249" i="32"/>
  <c r="H38" i="32"/>
  <c r="H264" i="32"/>
  <c r="H292" i="32"/>
  <c r="H214" i="32"/>
  <c r="H241" i="32"/>
  <c r="H190" i="32"/>
  <c r="H248" i="32"/>
  <c r="H30" i="32"/>
  <c r="H262" i="32"/>
  <c r="H98" i="32"/>
  <c r="H268" i="32"/>
  <c r="H74" i="32"/>
  <c r="H143" i="32"/>
  <c r="H186" i="32"/>
  <c r="H252" i="32"/>
  <c r="H52" i="32"/>
  <c r="H261" i="32"/>
  <c r="H202" i="32"/>
  <c r="H276" i="32"/>
  <c r="H56" i="32"/>
  <c r="H245" i="32"/>
  <c r="H100" i="32"/>
  <c r="H233" i="32"/>
  <c r="H196" i="32"/>
  <c r="H102" i="32"/>
  <c r="H72" i="32"/>
  <c r="H28" i="32"/>
  <c r="H152" i="32"/>
  <c r="H224" i="32"/>
  <c r="H160" i="32"/>
  <c r="H144" i="32"/>
  <c r="H12" i="32"/>
  <c r="H164" i="32"/>
  <c r="H132" i="32"/>
  <c r="H80" i="32"/>
  <c r="H16" i="32"/>
  <c r="H204" i="32"/>
  <c r="H200" i="32"/>
  <c r="H212" i="32"/>
  <c r="H124" i="32"/>
  <c r="H21" i="32"/>
  <c r="H32" i="32"/>
  <c r="H71" i="32"/>
  <c r="H129" i="32"/>
  <c r="H159" i="32"/>
  <c r="H213" i="32"/>
  <c r="H18" i="32"/>
  <c r="H69" i="32"/>
  <c r="H125" i="32"/>
  <c r="H169" i="32"/>
  <c r="H219" i="32"/>
  <c r="H259" i="32"/>
  <c r="H83" i="32"/>
  <c r="H147" i="32"/>
  <c r="H243" i="32"/>
  <c r="H287" i="32"/>
  <c r="H34" i="32"/>
  <c r="H99" i="32"/>
  <c r="H189" i="32"/>
  <c r="H255" i="32"/>
  <c r="H17" i="32"/>
  <c r="H97" i="32"/>
  <c r="H171" i="32"/>
  <c r="H267" i="32"/>
  <c r="H299" i="32"/>
  <c r="H13" i="32"/>
  <c r="H67" i="32"/>
  <c r="H155" i="32"/>
  <c r="H302" i="32"/>
  <c r="H301" i="32"/>
  <c r="H218" i="32"/>
  <c r="H23" i="32"/>
  <c r="H265" i="32"/>
  <c r="H305" i="32"/>
  <c r="H244" i="32"/>
  <c r="H94" i="32"/>
  <c r="H232" i="32"/>
  <c r="H296" i="32"/>
  <c r="H198" i="32"/>
  <c r="H282" i="32"/>
  <c r="H138" i="32"/>
  <c r="H158" i="32"/>
  <c r="H154" i="32"/>
  <c r="H194" i="32"/>
  <c r="H294" i="32"/>
  <c r="H134" i="32"/>
  <c r="H300" i="32"/>
  <c r="H237" i="32"/>
  <c r="H313" i="32"/>
  <c r="H46" i="32"/>
  <c r="H146" i="32"/>
  <c r="H234" i="32"/>
  <c r="H293" i="32"/>
  <c r="H107" i="32"/>
  <c r="H54" i="32"/>
  <c r="H266" i="32"/>
  <c r="H253" i="32"/>
  <c r="H228" i="32"/>
  <c r="H50" i="32"/>
  <c r="H170" i="32"/>
  <c r="H175" i="32"/>
  <c r="H128" i="32"/>
  <c r="H37" i="32"/>
  <c r="H24" i="32"/>
  <c r="H220" i="32"/>
  <c r="H211" i="32"/>
  <c r="H223" i="32"/>
  <c r="H92" i="32"/>
  <c r="H35" i="32"/>
  <c r="H104" i="32"/>
  <c r="H101" i="32"/>
  <c r="H22" i="32"/>
  <c r="H8" i="32"/>
  <c r="H172" i="32"/>
  <c r="H184" i="32"/>
  <c r="H191" i="32"/>
  <c r="H84" i="32"/>
  <c r="H27" i="32"/>
  <c r="H45" i="32"/>
  <c r="H81" i="32"/>
  <c r="H133" i="32"/>
  <c r="H177" i="32"/>
  <c r="H217" i="32"/>
  <c r="H43" i="32"/>
  <c r="H79" i="32"/>
  <c r="H131" i="32"/>
  <c r="H173" i="32"/>
  <c r="H231" i="32"/>
  <c r="H9" i="32"/>
  <c r="H89" i="32"/>
  <c r="H167" i="32"/>
  <c r="H263" i="32"/>
  <c r="H295" i="32"/>
  <c r="H36" i="32"/>
  <c r="H117" i="32"/>
  <c r="H209" i="32"/>
  <c r="H306" i="32"/>
  <c r="H33" i="32"/>
  <c r="H113" i="32"/>
  <c r="H185" i="32"/>
  <c r="H275" i="32"/>
  <c r="H303" i="32"/>
  <c r="H25" i="32"/>
  <c r="H85" i="32"/>
  <c r="H181" i="32"/>
  <c r="H308" i="32"/>
  <c r="H288" i="32"/>
  <c r="H106" i="32"/>
  <c r="H297" i="32"/>
  <c r="H222" i="32"/>
  <c r="H242" i="32"/>
  <c r="H210" i="32"/>
  <c r="H42" i="32"/>
  <c r="H166" i="32"/>
  <c r="H286" i="32"/>
  <c r="H309" i="32"/>
  <c r="H273" i="32"/>
  <c r="H78" i="32"/>
  <c r="H62" i="32"/>
  <c r="H118" i="32"/>
  <c r="H127" i="32"/>
  <c r="H285" i="32"/>
  <c r="H86" i="32"/>
  <c r="H290" i="32"/>
  <c r="H206" i="32"/>
  <c r="H254" i="32"/>
  <c r="H246" i="32"/>
  <c r="H114" i="32"/>
  <c r="H174" i="32"/>
  <c r="H280" i="32"/>
  <c r="H64" i="32"/>
  <c r="H298" i="32"/>
  <c r="H236" i="32"/>
  <c r="H226" i="32"/>
  <c r="H182" i="32"/>
  <c r="H260" i="32"/>
  <c r="H44" i="32"/>
  <c r="H148" i="32"/>
  <c r="H140" i="32"/>
  <c r="H73" i="32"/>
  <c r="H20" i="32"/>
  <c r="H188" i="32"/>
  <c r="H195" i="32"/>
  <c r="H180" i="32"/>
  <c r="H76" i="32"/>
  <c r="H75" i="32"/>
  <c r="H157" i="32"/>
  <c r="H108" i="32"/>
  <c r="H77" i="32"/>
  <c r="H176" i="32"/>
  <c r="H136" i="32"/>
  <c r="H168" i="32"/>
  <c r="H116" i="32"/>
  <c r="H70" i="32"/>
  <c r="H29" i="32"/>
  <c r="H53" i="32"/>
  <c r="H95" i="32"/>
  <c r="H137" i="32"/>
  <c r="H199" i="32"/>
  <c r="H221" i="32"/>
  <c r="H51" i="32"/>
  <c r="H93" i="32"/>
  <c r="H135" i="32"/>
  <c r="H193" i="32"/>
  <c r="H247" i="32"/>
  <c r="H47" i="32"/>
  <c r="H121" i="32"/>
  <c r="H197" i="32"/>
  <c r="H271" i="32"/>
  <c r="H307" i="32"/>
  <c r="H41" i="32"/>
  <c r="H119" i="32"/>
  <c r="H225" i="32"/>
  <c r="H10" i="32"/>
  <c r="H39" i="32"/>
  <c r="H115" i="32"/>
  <c r="H187" i="32"/>
  <c r="H283" i="32"/>
  <c r="H311" i="32"/>
  <c r="H49" i="32"/>
  <c r="H91" i="32"/>
  <c r="H183" i="32"/>
  <c r="H304" i="32"/>
  <c r="H278" i="32"/>
  <c r="H48" i="32"/>
  <c r="H284" i="32"/>
  <c r="H139" i="32"/>
  <c r="H178" i="32"/>
  <c r="H162" i="32"/>
  <c r="H258" i="32"/>
  <c r="H82" i="32"/>
  <c r="H277" i="32"/>
  <c r="H110" i="32"/>
  <c r="H238" i="32"/>
  <c r="H256" i="32"/>
  <c r="H230" i="32"/>
  <c r="H257" i="32"/>
  <c r="H60" i="32"/>
  <c r="H272" i="32"/>
  <c r="H14" i="32"/>
  <c r="H281" i="32"/>
  <c r="H130" i="32"/>
  <c r="H240" i="32"/>
  <c r="H229" i="32"/>
  <c r="H58" i="32"/>
  <c r="H126" i="32"/>
  <c r="H270" i="32"/>
  <c r="H7" i="32"/>
  <c r="H289" i="32"/>
  <c r="H150" i="32"/>
  <c r="H142" i="32"/>
  <c r="H123" i="32"/>
  <c r="H250" i="32"/>
  <c r="H87" i="32"/>
  <c r="H153" i="32"/>
  <c r="H88" i="32"/>
  <c r="H208" i="32"/>
  <c r="H156" i="32"/>
  <c r="H179" i="32"/>
  <c r="H161" i="32"/>
  <c r="H68" i="32"/>
  <c r="H207" i="32"/>
  <c r="H149" i="32"/>
  <c r="H96" i="32"/>
  <c r="H66" i="32"/>
  <c r="H120" i="32"/>
  <c r="H216" i="32"/>
  <c r="H192" i="32"/>
  <c r="H112" i="32"/>
  <c r="H11" i="32"/>
  <c r="I14" i="36"/>
  <c r="I20" i="36"/>
  <c r="I28" i="36"/>
  <c r="I31" i="36"/>
  <c r="I32" i="36"/>
  <c r="I12" i="36"/>
  <c r="I15" i="36"/>
  <c r="I16" i="36"/>
  <c r="I27" i="36"/>
  <c r="I11" i="36"/>
  <c r="I23" i="36"/>
  <c r="I30" i="36"/>
  <c r="I35" i="36"/>
  <c r="I41" i="36"/>
  <c r="I43" i="36"/>
  <c r="I47" i="36"/>
  <c r="I51" i="36"/>
  <c r="I63" i="36"/>
  <c r="I67" i="36"/>
  <c r="I73" i="36"/>
  <c r="I82" i="36"/>
  <c r="I95" i="36"/>
  <c r="I99" i="36"/>
  <c r="I102" i="36"/>
  <c r="I119" i="36"/>
  <c r="I120" i="36"/>
  <c r="I122" i="36"/>
  <c r="I124" i="36"/>
  <c r="I128" i="36"/>
  <c r="I139" i="36"/>
  <c r="I146" i="36"/>
  <c r="I147" i="36"/>
  <c r="I152" i="36"/>
  <c r="I163" i="36"/>
  <c r="I168" i="36"/>
  <c r="I179" i="36"/>
  <c r="I184" i="36"/>
  <c r="I195" i="36"/>
  <c r="I200" i="36"/>
  <c r="I19" i="36"/>
  <c r="I26" i="36"/>
  <c r="I45" i="36"/>
  <c r="I46" i="36"/>
  <c r="I50" i="36"/>
  <c r="I60" i="36"/>
  <c r="I64" i="36"/>
  <c r="I68" i="36"/>
  <c r="I69" i="36"/>
  <c r="I72" i="36"/>
  <c r="I79" i="36"/>
  <c r="I83" i="36"/>
  <c r="I86" i="36"/>
  <c r="I103" i="36"/>
  <c r="I104" i="36"/>
  <c r="I106" i="36"/>
  <c r="I108" i="36"/>
  <c r="I112" i="36"/>
  <c r="I123" i="36"/>
  <c r="I130" i="36"/>
  <c r="I143" i="36"/>
  <c r="I148" i="36"/>
  <c r="I159" i="36"/>
  <c r="I164" i="36"/>
  <c r="I175" i="36"/>
  <c r="I180" i="36"/>
  <c r="I191" i="36"/>
  <c r="I196" i="36"/>
  <c r="I54" i="36"/>
  <c r="I88" i="36"/>
  <c r="I96" i="36"/>
  <c r="I107" i="36"/>
  <c r="I111" i="36"/>
  <c r="I127" i="36"/>
  <c r="I138" i="36"/>
  <c r="I171" i="36"/>
  <c r="I176" i="36"/>
  <c r="I208" i="36"/>
  <c r="I220" i="36"/>
  <c r="I223" i="36"/>
  <c r="I228" i="36"/>
  <c r="I236" i="36"/>
  <c r="I239" i="36"/>
  <c r="I244" i="36"/>
  <c r="I252" i="36"/>
  <c r="I255" i="36"/>
  <c r="I260" i="36"/>
  <c r="I268" i="36"/>
  <c r="I271" i="36"/>
  <c r="I276" i="36"/>
  <c r="I38" i="36"/>
  <c r="I42" i="36"/>
  <c r="I61" i="36"/>
  <c r="I76" i="36"/>
  <c r="I91" i="36"/>
  <c r="I92" i="36"/>
  <c r="I115" i="36"/>
  <c r="I144" i="36"/>
  <c r="I156" i="36"/>
  <c r="I167" i="36"/>
  <c r="I188" i="36"/>
  <c r="I199" i="36"/>
  <c r="I215" i="36"/>
  <c r="I221" i="36"/>
  <c r="I224" i="36"/>
  <c r="I225" i="36"/>
  <c r="I237" i="36"/>
  <c r="I240" i="36"/>
  <c r="I241" i="36"/>
  <c r="I253" i="36"/>
  <c r="I256" i="36"/>
  <c r="I257" i="36"/>
  <c r="I269" i="36"/>
  <c r="I272" i="36"/>
  <c r="I273" i="36"/>
  <c r="I87" i="36"/>
  <c r="I90" i="36"/>
  <c r="I114" i="36"/>
  <c r="I118" i="36"/>
  <c r="I135" i="36"/>
  <c r="I155" i="36"/>
  <c r="I160" i="36"/>
  <c r="I187" i="36"/>
  <c r="I192" i="36"/>
  <c r="I203" i="36"/>
  <c r="I204" i="36"/>
  <c r="I211" i="36"/>
  <c r="I216" i="36"/>
  <c r="I232" i="36"/>
  <c r="I248" i="36"/>
  <c r="I264" i="36"/>
  <c r="I280" i="36"/>
  <c r="I57" i="36"/>
  <c r="I80" i="36"/>
  <c r="I98" i="36"/>
  <c r="I131" i="36"/>
  <c r="I134" i="36"/>
  <c r="I136" i="36"/>
  <c r="I140" i="36"/>
  <c r="I151" i="36"/>
  <c r="I172" i="36"/>
  <c r="I183" i="36"/>
  <c r="I207" i="36"/>
  <c r="I212" i="36"/>
  <c r="I219" i="36"/>
  <c r="I227" i="36"/>
  <c r="I229" i="36"/>
  <c r="I235" i="36"/>
  <c r="I243" i="36"/>
  <c r="I245" i="36"/>
  <c r="I251" i="36"/>
  <c r="I259" i="36"/>
  <c r="I261" i="36"/>
  <c r="I267" i="36"/>
  <c r="I275" i="36"/>
  <c r="I277" i="36"/>
  <c r="I283" i="36"/>
  <c r="I293" i="36"/>
  <c r="I294" i="36"/>
  <c r="I289" i="36"/>
  <c r="I290" i="36"/>
  <c r="I295" i="36"/>
  <c r="I309" i="36"/>
  <c r="I311" i="36"/>
  <c r="I284" i="36"/>
  <c r="I287" i="36"/>
  <c r="I297" i="36"/>
  <c r="I302" i="36"/>
  <c r="I310" i="36"/>
  <c r="I313" i="36"/>
  <c r="I285" i="36"/>
  <c r="I298" i="36"/>
  <c r="I299" i="36"/>
  <c r="I306" i="36"/>
  <c r="I314" i="36"/>
  <c r="I315" i="36"/>
  <c r="I304" i="36"/>
  <c r="I109" i="36"/>
  <c r="I292" i="36"/>
  <c r="I213" i="36"/>
  <c r="I197" i="36"/>
  <c r="I181" i="36"/>
  <c r="I157" i="36"/>
  <c r="I10" i="36"/>
  <c r="I246" i="36"/>
  <c r="I307" i="36"/>
  <c r="I291" i="36"/>
  <c r="I279" i="36"/>
  <c r="I141" i="36"/>
  <c r="I77" i="36"/>
  <c r="I303" i="36"/>
  <c r="I209" i="36"/>
  <c r="I193" i="36"/>
  <c r="I177" i="36"/>
  <c r="I165" i="36"/>
  <c r="I153" i="36"/>
  <c r="I116" i="36"/>
  <c r="I100" i="36"/>
  <c r="I84" i="36"/>
  <c r="I145" i="36"/>
  <c r="I39" i="36"/>
  <c r="I274" i="36"/>
  <c r="I206" i="36"/>
  <c r="I194" i="36"/>
  <c r="I182" i="36"/>
  <c r="I170" i="36"/>
  <c r="I126" i="36"/>
  <c r="I62" i="36"/>
  <c r="I312" i="36"/>
  <c r="I247" i="36"/>
  <c r="I55" i="36"/>
  <c r="I226" i="36"/>
  <c r="I190" i="36"/>
  <c r="I178" i="36"/>
  <c r="I166" i="36"/>
  <c r="I154" i="36"/>
  <c r="I142" i="36"/>
  <c r="I78" i="36"/>
  <c r="I263" i="36"/>
  <c r="I125" i="36"/>
  <c r="I288" i="36"/>
  <c r="I201" i="36"/>
  <c r="I189" i="36"/>
  <c r="I173" i="36"/>
  <c r="I149" i="36"/>
  <c r="I278" i="36"/>
  <c r="I230" i="36"/>
  <c r="I34" i="36"/>
  <c r="I93" i="36"/>
  <c r="I316" i="36"/>
  <c r="I300" i="36"/>
  <c r="I205" i="36"/>
  <c r="I185" i="36"/>
  <c r="I169" i="36"/>
  <c r="I161" i="36"/>
  <c r="I132" i="36"/>
  <c r="I308" i="36"/>
  <c r="I301" i="36"/>
  <c r="I282" i="36"/>
  <c r="I281" i="36"/>
  <c r="I266" i="36"/>
  <c r="I265" i="36"/>
  <c r="I250" i="36"/>
  <c r="I249" i="36"/>
  <c r="I234" i="36"/>
  <c r="I233" i="36"/>
  <c r="I218" i="36"/>
  <c r="I217" i="36"/>
  <c r="I113" i="36"/>
  <c r="I97" i="36"/>
  <c r="I81" i="36"/>
  <c r="I71" i="36"/>
  <c r="I242" i="36"/>
  <c r="I214" i="36"/>
  <c r="I202" i="36"/>
  <c r="I231" i="36"/>
  <c r="I305" i="36"/>
  <c r="I296" i="36"/>
  <c r="I262" i="36"/>
  <c r="I65" i="36"/>
  <c r="I129" i="36"/>
  <c r="I258" i="36"/>
  <c r="I210" i="36"/>
  <c r="I198" i="36"/>
  <c r="I186" i="36"/>
  <c r="I94" i="36"/>
  <c r="I270" i="36"/>
  <c r="I238" i="36"/>
  <c r="I105" i="36"/>
  <c r="I49" i="36"/>
  <c r="I117" i="36"/>
  <c r="I85" i="36"/>
  <c r="I56" i="36"/>
  <c r="I25" i="36"/>
  <c r="I66" i="36"/>
  <c r="I48" i="36"/>
  <c r="I44" i="36"/>
  <c r="I13" i="36"/>
  <c r="I158" i="36"/>
  <c r="I110" i="36"/>
  <c r="I52" i="36"/>
  <c r="I18" i="36"/>
  <c r="I58" i="36"/>
  <c r="I121" i="36"/>
  <c r="I59" i="36"/>
  <c r="I36" i="36"/>
  <c r="I22" i="36"/>
  <c r="I174" i="36"/>
  <c r="I162" i="36"/>
  <c r="I150" i="36"/>
  <c r="I286" i="36"/>
  <c r="I254" i="36"/>
  <c r="I222" i="36"/>
  <c r="I137" i="36"/>
  <c r="I21" i="36"/>
  <c r="I133" i="36"/>
  <c r="I101" i="36"/>
  <c r="I40" i="36"/>
  <c r="I37" i="36"/>
  <c r="I17" i="36"/>
  <c r="I29" i="36"/>
  <c r="I74" i="36"/>
  <c r="I89" i="36"/>
  <c r="I75" i="36"/>
  <c r="I24" i="36"/>
  <c r="I70" i="36"/>
  <c r="I53" i="36"/>
  <c r="I33" i="36"/>
  <c r="J11" i="36"/>
  <c r="J23" i="36"/>
  <c r="J24" i="36"/>
  <c r="J29" i="36"/>
  <c r="J33" i="36"/>
  <c r="J35" i="36"/>
  <c r="J13" i="36"/>
  <c r="J17" i="36"/>
  <c r="J15" i="36"/>
  <c r="J16" i="36"/>
  <c r="J19" i="36"/>
  <c r="J27" i="36"/>
  <c r="J38" i="36"/>
  <c r="J46" i="36"/>
  <c r="J31" i="36"/>
  <c r="J48" i="36"/>
  <c r="J57" i="36"/>
  <c r="J61" i="36"/>
  <c r="J76" i="36"/>
  <c r="J80" i="36"/>
  <c r="J91" i="36"/>
  <c r="J111" i="36"/>
  <c r="J115" i="36"/>
  <c r="J117" i="36"/>
  <c r="J121" i="36"/>
  <c r="J135" i="36"/>
  <c r="J136" i="36"/>
  <c r="J140" i="36"/>
  <c r="J144" i="36"/>
  <c r="J156" i="36"/>
  <c r="J172" i="36"/>
  <c r="J188" i="36"/>
  <c r="J204" i="36"/>
  <c r="J20" i="36"/>
  <c r="J47" i="36"/>
  <c r="J51" i="36"/>
  <c r="J66" i="36"/>
  <c r="J70" i="36"/>
  <c r="J73" i="36"/>
  <c r="J74" i="36"/>
  <c r="J95" i="36"/>
  <c r="J99" i="36"/>
  <c r="J101" i="36"/>
  <c r="J105" i="36"/>
  <c r="J119" i="36"/>
  <c r="J120" i="36"/>
  <c r="J124" i="36"/>
  <c r="J128" i="36"/>
  <c r="J139" i="36"/>
  <c r="J152" i="36"/>
  <c r="J168" i="36"/>
  <c r="J184" i="36"/>
  <c r="J200" i="36"/>
  <c r="J32" i="36"/>
  <c r="J60" i="36"/>
  <c r="J69" i="36"/>
  <c r="J103" i="36"/>
  <c r="J112" i="36"/>
  <c r="J131" i="36"/>
  <c r="J137" i="36"/>
  <c r="J143" i="36"/>
  <c r="J148" i="36"/>
  <c r="J180" i="36"/>
  <c r="J212" i="36"/>
  <c r="J229" i="36"/>
  <c r="J245" i="36"/>
  <c r="J261" i="36"/>
  <c r="J277" i="36"/>
  <c r="J54" i="36"/>
  <c r="J83" i="36"/>
  <c r="J88" i="36"/>
  <c r="J96" i="36"/>
  <c r="J107" i="36"/>
  <c r="J127" i="36"/>
  <c r="J176" i="36"/>
  <c r="J208" i="36"/>
  <c r="J220" i="36"/>
  <c r="J222" i="36"/>
  <c r="J226" i="36"/>
  <c r="J228" i="36"/>
  <c r="J236" i="36"/>
  <c r="J238" i="36"/>
  <c r="J242" i="36"/>
  <c r="J244" i="36"/>
  <c r="J252" i="36"/>
  <c r="J254" i="36"/>
  <c r="J258" i="36"/>
  <c r="J260" i="36"/>
  <c r="J268" i="36"/>
  <c r="J270" i="36"/>
  <c r="J274" i="36"/>
  <c r="J276" i="36"/>
  <c r="J42" i="36"/>
  <c r="J68" i="36"/>
  <c r="J72" i="36"/>
  <c r="J79" i="36"/>
  <c r="J89" i="36"/>
  <c r="J92" i="36"/>
  <c r="J104" i="36"/>
  <c r="J108" i="36"/>
  <c r="J133" i="36"/>
  <c r="J164" i="36"/>
  <c r="J196" i="36"/>
  <c r="J224" i="36"/>
  <c r="J225" i="36"/>
  <c r="J230" i="36"/>
  <c r="J240" i="36"/>
  <c r="J241" i="36"/>
  <c r="J246" i="36"/>
  <c r="J256" i="36"/>
  <c r="J257" i="36"/>
  <c r="J262" i="36"/>
  <c r="J272" i="36"/>
  <c r="J273" i="36"/>
  <c r="J278" i="36"/>
  <c r="J44" i="36"/>
  <c r="J50" i="36"/>
  <c r="J64" i="36"/>
  <c r="J85" i="36"/>
  <c r="J87" i="36"/>
  <c r="J123" i="36"/>
  <c r="J160" i="36"/>
  <c r="J192" i="36"/>
  <c r="J216" i="36"/>
  <c r="J232" i="36"/>
  <c r="J248" i="36"/>
  <c r="J264" i="36"/>
  <c r="J280" i="36"/>
  <c r="J294" i="36"/>
  <c r="J298" i="36"/>
  <c r="J299" i="36"/>
  <c r="J303" i="36"/>
  <c r="J306" i="36"/>
  <c r="J314" i="36"/>
  <c r="J315" i="36"/>
  <c r="J286" i="36"/>
  <c r="J296" i="36"/>
  <c r="J300" i="36"/>
  <c r="J312" i="36"/>
  <c r="J290" i="36"/>
  <c r="J316" i="36"/>
  <c r="J284" i="36"/>
  <c r="J302" i="36"/>
  <c r="J310" i="36"/>
  <c r="J263" i="36"/>
  <c r="J288" i="36"/>
  <c r="J201" i="36"/>
  <c r="J189" i="36"/>
  <c r="J173" i="36"/>
  <c r="J149" i="36"/>
  <c r="J309" i="36"/>
  <c r="J295" i="36"/>
  <c r="J243" i="36"/>
  <c r="J297" i="36"/>
  <c r="J205" i="36"/>
  <c r="J185" i="36"/>
  <c r="J169" i="36"/>
  <c r="J161" i="36"/>
  <c r="J138" i="36"/>
  <c r="J132" i="36"/>
  <c r="J282" i="36"/>
  <c r="J266" i="36"/>
  <c r="J250" i="36"/>
  <c r="J234" i="36"/>
  <c r="J218" i="36"/>
  <c r="J125" i="36"/>
  <c r="J113" i="36"/>
  <c r="J97" i="36"/>
  <c r="J81" i="36"/>
  <c r="J239" i="36"/>
  <c r="J214" i="36"/>
  <c r="J202" i="36"/>
  <c r="J174" i="36"/>
  <c r="J162" i="36"/>
  <c r="J150" i="36"/>
  <c r="J94" i="36"/>
  <c r="J52" i="36"/>
  <c r="J281" i="36"/>
  <c r="J58" i="36"/>
  <c r="J231" i="36"/>
  <c r="J308" i="36"/>
  <c r="J217" i="36"/>
  <c r="J65" i="36"/>
  <c r="J141" i="36"/>
  <c r="J129" i="36"/>
  <c r="J71" i="36"/>
  <c r="J39" i="36"/>
  <c r="J255" i="36"/>
  <c r="J210" i="36"/>
  <c r="J198" i="36"/>
  <c r="J186" i="36"/>
  <c r="J158" i="36"/>
  <c r="J110" i="36"/>
  <c r="J301" i="36"/>
  <c r="J313" i="36"/>
  <c r="J292" i="36"/>
  <c r="J213" i="36"/>
  <c r="J197" i="36"/>
  <c r="J181" i="36"/>
  <c r="J157" i="36"/>
  <c r="J122" i="36"/>
  <c r="J10" i="36"/>
  <c r="J311" i="36"/>
  <c r="J293" i="36"/>
  <c r="J275" i="36"/>
  <c r="J249" i="36"/>
  <c r="J227" i="36"/>
  <c r="J34" i="36"/>
  <c r="J279" i="36"/>
  <c r="J209" i="36"/>
  <c r="J193" i="36"/>
  <c r="J177" i="36"/>
  <c r="J165" i="36"/>
  <c r="J153" i="36"/>
  <c r="J116" i="36"/>
  <c r="J106" i="36"/>
  <c r="J100" i="36"/>
  <c r="J90" i="36"/>
  <c r="J84" i="36"/>
  <c r="J305" i="36"/>
  <c r="J145" i="36"/>
  <c r="J271" i="36"/>
  <c r="J206" i="36"/>
  <c r="J194" i="36"/>
  <c r="J182" i="36"/>
  <c r="J265" i="36"/>
  <c r="J291" i="36"/>
  <c r="J259" i="36"/>
  <c r="J233" i="36"/>
  <c r="J247" i="36"/>
  <c r="J55" i="36"/>
  <c r="J307" i="36"/>
  <c r="J304" i="36"/>
  <c r="J285" i="36"/>
  <c r="J269" i="36"/>
  <c r="J253" i="36"/>
  <c r="J237" i="36"/>
  <c r="J221" i="36"/>
  <c r="J109" i="36"/>
  <c r="J93" i="36"/>
  <c r="J77" i="36"/>
  <c r="J287" i="36"/>
  <c r="J223" i="36"/>
  <c r="J190" i="36"/>
  <c r="J126" i="36"/>
  <c r="J283" i="36"/>
  <c r="J251" i="36"/>
  <c r="J219" i="36"/>
  <c r="J134" i="36"/>
  <c r="J49" i="36"/>
  <c r="J211" i="36"/>
  <c r="J195" i="36"/>
  <c r="J179" i="36"/>
  <c r="J163" i="36"/>
  <c r="J147" i="36"/>
  <c r="J130" i="36"/>
  <c r="J98" i="36"/>
  <c r="J40" i="36"/>
  <c r="J37" i="36"/>
  <c r="J14" i="36"/>
  <c r="J26" i="36"/>
  <c r="J178" i="36"/>
  <c r="J166" i="36"/>
  <c r="J154" i="36"/>
  <c r="J142" i="36"/>
  <c r="J18" i="36"/>
  <c r="J86" i="36"/>
  <c r="J75" i="36"/>
  <c r="J207" i="36"/>
  <c r="J191" i="36"/>
  <c r="J175" i="36"/>
  <c r="J159" i="36"/>
  <c r="J36" i="36"/>
  <c r="J67" i="36"/>
  <c r="J53" i="36"/>
  <c r="J28" i="36"/>
  <c r="J30" i="36"/>
  <c r="J170" i="36"/>
  <c r="J62" i="36"/>
  <c r="J267" i="36"/>
  <c r="J235" i="36"/>
  <c r="J102" i="36"/>
  <c r="J21" i="36"/>
  <c r="J203" i="36"/>
  <c r="J187" i="36"/>
  <c r="J171" i="36"/>
  <c r="J155" i="36"/>
  <c r="J146" i="36"/>
  <c r="J114" i="36"/>
  <c r="J82" i="36"/>
  <c r="J56" i="36"/>
  <c r="J25" i="36"/>
  <c r="J63" i="36"/>
  <c r="J45" i="36"/>
  <c r="J41" i="36"/>
  <c r="J78" i="36"/>
  <c r="J289" i="36"/>
  <c r="J118" i="36"/>
  <c r="J59" i="36"/>
  <c r="J215" i="36"/>
  <c r="J199" i="36"/>
  <c r="J183" i="36"/>
  <c r="J167" i="36"/>
  <c r="J151" i="36"/>
  <c r="J43" i="36"/>
  <c r="J12" i="36"/>
  <c r="J22" i="36"/>
  <c r="E31" i="36"/>
  <c r="E15" i="36"/>
  <c r="E19" i="36"/>
  <c r="E14" i="36"/>
  <c r="E16" i="36"/>
  <c r="E20" i="36"/>
  <c r="E26" i="36"/>
  <c r="E27" i="36"/>
  <c r="E11" i="36"/>
  <c r="E23" i="36"/>
  <c r="E45" i="36"/>
  <c r="E32" i="36"/>
  <c r="E35" i="36"/>
  <c r="E53" i="36"/>
  <c r="E57" i="36"/>
  <c r="E92" i="36"/>
  <c r="E95" i="36"/>
  <c r="E98" i="36"/>
  <c r="E99" i="36"/>
  <c r="E112" i="36"/>
  <c r="E119" i="36"/>
  <c r="E134" i="36"/>
  <c r="E136" i="36"/>
  <c r="E139" i="36"/>
  <c r="E151" i="36"/>
  <c r="E152" i="36"/>
  <c r="E167" i="36"/>
  <c r="E168" i="36"/>
  <c r="E183" i="36"/>
  <c r="E184" i="36"/>
  <c r="E199" i="36"/>
  <c r="E200" i="36"/>
  <c r="E30" i="36"/>
  <c r="E41" i="36"/>
  <c r="E47" i="36"/>
  <c r="E50" i="36"/>
  <c r="E60" i="36"/>
  <c r="E63" i="36"/>
  <c r="E64" i="36"/>
  <c r="E68" i="36"/>
  <c r="E72" i="36"/>
  <c r="E75" i="36"/>
  <c r="E79" i="36"/>
  <c r="E82" i="36"/>
  <c r="E83" i="36"/>
  <c r="E96" i="36"/>
  <c r="E103" i="36"/>
  <c r="E118" i="36"/>
  <c r="E120" i="36"/>
  <c r="E123" i="36"/>
  <c r="E140" i="36"/>
  <c r="E143" i="36"/>
  <c r="E146" i="36"/>
  <c r="E147" i="36"/>
  <c r="E148" i="36"/>
  <c r="E163" i="36"/>
  <c r="E164" i="36"/>
  <c r="E179" i="36"/>
  <c r="E180" i="36"/>
  <c r="E195" i="36"/>
  <c r="E196" i="36"/>
  <c r="E38" i="36"/>
  <c r="E42" i="36"/>
  <c r="E61" i="36"/>
  <c r="E86" i="36"/>
  <c r="E87" i="36"/>
  <c r="E104" i="36"/>
  <c r="E130" i="36"/>
  <c r="E135" i="36"/>
  <c r="E144" i="36"/>
  <c r="E160" i="36"/>
  <c r="E192" i="36"/>
  <c r="E203" i="36"/>
  <c r="E207" i="36"/>
  <c r="E208" i="36"/>
  <c r="E219" i="36"/>
  <c r="E220" i="36"/>
  <c r="E228" i="36"/>
  <c r="E235" i="36"/>
  <c r="E236" i="36"/>
  <c r="E244" i="36"/>
  <c r="E251" i="36"/>
  <c r="E252" i="36"/>
  <c r="E260" i="36"/>
  <c r="E267" i="36"/>
  <c r="E268" i="36"/>
  <c r="E276" i="36"/>
  <c r="E283" i="36"/>
  <c r="E102" i="36"/>
  <c r="E108" i="36"/>
  <c r="E114" i="36"/>
  <c r="E128" i="36"/>
  <c r="E131" i="36"/>
  <c r="E155" i="36"/>
  <c r="E172" i="36"/>
  <c r="E175" i="36"/>
  <c r="E187" i="36"/>
  <c r="E224" i="36"/>
  <c r="E229" i="36"/>
  <c r="E240" i="36"/>
  <c r="E245" i="36"/>
  <c r="E256" i="36"/>
  <c r="E261" i="36"/>
  <c r="E272" i="36"/>
  <c r="E277" i="36"/>
  <c r="E54" i="36"/>
  <c r="E69" i="36"/>
  <c r="E73" i="36"/>
  <c r="E80" i="36"/>
  <c r="E107" i="36"/>
  <c r="E111" i="36"/>
  <c r="E127" i="36"/>
  <c r="E176" i="36"/>
  <c r="E215" i="36"/>
  <c r="E216" i="36"/>
  <c r="E223" i="36"/>
  <c r="E225" i="36"/>
  <c r="E232" i="36"/>
  <c r="E239" i="36"/>
  <c r="E241" i="36"/>
  <c r="E248" i="36"/>
  <c r="E255" i="36"/>
  <c r="E257" i="36"/>
  <c r="E264" i="36"/>
  <c r="E271" i="36"/>
  <c r="E273" i="36"/>
  <c r="E280" i="36"/>
  <c r="E287" i="36"/>
  <c r="E46" i="36"/>
  <c r="E51" i="36"/>
  <c r="E67" i="36"/>
  <c r="E76" i="36"/>
  <c r="E88" i="36"/>
  <c r="E91" i="36"/>
  <c r="E115" i="36"/>
  <c r="E124" i="36"/>
  <c r="E156" i="36"/>
  <c r="E159" i="36"/>
  <c r="E171" i="36"/>
  <c r="E188" i="36"/>
  <c r="E191" i="36"/>
  <c r="E204" i="36"/>
  <c r="E211" i="36"/>
  <c r="E212" i="36"/>
  <c r="E217" i="36"/>
  <c r="E233" i="36"/>
  <c r="E249" i="36"/>
  <c r="E265" i="36"/>
  <c r="E281" i="36"/>
  <c r="E284" i="36"/>
  <c r="E299" i="36"/>
  <c r="E305" i="36"/>
  <c r="E315" i="36"/>
  <c r="E294" i="36"/>
  <c r="E290" i="36"/>
  <c r="E293" i="36"/>
  <c r="E302" i="36"/>
  <c r="E309" i="36"/>
  <c r="E310" i="36"/>
  <c r="E289" i="36"/>
  <c r="E298" i="36"/>
  <c r="E303" i="36"/>
  <c r="E306" i="36"/>
  <c r="E314" i="36"/>
  <c r="E231" i="36"/>
  <c r="E312" i="36"/>
  <c r="E259" i="36"/>
  <c r="E65" i="36"/>
  <c r="E307" i="36"/>
  <c r="E226" i="36"/>
  <c r="E190" i="36"/>
  <c r="E178" i="36"/>
  <c r="E166" i="36"/>
  <c r="E154" i="36"/>
  <c r="E110" i="36"/>
  <c r="E125" i="36"/>
  <c r="E288" i="36"/>
  <c r="E201" i="36"/>
  <c r="E189" i="36"/>
  <c r="E173" i="36"/>
  <c r="E149" i="36"/>
  <c r="E278" i="36"/>
  <c r="E243" i="36"/>
  <c r="E230" i="36"/>
  <c r="E279" i="36"/>
  <c r="E93" i="36"/>
  <c r="E316" i="36"/>
  <c r="E300" i="36"/>
  <c r="E205" i="36"/>
  <c r="E185" i="36"/>
  <c r="E169" i="36"/>
  <c r="E161" i="36"/>
  <c r="E138" i="36"/>
  <c r="E116" i="36"/>
  <c r="E100" i="36"/>
  <c r="E84" i="36"/>
  <c r="E308" i="36"/>
  <c r="E282" i="36"/>
  <c r="E266" i="36"/>
  <c r="E250" i="36"/>
  <c r="E234" i="36"/>
  <c r="E218" i="36"/>
  <c r="E113" i="36"/>
  <c r="E97" i="36"/>
  <c r="E81" i="36"/>
  <c r="E242" i="36"/>
  <c r="E214" i="36"/>
  <c r="E202" i="36"/>
  <c r="E174" i="36"/>
  <c r="E162" i="36"/>
  <c r="E150" i="36"/>
  <c r="E126" i="36"/>
  <c r="E295" i="36"/>
  <c r="E296" i="36"/>
  <c r="E262" i="36"/>
  <c r="E247" i="36"/>
  <c r="E55" i="36"/>
  <c r="E313" i="36"/>
  <c r="E297" i="36"/>
  <c r="E285" i="36"/>
  <c r="E269" i="36"/>
  <c r="E253" i="36"/>
  <c r="E237" i="36"/>
  <c r="E221" i="36"/>
  <c r="E129" i="36"/>
  <c r="E71" i="36"/>
  <c r="E258" i="36"/>
  <c r="E210" i="36"/>
  <c r="E198" i="36"/>
  <c r="E186" i="36"/>
  <c r="E311" i="36"/>
  <c r="E304" i="36"/>
  <c r="E263" i="36"/>
  <c r="E109" i="36"/>
  <c r="E292" i="36"/>
  <c r="E213" i="36"/>
  <c r="E197" i="36"/>
  <c r="E181" i="36"/>
  <c r="E157" i="36"/>
  <c r="E122" i="36"/>
  <c r="E10" i="36"/>
  <c r="E301" i="36"/>
  <c r="E275" i="36"/>
  <c r="E246" i="36"/>
  <c r="E227" i="36"/>
  <c r="E34" i="36"/>
  <c r="E291" i="36"/>
  <c r="E141" i="36"/>
  <c r="E77" i="36"/>
  <c r="E209" i="36"/>
  <c r="E193" i="36"/>
  <c r="E177" i="36"/>
  <c r="E165" i="36"/>
  <c r="E153" i="36"/>
  <c r="E132" i="36"/>
  <c r="E106" i="36"/>
  <c r="E90" i="36"/>
  <c r="E145" i="36"/>
  <c r="E39" i="36"/>
  <c r="E274" i="36"/>
  <c r="E206" i="36"/>
  <c r="E194" i="36"/>
  <c r="E182" i="36"/>
  <c r="E158" i="36"/>
  <c r="E78" i="36"/>
  <c r="E52" i="36"/>
  <c r="E58" i="36"/>
  <c r="E121" i="36"/>
  <c r="E36" i="36"/>
  <c r="E28" i="36"/>
  <c r="E170" i="36"/>
  <c r="E94" i="36"/>
  <c r="E62" i="36"/>
  <c r="E286" i="36"/>
  <c r="E254" i="36"/>
  <c r="E222" i="36"/>
  <c r="E137" i="36"/>
  <c r="E49" i="36"/>
  <c r="E21" i="36"/>
  <c r="E133" i="36"/>
  <c r="E101" i="36"/>
  <c r="E40" i="36"/>
  <c r="E17" i="36"/>
  <c r="E29" i="36"/>
  <c r="E142" i="36"/>
  <c r="E18" i="36"/>
  <c r="E74" i="36"/>
  <c r="E89" i="36"/>
  <c r="E59" i="36"/>
  <c r="E24" i="36"/>
  <c r="E70" i="36"/>
  <c r="E43" i="36"/>
  <c r="E12" i="36"/>
  <c r="E22" i="36"/>
  <c r="E33" i="36"/>
  <c r="E270" i="36"/>
  <c r="E238" i="36"/>
  <c r="E105" i="36"/>
  <c r="E117" i="36"/>
  <c r="E85" i="36"/>
  <c r="E56" i="36"/>
  <c r="E25" i="36"/>
  <c r="E66" i="36"/>
  <c r="E37" i="36"/>
  <c r="E48" i="36"/>
  <c r="E44" i="36"/>
  <c r="E13" i="36"/>
  <c r="F11" i="36"/>
  <c r="F23" i="36"/>
  <c r="F13" i="36"/>
  <c r="F15" i="36"/>
  <c r="F19" i="36"/>
  <c r="F16" i="36"/>
  <c r="F17" i="36"/>
  <c r="F20" i="36"/>
  <c r="F27" i="36"/>
  <c r="F38" i="36"/>
  <c r="F44" i="36"/>
  <c r="F46" i="36"/>
  <c r="F42" i="36"/>
  <c r="F76" i="36"/>
  <c r="F88" i="36"/>
  <c r="F89" i="36"/>
  <c r="F91" i="36"/>
  <c r="F108" i="36"/>
  <c r="F111" i="36"/>
  <c r="F115" i="36"/>
  <c r="F133" i="36"/>
  <c r="F135" i="36"/>
  <c r="F156" i="36"/>
  <c r="F157" i="36"/>
  <c r="F172" i="36"/>
  <c r="F173" i="36"/>
  <c r="F188" i="36"/>
  <c r="F189" i="36"/>
  <c r="F204" i="36"/>
  <c r="F29" i="36"/>
  <c r="F32" i="36"/>
  <c r="F35" i="36"/>
  <c r="F92" i="36"/>
  <c r="F95" i="36"/>
  <c r="F99" i="36"/>
  <c r="F117" i="36"/>
  <c r="F119" i="36"/>
  <c r="F136" i="36"/>
  <c r="F137" i="36"/>
  <c r="F139" i="36"/>
  <c r="F152" i="36"/>
  <c r="F153" i="36"/>
  <c r="F168" i="36"/>
  <c r="F169" i="36"/>
  <c r="F184" i="36"/>
  <c r="F185" i="36"/>
  <c r="F200" i="36"/>
  <c r="F201" i="36"/>
  <c r="F47" i="36"/>
  <c r="F51" i="36"/>
  <c r="F56" i="36"/>
  <c r="F68" i="36"/>
  <c r="F72" i="36"/>
  <c r="F79" i="36"/>
  <c r="F101" i="36"/>
  <c r="F120" i="36"/>
  <c r="F124" i="36"/>
  <c r="F149" i="36"/>
  <c r="F164" i="36"/>
  <c r="F181" i="36"/>
  <c r="F196" i="36"/>
  <c r="F212" i="36"/>
  <c r="F213" i="36"/>
  <c r="F33" i="36"/>
  <c r="F48" i="36"/>
  <c r="F50" i="36"/>
  <c r="F64" i="36"/>
  <c r="F70" i="36"/>
  <c r="F87" i="36"/>
  <c r="F104" i="36"/>
  <c r="F121" i="36"/>
  <c r="F123" i="36"/>
  <c r="F160" i="36"/>
  <c r="F177" i="36"/>
  <c r="F192" i="36"/>
  <c r="F208" i="36"/>
  <c r="F209" i="36"/>
  <c r="F220" i="36"/>
  <c r="F228" i="36"/>
  <c r="F236" i="36"/>
  <c r="F244" i="36"/>
  <c r="F252" i="36"/>
  <c r="F260" i="36"/>
  <c r="F268" i="36"/>
  <c r="F276" i="36"/>
  <c r="F60" i="36"/>
  <c r="F66" i="36"/>
  <c r="F85" i="36"/>
  <c r="F103" i="36"/>
  <c r="F131" i="36"/>
  <c r="F140" i="36"/>
  <c r="F143" i="36"/>
  <c r="F148" i="36"/>
  <c r="F165" i="36"/>
  <c r="F180" i="36"/>
  <c r="F197" i="36"/>
  <c r="F205" i="36"/>
  <c r="F222" i="36"/>
  <c r="F224" i="36"/>
  <c r="F229" i="36"/>
  <c r="F238" i="36"/>
  <c r="F240" i="36"/>
  <c r="F245" i="36"/>
  <c r="F254" i="36"/>
  <c r="F256" i="36"/>
  <c r="F261" i="36"/>
  <c r="F270" i="36"/>
  <c r="F272" i="36"/>
  <c r="F277" i="36"/>
  <c r="F286" i="36"/>
  <c r="F31" i="36"/>
  <c r="F54" i="36"/>
  <c r="F69" i="36"/>
  <c r="F73" i="36"/>
  <c r="F83" i="36"/>
  <c r="F105" i="36"/>
  <c r="F107" i="36"/>
  <c r="F127" i="36"/>
  <c r="F161" i="36"/>
  <c r="F176" i="36"/>
  <c r="F193" i="36"/>
  <c r="F216" i="36"/>
  <c r="F225" i="36"/>
  <c r="F226" i="36"/>
  <c r="F232" i="36"/>
  <c r="F241" i="36"/>
  <c r="F242" i="36"/>
  <c r="F248" i="36"/>
  <c r="F257" i="36"/>
  <c r="F258" i="36"/>
  <c r="F264" i="36"/>
  <c r="F273" i="36"/>
  <c r="F274" i="36"/>
  <c r="F280" i="36"/>
  <c r="F294" i="36"/>
  <c r="F295" i="36"/>
  <c r="F298" i="36"/>
  <c r="F306" i="36"/>
  <c r="F314" i="36"/>
  <c r="F284" i="36"/>
  <c r="F299" i="36"/>
  <c r="F315" i="36"/>
  <c r="F296" i="36"/>
  <c r="F312" i="36"/>
  <c r="F290" i="36"/>
  <c r="F302" i="36"/>
  <c r="F308" i="36"/>
  <c r="F310" i="36"/>
  <c r="F311" i="36"/>
  <c r="F203" i="36"/>
  <c r="F163" i="36"/>
  <c r="F211" i="36"/>
  <c r="F151" i="36"/>
  <c r="F171" i="36"/>
  <c r="F159" i="36"/>
  <c r="F231" i="36"/>
  <c r="F304" i="36"/>
  <c r="F262" i="36"/>
  <c r="F316" i="36"/>
  <c r="F300" i="36"/>
  <c r="F285" i="36"/>
  <c r="F269" i="36"/>
  <c r="F253" i="36"/>
  <c r="F237" i="36"/>
  <c r="F221" i="36"/>
  <c r="F71" i="36"/>
  <c r="F255" i="36"/>
  <c r="F210" i="36"/>
  <c r="F198" i="36"/>
  <c r="F186" i="36"/>
  <c r="F158" i="36"/>
  <c r="F110" i="36"/>
  <c r="F52" i="36"/>
  <c r="F199" i="36"/>
  <c r="F215" i="36"/>
  <c r="F147" i="36"/>
  <c r="F155" i="36"/>
  <c r="F301" i="36"/>
  <c r="F109" i="36"/>
  <c r="F313" i="36"/>
  <c r="F292" i="36"/>
  <c r="F122" i="36"/>
  <c r="F10" i="36"/>
  <c r="F293" i="36"/>
  <c r="F275" i="36"/>
  <c r="F246" i="36"/>
  <c r="F227" i="36"/>
  <c r="F34" i="36"/>
  <c r="F279" i="36"/>
  <c r="F141" i="36"/>
  <c r="F77" i="36"/>
  <c r="F132" i="36"/>
  <c r="F106" i="36"/>
  <c r="F90" i="36"/>
  <c r="F305" i="36"/>
  <c r="F303" i="36"/>
  <c r="F282" i="36"/>
  <c r="F266" i="36"/>
  <c r="F250" i="36"/>
  <c r="F234" i="36"/>
  <c r="F218" i="36"/>
  <c r="F113" i="36"/>
  <c r="F97" i="36"/>
  <c r="F81" i="36"/>
  <c r="F39" i="36"/>
  <c r="F271" i="36"/>
  <c r="F206" i="36"/>
  <c r="F194" i="36"/>
  <c r="F182" i="36"/>
  <c r="F170" i="36"/>
  <c r="F126" i="36"/>
  <c r="F195" i="36"/>
  <c r="F183" i="36"/>
  <c r="F57" i="36"/>
  <c r="F191" i="36"/>
  <c r="F307" i="36"/>
  <c r="F259" i="36"/>
  <c r="F65" i="36"/>
  <c r="F247" i="36"/>
  <c r="F291" i="36"/>
  <c r="F129" i="36"/>
  <c r="F287" i="36"/>
  <c r="F223" i="36"/>
  <c r="F190" i="36"/>
  <c r="F289" i="36"/>
  <c r="F207" i="36"/>
  <c r="F167" i="36"/>
  <c r="F179" i="36"/>
  <c r="F187" i="36"/>
  <c r="F175" i="36"/>
  <c r="F263" i="36"/>
  <c r="F125" i="36"/>
  <c r="F288" i="36"/>
  <c r="F249" i="36"/>
  <c r="F233" i="36"/>
  <c r="F217" i="36"/>
  <c r="F309" i="36"/>
  <c r="F278" i="36"/>
  <c r="F243" i="36"/>
  <c r="F230" i="36"/>
  <c r="F93" i="36"/>
  <c r="F297" i="36"/>
  <c r="F281" i="36"/>
  <c r="F265" i="36"/>
  <c r="F138" i="36"/>
  <c r="F116" i="36"/>
  <c r="F100" i="36"/>
  <c r="F84" i="36"/>
  <c r="F55" i="36"/>
  <c r="F145" i="36"/>
  <c r="F239" i="36"/>
  <c r="F214" i="36"/>
  <c r="F202" i="36"/>
  <c r="F178" i="36"/>
  <c r="F166" i="36"/>
  <c r="F154" i="36"/>
  <c r="F142" i="36"/>
  <c r="F18" i="36"/>
  <c r="F144" i="36"/>
  <c r="F128" i="36"/>
  <c r="F112" i="36"/>
  <c r="F96" i="36"/>
  <c r="F80" i="36"/>
  <c r="F74" i="36"/>
  <c r="F86" i="36"/>
  <c r="F75" i="36"/>
  <c r="F24" i="36"/>
  <c r="F67" i="36"/>
  <c r="F53" i="36"/>
  <c r="F43" i="36"/>
  <c r="F12" i="36"/>
  <c r="F30" i="36"/>
  <c r="F267" i="36"/>
  <c r="F235" i="36"/>
  <c r="F102" i="36"/>
  <c r="F146" i="36"/>
  <c r="F114" i="36"/>
  <c r="F82" i="36"/>
  <c r="F40" i="36"/>
  <c r="F63" i="36"/>
  <c r="F45" i="36"/>
  <c r="F41" i="36"/>
  <c r="F78" i="36"/>
  <c r="F58" i="36"/>
  <c r="F118" i="36"/>
  <c r="F59" i="36"/>
  <c r="F61" i="36"/>
  <c r="F36" i="36"/>
  <c r="F28" i="36"/>
  <c r="F22" i="36"/>
  <c r="F174" i="36"/>
  <c r="F162" i="36"/>
  <c r="F150" i="36"/>
  <c r="F94" i="36"/>
  <c r="F62" i="36"/>
  <c r="F283" i="36"/>
  <c r="F251" i="36"/>
  <c r="F219" i="36"/>
  <c r="F134" i="36"/>
  <c r="F49" i="36"/>
  <c r="F21" i="36"/>
  <c r="F130" i="36"/>
  <c r="F98" i="36"/>
  <c r="F25" i="36"/>
  <c r="F37" i="36"/>
  <c r="F14" i="36"/>
  <c r="F26" i="36"/>
  <c r="H13" i="36"/>
  <c r="H15" i="36"/>
  <c r="H17" i="36"/>
  <c r="H19" i="36"/>
  <c r="H26" i="36"/>
  <c r="H11" i="36"/>
  <c r="H22" i="36"/>
  <c r="H23" i="36"/>
  <c r="H14" i="36"/>
  <c r="H29" i="36"/>
  <c r="H31" i="36"/>
  <c r="H33" i="36"/>
  <c r="H40" i="36"/>
  <c r="H42" i="36"/>
  <c r="H25" i="36"/>
  <c r="H45" i="36"/>
  <c r="H46" i="36"/>
  <c r="H50" i="36"/>
  <c r="H59" i="36"/>
  <c r="H60" i="36"/>
  <c r="H64" i="36"/>
  <c r="H66" i="36"/>
  <c r="H68" i="36"/>
  <c r="H70" i="36"/>
  <c r="H72" i="36"/>
  <c r="H78" i="36"/>
  <c r="H79" i="36"/>
  <c r="H83" i="36"/>
  <c r="H86" i="36"/>
  <c r="H101" i="36"/>
  <c r="H103" i="36"/>
  <c r="H105" i="36"/>
  <c r="H123" i="36"/>
  <c r="H130" i="36"/>
  <c r="H142" i="36"/>
  <c r="H143" i="36"/>
  <c r="H148" i="36"/>
  <c r="H159" i="36"/>
  <c r="H164" i="36"/>
  <c r="H175" i="36"/>
  <c r="H180" i="36"/>
  <c r="H191" i="36"/>
  <c r="H196" i="36"/>
  <c r="H38" i="36"/>
  <c r="H54" i="36"/>
  <c r="H85" i="36"/>
  <c r="H87" i="36"/>
  <c r="H89" i="36"/>
  <c r="H107" i="36"/>
  <c r="H114" i="36"/>
  <c r="H126" i="36"/>
  <c r="H127" i="36"/>
  <c r="H131" i="36"/>
  <c r="H134" i="36"/>
  <c r="H155" i="36"/>
  <c r="H160" i="36"/>
  <c r="H171" i="36"/>
  <c r="H176" i="36"/>
  <c r="H187" i="36"/>
  <c r="H192" i="36"/>
  <c r="H41" i="36"/>
  <c r="H67" i="36"/>
  <c r="H76" i="36"/>
  <c r="H91" i="36"/>
  <c r="H95" i="36"/>
  <c r="H115" i="36"/>
  <c r="H119" i="36"/>
  <c r="H156" i="36"/>
  <c r="H163" i="36"/>
  <c r="H167" i="36"/>
  <c r="H188" i="36"/>
  <c r="H195" i="36"/>
  <c r="H199" i="36"/>
  <c r="H215" i="36"/>
  <c r="H222" i="36"/>
  <c r="H224" i="36"/>
  <c r="H226" i="36"/>
  <c r="H238" i="36"/>
  <c r="H240" i="36"/>
  <c r="H242" i="36"/>
  <c r="H254" i="36"/>
  <c r="H256" i="36"/>
  <c r="H258" i="36"/>
  <c r="H270" i="36"/>
  <c r="H272" i="36"/>
  <c r="H274" i="36"/>
  <c r="H27" i="36"/>
  <c r="H63" i="36"/>
  <c r="H99" i="36"/>
  <c r="H110" i="36"/>
  <c r="H117" i="36"/>
  <c r="H118" i="36"/>
  <c r="H133" i="36"/>
  <c r="H135" i="36"/>
  <c r="H146" i="36"/>
  <c r="H152" i="36"/>
  <c r="H184" i="36"/>
  <c r="H203" i="36"/>
  <c r="H204" i="36"/>
  <c r="H211" i="36"/>
  <c r="H216" i="36"/>
  <c r="H230" i="36"/>
  <c r="H232" i="36"/>
  <c r="H246" i="36"/>
  <c r="H248" i="36"/>
  <c r="H262" i="36"/>
  <c r="H264" i="36"/>
  <c r="H278" i="36"/>
  <c r="H280" i="36"/>
  <c r="H44" i="36"/>
  <c r="H48" i="36"/>
  <c r="H57" i="36"/>
  <c r="H94" i="36"/>
  <c r="H98" i="36"/>
  <c r="H102" i="36"/>
  <c r="H121" i="36"/>
  <c r="H139" i="36"/>
  <c r="H147" i="36"/>
  <c r="H151" i="36"/>
  <c r="H172" i="36"/>
  <c r="H179" i="36"/>
  <c r="H183" i="36"/>
  <c r="H207" i="36"/>
  <c r="H212" i="36"/>
  <c r="H219" i="36"/>
  <c r="H227" i="36"/>
  <c r="H235" i="36"/>
  <c r="H243" i="36"/>
  <c r="H251" i="36"/>
  <c r="H259" i="36"/>
  <c r="H267" i="36"/>
  <c r="H275" i="36"/>
  <c r="H283" i="36"/>
  <c r="H30" i="36"/>
  <c r="H37" i="36"/>
  <c r="H82" i="36"/>
  <c r="H111" i="36"/>
  <c r="H137" i="36"/>
  <c r="H168" i="36"/>
  <c r="H200" i="36"/>
  <c r="H208" i="36"/>
  <c r="H218" i="36"/>
  <c r="H220" i="36"/>
  <c r="H223" i="36"/>
  <c r="H228" i="36"/>
  <c r="H234" i="36"/>
  <c r="H236" i="36"/>
  <c r="H239" i="36"/>
  <c r="H244" i="36"/>
  <c r="H250" i="36"/>
  <c r="H252" i="36"/>
  <c r="H255" i="36"/>
  <c r="H260" i="36"/>
  <c r="H266" i="36"/>
  <c r="H268" i="36"/>
  <c r="H271" i="36"/>
  <c r="H276" i="36"/>
  <c r="H282" i="36"/>
  <c r="H284" i="36"/>
  <c r="H287" i="36"/>
  <c r="H289" i="36"/>
  <c r="H286" i="36"/>
  <c r="H290" i="36"/>
  <c r="H296" i="36"/>
  <c r="H304" i="36"/>
  <c r="H309" i="36"/>
  <c r="H312" i="36"/>
  <c r="H301" i="36"/>
  <c r="H302" i="36"/>
  <c r="H308" i="36"/>
  <c r="H310" i="36"/>
  <c r="H316" i="36"/>
  <c r="H298" i="36"/>
  <c r="H305" i="36"/>
  <c r="H306" i="36"/>
  <c r="H314" i="36"/>
  <c r="H293" i="36"/>
  <c r="H294" i="36"/>
  <c r="H109" i="36"/>
  <c r="H201" i="36"/>
  <c r="H189" i="36"/>
  <c r="H173" i="36"/>
  <c r="H149" i="36"/>
  <c r="H10" i="36"/>
  <c r="H288" i="36"/>
  <c r="H231" i="36"/>
  <c r="H141" i="36"/>
  <c r="H77" i="36"/>
  <c r="H205" i="36"/>
  <c r="H185" i="36"/>
  <c r="H169" i="36"/>
  <c r="H161" i="36"/>
  <c r="H138" i="36"/>
  <c r="H116" i="36"/>
  <c r="H100" i="36"/>
  <c r="H84" i="36"/>
  <c r="H311" i="36"/>
  <c r="H295" i="36"/>
  <c r="H145" i="36"/>
  <c r="H39" i="36"/>
  <c r="H245" i="36"/>
  <c r="H62" i="36"/>
  <c r="H300" i="36"/>
  <c r="H299" i="36"/>
  <c r="H263" i="36"/>
  <c r="H34" i="36"/>
  <c r="H285" i="36"/>
  <c r="H269" i="36"/>
  <c r="H253" i="36"/>
  <c r="H237" i="36"/>
  <c r="H221" i="36"/>
  <c r="H71" i="36"/>
  <c r="H261" i="36"/>
  <c r="H279" i="36"/>
  <c r="H307" i="36"/>
  <c r="H125" i="36"/>
  <c r="H297" i="36"/>
  <c r="H249" i="36"/>
  <c r="H233" i="36"/>
  <c r="H217" i="36"/>
  <c r="H213" i="36"/>
  <c r="H197" i="36"/>
  <c r="H181" i="36"/>
  <c r="H157" i="36"/>
  <c r="H122" i="36"/>
  <c r="H315" i="36"/>
  <c r="H291" i="36"/>
  <c r="H93" i="36"/>
  <c r="H281" i="36"/>
  <c r="H265" i="36"/>
  <c r="H209" i="36"/>
  <c r="H193" i="36"/>
  <c r="H177" i="36"/>
  <c r="H165" i="36"/>
  <c r="H153" i="36"/>
  <c r="H132" i="36"/>
  <c r="H106" i="36"/>
  <c r="H90" i="36"/>
  <c r="H55" i="36"/>
  <c r="H113" i="36"/>
  <c r="H97" i="36"/>
  <c r="H81" i="36"/>
  <c r="H277" i="36"/>
  <c r="H247" i="36"/>
  <c r="H303" i="36"/>
  <c r="H292" i="36"/>
  <c r="H65" i="36"/>
  <c r="H313" i="36"/>
  <c r="H129" i="36"/>
  <c r="H229" i="36"/>
  <c r="H18" i="36"/>
  <c r="H202" i="36"/>
  <c r="H186" i="36"/>
  <c r="H170" i="36"/>
  <c r="H154" i="36"/>
  <c r="H140" i="36"/>
  <c r="H36" i="36"/>
  <c r="H53" i="36"/>
  <c r="H20" i="36"/>
  <c r="H273" i="36"/>
  <c r="H241" i="36"/>
  <c r="H214" i="36"/>
  <c r="H198" i="36"/>
  <c r="H182" i="36"/>
  <c r="H166" i="36"/>
  <c r="H150" i="36"/>
  <c r="H58" i="36"/>
  <c r="H92" i="36"/>
  <c r="H21" i="36"/>
  <c r="H120" i="36"/>
  <c r="H88" i="36"/>
  <c r="H61" i="36"/>
  <c r="H73" i="36"/>
  <c r="H43" i="36"/>
  <c r="H12" i="36"/>
  <c r="H69" i="36"/>
  <c r="H35" i="36"/>
  <c r="H47" i="36"/>
  <c r="H16" i="36"/>
  <c r="H52" i="36"/>
  <c r="H210" i="36"/>
  <c r="H194" i="36"/>
  <c r="H178" i="36"/>
  <c r="H162" i="36"/>
  <c r="H108" i="36"/>
  <c r="H51" i="36"/>
  <c r="H257" i="36"/>
  <c r="H225" i="36"/>
  <c r="H206" i="36"/>
  <c r="H190" i="36"/>
  <c r="H174" i="36"/>
  <c r="H158" i="36"/>
  <c r="H144" i="36"/>
  <c r="H128" i="36"/>
  <c r="H112" i="36"/>
  <c r="H96" i="36"/>
  <c r="H80" i="36"/>
  <c r="H74" i="36"/>
  <c r="H124" i="36"/>
  <c r="H49" i="36"/>
  <c r="H136" i="36"/>
  <c r="H104" i="36"/>
  <c r="H75" i="36"/>
  <c r="H24" i="36"/>
  <c r="H28" i="36"/>
  <c r="H56" i="36"/>
  <c r="H32" i="36"/>
  <c r="V315" i="42"/>
  <c r="K315" i="13"/>
  <c r="I314" i="11"/>
  <c r="E313" i="49"/>
  <c r="E306" i="49"/>
  <c r="E302" i="49"/>
  <c r="E291" i="49"/>
  <c r="E283" i="49"/>
  <c r="E267" i="49"/>
  <c r="E259" i="49"/>
  <c r="E251" i="49"/>
  <c r="E229" i="49"/>
  <c r="E225" i="49"/>
  <c r="E206" i="49"/>
  <c r="E186" i="49"/>
  <c r="E178" i="49"/>
  <c r="E159" i="49"/>
  <c r="E155" i="49"/>
  <c r="E147" i="49"/>
  <c r="E139" i="49"/>
  <c r="E123" i="49"/>
  <c r="E115" i="49"/>
  <c r="E111" i="49"/>
  <c r="E103" i="49"/>
  <c r="E99" i="49"/>
  <c r="E91" i="49"/>
  <c r="E83" i="49"/>
  <c r="E75" i="49"/>
  <c r="E67" i="49"/>
  <c r="E59" i="49"/>
  <c r="E51" i="49"/>
  <c r="E43" i="49"/>
  <c r="E35" i="49"/>
  <c r="E20" i="49"/>
  <c r="E16" i="49"/>
  <c r="E8" i="49"/>
  <c r="E305" i="49"/>
  <c r="E290" i="49"/>
  <c r="E282" i="49"/>
  <c r="E278" i="49"/>
  <c r="E270" i="49"/>
  <c r="E262" i="49"/>
  <c r="E254" i="49"/>
  <c r="E250" i="49"/>
  <c r="E235" i="49"/>
  <c r="E232" i="49"/>
  <c r="E213" i="49"/>
  <c r="E205" i="49"/>
  <c r="E197" i="49"/>
  <c r="E185" i="49"/>
  <c r="E177" i="49"/>
  <c r="E158" i="49"/>
  <c r="E150" i="49"/>
  <c r="E58" i="49"/>
  <c r="E50" i="49"/>
  <c r="E7" i="49"/>
  <c r="E308" i="49"/>
  <c r="E304" i="49"/>
  <c r="E293" i="49"/>
  <c r="E289" i="49"/>
  <c r="E285" i="49"/>
  <c r="E281" i="49"/>
  <c r="E277" i="49"/>
  <c r="E273" i="49"/>
  <c r="E265" i="49"/>
  <c r="E261" i="49"/>
  <c r="E257" i="49"/>
  <c r="E253" i="49"/>
  <c r="E249" i="49"/>
  <c r="E240" i="49"/>
  <c r="E234" i="49"/>
  <c r="E231" i="49"/>
  <c r="E227" i="49"/>
  <c r="E223" i="49"/>
  <c r="E216" i="49"/>
  <c r="E212" i="49"/>
  <c r="E208" i="49"/>
  <c r="E204" i="49"/>
  <c r="E200" i="49"/>
  <c r="E192" i="49"/>
  <c r="E188" i="49"/>
  <c r="E184" i="49"/>
  <c r="E180" i="49"/>
  <c r="E176" i="49"/>
  <c r="E173" i="49"/>
  <c r="E166" i="49"/>
  <c r="E164" i="49"/>
  <c r="E161" i="49"/>
  <c r="E157" i="49"/>
  <c r="E153" i="49"/>
  <c r="E149" i="49"/>
  <c r="E137" i="49"/>
  <c r="E129" i="49"/>
  <c r="E125" i="49"/>
  <c r="E121" i="49"/>
  <c r="E113" i="49"/>
  <c r="E109" i="49"/>
  <c r="E105" i="49"/>
  <c r="E101" i="49"/>
  <c r="E97" i="49"/>
  <c r="E93" i="49"/>
  <c r="E89" i="49"/>
  <c r="E81" i="49"/>
  <c r="E77" i="49"/>
  <c r="E73" i="49"/>
  <c r="E69" i="49"/>
  <c r="E65" i="49"/>
  <c r="E61" i="49"/>
  <c r="E57" i="49"/>
  <c r="E53" i="49"/>
  <c r="E49" i="49"/>
  <c r="E45" i="49"/>
  <c r="E41" i="49"/>
  <c r="E37" i="49"/>
  <c r="E33" i="49"/>
  <c r="E30" i="49"/>
  <c r="E26" i="49"/>
  <c r="E22" i="49"/>
  <c r="E18" i="49"/>
  <c r="E14" i="49"/>
  <c r="E10" i="49"/>
  <c r="C6" i="25"/>
  <c r="E6" i="49"/>
  <c r="E310" i="49"/>
  <c r="E298" i="49"/>
  <c r="E279" i="49"/>
  <c r="E271" i="49"/>
  <c r="E263" i="49"/>
  <c r="E247" i="49"/>
  <c r="E210" i="49"/>
  <c r="E202" i="49"/>
  <c r="E190" i="49"/>
  <c r="E174" i="49"/>
  <c r="E171" i="49"/>
  <c r="E143" i="49"/>
  <c r="E107" i="49"/>
  <c r="E87" i="49"/>
  <c r="E79" i="49"/>
  <c r="E71" i="49"/>
  <c r="E63" i="49"/>
  <c r="E55" i="49"/>
  <c r="E47" i="49"/>
  <c r="E39" i="49"/>
  <c r="E12" i="49"/>
  <c r="E309" i="49"/>
  <c r="E301" i="49"/>
  <c r="E297" i="49"/>
  <c r="E294" i="49"/>
  <c r="E286" i="49"/>
  <c r="E274" i="49"/>
  <c r="E266" i="49"/>
  <c r="E258" i="49"/>
  <c r="E246" i="49"/>
  <c r="E237" i="49"/>
  <c r="E224" i="49"/>
  <c r="E217" i="49"/>
  <c r="E209" i="49"/>
  <c r="E201" i="49"/>
  <c r="E193" i="49"/>
  <c r="E189" i="49"/>
  <c r="E181" i="49"/>
  <c r="E162" i="49"/>
  <c r="E154" i="49"/>
  <c r="E146" i="49"/>
  <c r="E134" i="49"/>
  <c r="E46" i="49"/>
  <c r="D314" i="49"/>
  <c r="E307" i="49"/>
  <c r="E299" i="49"/>
  <c r="E284" i="49"/>
  <c r="E280" i="49"/>
  <c r="E276" i="49"/>
  <c r="E272" i="49"/>
  <c r="E264" i="49"/>
  <c r="E252" i="49"/>
  <c r="E248" i="49"/>
  <c r="E239" i="49"/>
  <c r="E236" i="49"/>
  <c r="E230" i="49"/>
  <c r="E222" i="49"/>
  <c r="E215" i="49"/>
  <c r="E211" i="49"/>
  <c r="E207" i="49"/>
  <c r="E203" i="49"/>
  <c r="E199" i="49"/>
  <c r="E191" i="49"/>
  <c r="E187" i="49"/>
  <c r="E183" i="49"/>
  <c r="E175" i="49"/>
  <c r="E168" i="49"/>
  <c r="E165" i="49"/>
  <c r="E163" i="49"/>
  <c r="E160" i="49"/>
  <c r="E156" i="49"/>
  <c r="E152" i="49"/>
  <c r="E144" i="49"/>
  <c r="E140" i="49"/>
  <c r="E136" i="49"/>
  <c r="E132" i="49"/>
  <c r="E128" i="49"/>
  <c r="E124" i="49"/>
  <c r="E116" i="49"/>
  <c r="E112" i="49"/>
  <c r="E108" i="49"/>
  <c r="E104" i="49"/>
  <c r="E100" i="49"/>
  <c r="E96" i="49"/>
  <c r="E92" i="49"/>
  <c r="E88" i="49"/>
  <c r="E84" i="49"/>
  <c r="E80" i="49"/>
  <c r="E76" i="49"/>
  <c r="E72" i="49"/>
  <c r="E68" i="49"/>
  <c r="E64" i="49"/>
  <c r="E60" i="49"/>
  <c r="E56" i="49"/>
  <c r="E52" i="49"/>
  <c r="E48" i="49"/>
  <c r="E44" i="49"/>
  <c r="E40" i="49"/>
  <c r="E36" i="49"/>
  <c r="E32" i="49"/>
  <c r="E29" i="49"/>
  <c r="E25" i="49"/>
  <c r="E21" i="49"/>
  <c r="E17" i="49"/>
  <c r="E13" i="49"/>
  <c r="E9" i="49"/>
  <c r="D6" i="25"/>
  <c r="D6" i="33"/>
  <c r="L289" i="13"/>
  <c r="M289" i="13" s="1"/>
  <c r="L257" i="13"/>
  <c r="M257" i="13" s="1"/>
  <c r="L245" i="13"/>
  <c r="M245" i="13" s="1"/>
  <c r="L196" i="13"/>
  <c r="M196" i="13" s="1"/>
  <c r="L180" i="13"/>
  <c r="M180" i="13" s="1"/>
  <c r="L149" i="13"/>
  <c r="M149" i="13" s="1"/>
  <c r="L121" i="13"/>
  <c r="M121" i="13" s="1"/>
  <c r="L296" i="13"/>
  <c r="M296" i="13" s="1"/>
  <c r="L276" i="13"/>
  <c r="M276" i="13" s="1"/>
  <c r="L256" i="13"/>
  <c r="M256" i="13" s="1"/>
  <c r="L243" i="13"/>
  <c r="M243" i="13" s="1"/>
  <c r="L234" i="13"/>
  <c r="M234" i="13" s="1"/>
  <c r="L222" i="13"/>
  <c r="M222" i="13" s="1"/>
  <c r="L215" i="13"/>
  <c r="M215" i="13" s="1"/>
  <c r="L199" i="13"/>
  <c r="M199" i="13" s="1"/>
  <c r="L168" i="13"/>
  <c r="M168" i="13" s="1"/>
  <c r="L152" i="13"/>
  <c r="M152" i="13" s="1"/>
  <c r="L132" i="13"/>
  <c r="M132" i="13" s="1"/>
  <c r="L128" i="13"/>
  <c r="M128" i="13" s="1"/>
  <c r="L120" i="13"/>
  <c r="M120" i="13" s="1"/>
  <c r="L96" i="13"/>
  <c r="M96" i="13" s="1"/>
  <c r="L242" i="13"/>
  <c r="M242" i="13" s="1"/>
  <c r="L229" i="13"/>
  <c r="M229" i="13" s="1"/>
  <c r="L221" i="13"/>
  <c r="M221" i="13" s="1"/>
  <c r="L171" i="13"/>
  <c r="M171" i="13" s="1"/>
  <c r="L139" i="13"/>
  <c r="M139" i="13" s="1"/>
  <c r="L127" i="13"/>
  <c r="M127" i="13" s="1"/>
  <c r="L119" i="13"/>
  <c r="M119" i="13" s="1"/>
  <c r="L111" i="13"/>
  <c r="M111" i="13" s="1"/>
  <c r="L103" i="13"/>
  <c r="M103" i="13" s="1"/>
  <c r="L95" i="13"/>
  <c r="M95" i="13" s="1"/>
  <c r="L87" i="13"/>
  <c r="M87" i="13" s="1"/>
  <c r="L83" i="13"/>
  <c r="M83" i="13" s="1"/>
  <c r="L75" i="13"/>
  <c r="M75" i="13" s="1"/>
  <c r="L67" i="13"/>
  <c r="M67" i="13" s="1"/>
  <c r="L63" i="13"/>
  <c r="M63" i="13" s="1"/>
  <c r="L55" i="13"/>
  <c r="M55" i="13" s="1"/>
  <c r="L39" i="13"/>
  <c r="M39" i="13" s="1"/>
  <c r="L32" i="13"/>
  <c r="M32" i="13" s="1"/>
  <c r="L28" i="13"/>
  <c r="M28" i="13" s="1"/>
  <c r="L24" i="13"/>
  <c r="M24" i="13" s="1"/>
  <c r="L20" i="13"/>
  <c r="M20" i="13" s="1"/>
  <c r="L118" i="13"/>
  <c r="M118" i="13" s="1"/>
  <c r="L86" i="13"/>
  <c r="M86" i="13" s="1"/>
  <c r="B314" i="11"/>
  <c r="L135" i="13"/>
  <c r="M135" i="13" s="1"/>
  <c r="L59" i="13"/>
  <c r="M59" i="13" s="1"/>
  <c r="L51" i="13"/>
  <c r="M51" i="13" s="1"/>
  <c r="L9" i="13"/>
  <c r="M9" i="13" s="1"/>
  <c r="L143" i="13"/>
  <c r="M143" i="13" s="1"/>
  <c r="L131" i="13"/>
  <c r="M131" i="13" s="1"/>
  <c r="L123" i="13"/>
  <c r="M123" i="13" s="1"/>
  <c r="L115" i="13"/>
  <c r="M115" i="13" s="1"/>
  <c r="L107" i="13"/>
  <c r="M107" i="13" s="1"/>
  <c r="L99" i="13"/>
  <c r="M99" i="13" s="1"/>
  <c r="L91" i="13"/>
  <c r="M91" i="13" s="1"/>
  <c r="L79" i="13"/>
  <c r="M79" i="13" s="1"/>
  <c r="L71" i="13"/>
  <c r="M71" i="13" s="1"/>
  <c r="L47" i="13"/>
  <c r="M47" i="13" s="1"/>
  <c r="L43" i="13"/>
  <c r="M43" i="13" s="1"/>
  <c r="L35" i="13"/>
  <c r="M35" i="13" s="1"/>
  <c r="L16" i="13"/>
  <c r="M16" i="13" s="1"/>
  <c r="L12" i="13"/>
  <c r="M12" i="13" s="1"/>
  <c r="Y7" i="19"/>
  <c r="C6" i="32" s="1"/>
  <c r="L175" i="13"/>
  <c r="M175" i="13" s="1"/>
  <c r="L272" i="13"/>
  <c r="M272" i="13" s="1"/>
  <c r="L299" i="13"/>
  <c r="M299" i="13" s="1"/>
  <c r="L191" i="13"/>
  <c r="M191" i="13" s="1"/>
  <c r="L68" i="13"/>
  <c r="M68" i="13" s="1"/>
  <c r="L36" i="13"/>
  <c r="M36" i="13" s="1"/>
  <c r="L277" i="13"/>
  <c r="M277" i="13" s="1"/>
  <c r="L249" i="13"/>
  <c r="M249" i="13" s="1"/>
  <c r="L240" i="13"/>
  <c r="M240" i="13" s="1"/>
  <c r="L314" i="13"/>
  <c r="M314" i="13" s="1"/>
  <c r="L307" i="13"/>
  <c r="M307" i="13" s="1"/>
  <c r="L303" i="13"/>
  <c r="M303" i="13" s="1"/>
  <c r="L284" i="13"/>
  <c r="M284" i="13" s="1"/>
  <c r="L260" i="13"/>
  <c r="M260" i="13" s="1"/>
  <c r="L252" i="13"/>
  <c r="M252" i="13" s="1"/>
  <c r="L239" i="13"/>
  <c r="M239" i="13" s="1"/>
  <c r="L226" i="13"/>
  <c r="M226" i="13" s="1"/>
  <c r="L207" i="13"/>
  <c r="M207" i="13" s="1"/>
  <c r="L183" i="13"/>
  <c r="M183" i="13" s="1"/>
  <c r="L172" i="13"/>
  <c r="M172" i="13" s="1"/>
  <c r="L60" i="13"/>
  <c r="M60" i="13" s="1"/>
  <c r="L56" i="13"/>
  <c r="M56" i="13" s="1"/>
  <c r="L48" i="13"/>
  <c r="M48" i="13" s="1"/>
  <c r="L29" i="13"/>
  <c r="M29" i="13" s="1"/>
  <c r="L17" i="13"/>
  <c r="M17" i="13" s="1"/>
  <c r="L248" i="13"/>
  <c r="M248" i="13" s="1"/>
  <c r="L230" i="13"/>
  <c r="M230" i="13" s="1"/>
  <c r="L264" i="13"/>
  <c r="M264" i="13" s="1"/>
  <c r="L311" i="13"/>
  <c r="M311" i="13" s="1"/>
  <c r="L292" i="13"/>
  <c r="M292" i="13" s="1"/>
  <c r="L288" i="13"/>
  <c r="M288" i="13" s="1"/>
  <c r="L280" i="13"/>
  <c r="M280" i="13" s="1"/>
  <c r="L268" i="13"/>
  <c r="M268" i="13" s="1"/>
  <c r="L211" i="13"/>
  <c r="M211" i="13" s="1"/>
  <c r="L203" i="13"/>
  <c r="M203" i="13" s="1"/>
  <c r="L195" i="13"/>
  <c r="M195" i="13" s="1"/>
  <c r="L187" i="13"/>
  <c r="M187" i="13" s="1"/>
  <c r="L44" i="13"/>
  <c r="M44" i="13" s="1"/>
  <c r="L25" i="13"/>
  <c r="M25" i="13" s="1"/>
  <c r="L179" i="13"/>
  <c r="M179" i="13" s="1"/>
  <c r="L162" i="13"/>
  <c r="M162" i="13" s="1"/>
  <c r="L154" i="13"/>
  <c r="M154" i="13" s="1"/>
  <c r="L146" i="13"/>
  <c r="M146" i="13" s="1"/>
  <c r="L138" i="13"/>
  <c r="M138" i="13" s="1"/>
  <c r="L130" i="13"/>
  <c r="M130" i="13" s="1"/>
  <c r="L114" i="13"/>
  <c r="M114" i="13" s="1"/>
  <c r="L106" i="13"/>
  <c r="M106" i="13" s="1"/>
  <c r="L98" i="13"/>
  <c r="M98" i="13" s="1"/>
  <c r="L90" i="13"/>
  <c r="M90" i="13" s="1"/>
  <c r="L82" i="13"/>
  <c r="M82" i="13" s="1"/>
  <c r="L122" i="13"/>
  <c r="M122" i="13" s="1"/>
  <c r="L304" i="13"/>
  <c r="M304" i="13" s="1"/>
  <c r="L158" i="13"/>
  <c r="M158" i="13" s="1"/>
  <c r="L150" i="13"/>
  <c r="M150" i="13" s="1"/>
  <c r="L142" i="13"/>
  <c r="M142" i="13" s="1"/>
  <c r="L134" i="13"/>
  <c r="M134" i="13" s="1"/>
  <c r="L102" i="13"/>
  <c r="M102" i="13" s="1"/>
  <c r="L94" i="13"/>
  <c r="M94" i="13" s="1"/>
  <c r="L78" i="13"/>
  <c r="M78" i="13" s="1"/>
  <c r="L110" i="13"/>
  <c r="M110" i="13" s="1"/>
  <c r="L312" i="13"/>
  <c r="M312" i="13" s="1"/>
  <c r="L308" i="13"/>
  <c r="M308" i="13" s="1"/>
  <c r="L300" i="13"/>
  <c r="M300" i="13" s="1"/>
  <c r="L126" i="13"/>
  <c r="M126" i="13" s="1"/>
  <c r="L285" i="13"/>
  <c r="M285" i="13" s="1"/>
  <c r="L269" i="13"/>
  <c r="M269" i="13" s="1"/>
  <c r="L261" i="13"/>
  <c r="M261" i="13" s="1"/>
  <c r="L253" i="13"/>
  <c r="M253" i="13" s="1"/>
  <c r="L216" i="13"/>
  <c r="M216" i="13" s="1"/>
  <c r="L208" i="13"/>
  <c r="M208" i="13" s="1"/>
  <c r="L192" i="13"/>
  <c r="M192" i="13" s="1"/>
  <c r="L173" i="13"/>
  <c r="M173" i="13" s="1"/>
  <c r="L169" i="13"/>
  <c r="M169" i="13" s="1"/>
  <c r="L164" i="13"/>
  <c r="M164" i="13" s="1"/>
  <c r="L161" i="13"/>
  <c r="M161" i="13" s="1"/>
  <c r="L176" i="13"/>
  <c r="M176" i="13" s="1"/>
  <c r="L293" i="13"/>
  <c r="M293" i="13" s="1"/>
  <c r="L281" i="13"/>
  <c r="M281" i="13" s="1"/>
  <c r="L273" i="13"/>
  <c r="M273" i="13" s="1"/>
  <c r="L265" i="13"/>
  <c r="M265" i="13" s="1"/>
  <c r="L237" i="13"/>
  <c r="M237" i="13" s="1"/>
  <c r="L227" i="13"/>
  <c r="M227" i="13" s="1"/>
  <c r="L220" i="13"/>
  <c r="M220" i="13" s="1"/>
  <c r="L212" i="13"/>
  <c r="M212" i="13" s="1"/>
  <c r="L204" i="13"/>
  <c r="M204" i="13" s="1"/>
  <c r="L188" i="13"/>
  <c r="M188" i="13" s="1"/>
  <c r="L166" i="13"/>
  <c r="M166" i="13" s="1"/>
  <c r="L157" i="13"/>
  <c r="M157" i="13" s="1"/>
  <c r="L200" i="13"/>
  <c r="M200" i="13" s="1"/>
  <c r="L231" i="13"/>
  <c r="M231" i="13" s="1"/>
  <c r="L223" i="13"/>
  <c r="M223" i="13" s="1"/>
  <c r="L184" i="13"/>
  <c r="M184" i="13" s="1"/>
  <c r="L153" i="13"/>
  <c r="M153" i="13" s="1"/>
  <c r="L14" i="13"/>
  <c r="M14" i="13" s="1"/>
  <c r="L21" i="13"/>
  <c r="M21" i="13" s="1"/>
  <c r="L72" i="13"/>
  <c r="M72" i="13" s="1"/>
  <c r="L64" i="13"/>
  <c r="M64" i="13" s="1"/>
  <c r="L52" i="13"/>
  <c r="M52" i="13" s="1"/>
  <c r="K315" i="19"/>
  <c r="E315" i="19"/>
  <c r="H194" i="49"/>
  <c r="I194" i="49" s="1"/>
  <c r="L13" i="13"/>
  <c r="M13" i="13" s="1"/>
  <c r="L40" i="13"/>
  <c r="M40" i="13" s="1"/>
  <c r="H164" i="49"/>
  <c r="H163" i="49"/>
  <c r="L38" i="13"/>
  <c r="M38" i="13" s="1"/>
  <c r="F315" i="19"/>
  <c r="M315" i="19"/>
  <c r="P315" i="19"/>
  <c r="V315" i="19"/>
  <c r="C315" i="19"/>
  <c r="L270" i="13"/>
  <c r="M270" i="13" s="1"/>
  <c r="J315" i="19"/>
  <c r="D6" i="32"/>
  <c r="D314" i="32" s="1"/>
  <c r="Z315" i="19"/>
  <c r="L310" i="13"/>
  <c r="M310" i="13" s="1"/>
  <c r="L302" i="13"/>
  <c r="M302" i="13" s="1"/>
  <c r="L298" i="13"/>
  <c r="M298" i="13" s="1"/>
  <c r="L291" i="13"/>
  <c r="M291" i="13" s="1"/>
  <c r="L287" i="13"/>
  <c r="M287" i="13" s="1"/>
  <c r="L283" i="13"/>
  <c r="M283" i="13" s="1"/>
  <c r="L275" i="13"/>
  <c r="M275" i="13" s="1"/>
  <c r="L271" i="13"/>
  <c r="M271" i="13" s="1"/>
  <c r="L267" i="13"/>
  <c r="M267" i="13" s="1"/>
  <c r="L263" i="13"/>
  <c r="M263" i="13" s="1"/>
  <c r="L255" i="13"/>
  <c r="M255" i="13" s="1"/>
  <c r="L247" i="13"/>
  <c r="M247" i="13" s="1"/>
  <c r="L238" i="13"/>
  <c r="M238" i="13" s="1"/>
  <c r="L233" i="13"/>
  <c r="M233" i="13" s="1"/>
  <c r="L225" i="13"/>
  <c r="M225" i="13" s="1"/>
  <c r="L218" i="13"/>
  <c r="M218" i="13" s="1"/>
  <c r="L202" i="13"/>
  <c r="M202" i="13" s="1"/>
  <c r="L198" i="13"/>
  <c r="M198" i="13" s="1"/>
  <c r="L194" i="13"/>
  <c r="M194" i="13" s="1"/>
  <c r="L186" i="13"/>
  <c r="M186" i="13" s="1"/>
  <c r="L182" i="13"/>
  <c r="M182" i="13" s="1"/>
  <c r="L178" i="13"/>
  <c r="M178" i="13" s="1"/>
  <c r="L160" i="13"/>
  <c r="M160" i="13" s="1"/>
  <c r="L156" i="13"/>
  <c r="M156" i="13" s="1"/>
  <c r="L148" i="13"/>
  <c r="M148" i="13" s="1"/>
  <c r="L145" i="13"/>
  <c r="M145" i="13" s="1"/>
  <c r="L137" i="13"/>
  <c r="M137" i="13" s="1"/>
  <c r="L133" i="13"/>
  <c r="M133" i="13" s="1"/>
  <c r="L129" i="13"/>
  <c r="M129" i="13" s="1"/>
  <c r="L125" i="13"/>
  <c r="M125" i="13" s="1"/>
  <c r="L113" i="13"/>
  <c r="M113" i="13" s="1"/>
  <c r="L109" i="13"/>
  <c r="M109" i="13" s="1"/>
  <c r="L105" i="13"/>
  <c r="M105" i="13" s="1"/>
  <c r="L101" i="13"/>
  <c r="M101" i="13" s="1"/>
  <c r="L97" i="13"/>
  <c r="M97" i="13" s="1"/>
  <c r="L89" i="13"/>
  <c r="M89" i="13" s="1"/>
  <c r="L81" i="13"/>
  <c r="M81" i="13" s="1"/>
  <c r="L70" i="13"/>
  <c r="M70" i="13" s="1"/>
  <c r="L66" i="13"/>
  <c r="M66" i="13" s="1"/>
  <c r="L62" i="13"/>
  <c r="M62" i="13" s="1"/>
  <c r="L58" i="13"/>
  <c r="M58" i="13" s="1"/>
  <c r="L54" i="13"/>
  <c r="M54" i="13" s="1"/>
  <c r="L50" i="13"/>
  <c r="M50" i="13" s="1"/>
  <c r="L46" i="13"/>
  <c r="M46" i="13" s="1"/>
  <c r="L42" i="13"/>
  <c r="M42" i="13" s="1"/>
  <c r="L34" i="13"/>
  <c r="M34" i="13" s="1"/>
  <c r="L31" i="13"/>
  <c r="M31" i="13" s="1"/>
  <c r="L27" i="13"/>
  <c r="M27" i="13" s="1"/>
  <c r="L23" i="13"/>
  <c r="M23" i="13" s="1"/>
  <c r="L19" i="13"/>
  <c r="M19" i="13" s="1"/>
  <c r="L11" i="13"/>
  <c r="M11" i="13" s="1"/>
  <c r="L8" i="13"/>
  <c r="H315" i="19"/>
  <c r="L206" i="13"/>
  <c r="M206" i="13" s="1"/>
  <c r="L85" i="13"/>
  <c r="M85" i="13" s="1"/>
  <c r="AA315" i="19"/>
  <c r="L309" i="13"/>
  <c r="M309" i="13" s="1"/>
  <c r="L301" i="13"/>
  <c r="M301" i="13" s="1"/>
  <c r="L294" i="13"/>
  <c r="M294" i="13" s="1"/>
  <c r="L286" i="13"/>
  <c r="M286" i="13" s="1"/>
  <c r="L278" i="13"/>
  <c r="M278" i="13" s="1"/>
  <c r="L274" i="13"/>
  <c r="M274" i="13" s="1"/>
  <c r="L266" i="13"/>
  <c r="M266" i="13" s="1"/>
  <c r="L258" i="13"/>
  <c r="M258" i="13" s="1"/>
  <c r="L250" i="13"/>
  <c r="M250" i="13" s="1"/>
  <c r="L241" i="13"/>
  <c r="M241" i="13" s="1"/>
  <c r="L235" i="13"/>
  <c r="M235" i="13" s="1"/>
  <c r="L228" i="13"/>
  <c r="M228" i="13" s="1"/>
  <c r="L209" i="13"/>
  <c r="M209" i="13" s="1"/>
  <c r="L197" i="13"/>
  <c r="M197" i="13" s="1"/>
  <c r="L189" i="13"/>
  <c r="M189" i="13" s="1"/>
  <c r="L181" i="13"/>
  <c r="M181" i="13" s="1"/>
  <c r="L177" i="13"/>
  <c r="M177" i="13" s="1"/>
  <c r="L165" i="13"/>
  <c r="M165" i="13" s="1"/>
  <c r="L163" i="13"/>
  <c r="M163" i="13" s="1"/>
  <c r="L155" i="13"/>
  <c r="M155" i="13" s="1"/>
  <c r="L124" i="13"/>
  <c r="M124" i="13" s="1"/>
  <c r="L116" i="13"/>
  <c r="M116" i="13" s="1"/>
  <c r="L108" i="13"/>
  <c r="M108" i="13" s="1"/>
  <c r="L100" i="13"/>
  <c r="M100" i="13" s="1"/>
  <c r="L92" i="13"/>
  <c r="M92" i="13" s="1"/>
  <c r="L76" i="13"/>
  <c r="M76" i="13" s="1"/>
  <c r="L69" i="13"/>
  <c r="M69" i="13" s="1"/>
  <c r="L65" i="13"/>
  <c r="M65" i="13" s="1"/>
  <c r="L57" i="13"/>
  <c r="M57" i="13" s="1"/>
  <c r="L49" i="13"/>
  <c r="M49" i="13" s="1"/>
  <c r="L41" i="13"/>
  <c r="M41" i="13" s="1"/>
  <c r="L37" i="13"/>
  <c r="M37" i="13" s="1"/>
  <c r="L30" i="13"/>
  <c r="M30" i="13" s="1"/>
  <c r="L22" i="13"/>
  <c r="M22" i="13" s="1"/>
  <c r="L10" i="13"/>
  <c r="M10" i="13" s="1"/>
  <c r="D315" i="19"/>
  <c r="H149" i="49"/>
  <c r="H19" i="49"/>
  <c r="I19" i="49" s="1"/>
  <c r="L315" i="19"/>
  <c r="L201" i="13"/>
  <c r="M201" i="13" s="1"/>
  <c r="L213" i="13"/>
  <c r="M213" i="13" s="1"/>
  <c r="L93" i="13"/>
  <c r="M93" i="13" s="1"/>
  <c r="L141" i="13"/>
  <c r="M141" i="13" s="1"/>
  <c r="L77" i="13"/>
  <c r="M77" i="13" s="1"/>
  <c r="L74" i="13"/>
  <c r="M74" i="13" s="1"/>
  <c r="L15" i="13"/>
  <c r="M15" i="13" s="1"/>
  <c r="L306" i="13"/>
  <c r="M306" i="13" s="1"/>
  <c r="L295" i="13"/>
  <c r="M295" i="13" s="1"/>
  <c r="L279" i="13"/>
  <c r="M279" i="13" s="1"/>
  <c r="L251" i="13"/>
  <c r="M251" i="13" s="1"/>
  <c r="L236" i="13"/>
  <c r="M236" i="13" s="1"/>
  <c r="L214" i="13"/>
  <c r="M214" i="13" s="1"/>
  <c r="L210" i="13"/>
  <c r="M210" i="13" s="1"/>
  <c r="L190" i="13"/>
  <c r="M190" i="13" s="1"/>
  <c r="L117" i="13"/>
  <c r="M117" i="13" s="1"/>
  <c r="W315" i="19"/>
  <c r="X315" i="19"/>
  <c r="L313" i="13"/>
  <c r="M313" i="13" s="1"/>
  <c r="L305" i="13"/>
  <c r="M305" i="13" s="1"/>
  <c r="L297" i="13"/>
  <c r="M297" i="13" s="1"/>
  <c r="L290" i="13"/>
  <c r="M290" i="13" s="1"/>
  <c r="L282" i="13"/>
  <c r="M282" i="13" s="1"/>
  <c r="L262" i="13"/>
  <c r="M262" i="13" s="1"/>
  <c r="L254" i="13"/>
  <c r="M254" i="13" s="1"/>
  <c r="L246" i="13"/>
  <c r="M246" i="13" s="1"/>
  <c r="L232" i="13"/>
  <c r="M232" i="13" s="1"/>
  <c r="L224" i="13"/>
  <c r="M224" i="13" s="1"/>
  <c r="L217" i="13"/>
  <c r="M217" i="13" s="1"/>
  <c r="L205" i="13"/>
  <c r="M205" i="13" s="1"/>
  <c r="L193" i="13"/>
  <c r="M193" i="13" s="1"/>
  <c r="L185" i="13"/>
  <c r="M185" i="13" s="1"/>
  <c r="L151" i="13"/>
  <c r="M151" i="13" s="1"/>
  <c r="L144" i="13"/>
  <c r="M144" i="13" s="1"/>
  <c r="L136" i="13"/>
  <c r="M136" i="13" s="1"/>
  <c r="L112" i="13"/>
  <c r="M112" i="13" s="1"/>
  <c r="L104" i="13"/>
  <c r="M104" i="13" s="1"/>
  <c r="L88" i="13"/>
  <c r="M88" i="13" s="1"/>
  <c r="L84" i="13"/>
  <c r="M84" i="13" s="1"/>
  <c r="L73" i="13"/>
  <c r="M73" i="13" s="1"/>
  <c r="L61" i="13"/>
  <c r="M61" i="13" s="1"/>
  <c r="L53" i="13"/>
  <c r="M53" i="13" s="1"/>
  <c r="L45" i="13"/>
  <c r="M45" i="13" s="1"/>
  <c r="L33" i="13"/>
  <c r="M33" i="13" s="1"/>
  <c r="L26" i="13"/>
  <c r="M26" i="13" s="1"/>
  <c r="L259" i="13"/>
  <c r="M259" i="13" s="1"/>
  <c r="L167" i="13"/>
  <c r="M167" i="13" s="1"/>
  <c r="L80" i="13"/>
  <c r="M80" i="13" s="1"/>
  <c r="L18" i="13"/>
  <c r="M18" i="13" s="1"/>
  <c r="L140" i="13"/>
  <c r="M140" i="13" s="1"/>
  <c r="L159" i="13"/>
  <c r="M159" i="13" s="1"/>
  <c r="L174" i="13"/>
  <c r="M174" i="13" s="1"/>
  <c r="L147" i="13"/>
  <c r="M147" i="13" s="1"/>
  <c r="G7" i="19"/>
  <c r="R7" i="19" s="1"/>
  <c r="H106" i="49"/>
  <c r="I106" i="49" s="1"/>
  <c r="H54" i="49"/>
  <c r="I54" i="49" s="1"/>
  <c r="H8" i="49"/>
  <c r="H105" i="49"/>
  <c r="H129" i="49"/>
  <c r="H171" i="49"/>
  <c r="H38" i="49"/>
  <c r="I38" i="49" s="1"/>
  <c r="H287" i="49"/>
  <c r="I287" i="49" s="1"/>
  <c r="H206" i="49"/>
  <c r="H190" i="49"/>
  <c r="H142" i="49"/>
  <c r="I142" i="49" s="1"/>
  <c r="H58" i="49"/>
  <c r="H46" i="49"/>
  <c r="H295" i="49"/>
  <c r="I295" i="49" s="1"/>
  <c r="H230" i="49"/>
  <c r="H229" i="49"/>
  <c r="H225" i="49"/>
  <c r="H205" i="49"/>
  <c r="H162" i="49"/>
  <c r="H125" i="49"/>
  <c r="H113" i="49"/>
  <c r="H89" i="49"/>
  <c r="H86" i="49"/>
  <c r="I86" i="49" s="1"/>
  <c r="H79" i="49"/>
  <c r="H71" i="49"/>
  <c r="H67" i="49"/>
  <c r="H62" i="49"/>
  <c r="I62" i="49" s="1"/>
  <c r="H35" i="49"/>
  <c r="H28" i="49"/>
  <c r="I28" i="49" s="1"/>
  <c r="H13" i="49"/>
  <c r="H11" i="49"/>
  <c r="I11" i="49" s="1"/>
  <c r="H66" i="49"/>
  <c r="I66" i="49" s="1"/>
  <c r="H265" i="49"/>
  <c r="H239" i="49"/>
  <c r="H175" i="49"/>
  <c r="H174" i="49"/>
  <c r="H124" i="49"/>
  <c r="H94" i="49"/>
  <c r="I94" i="49" s="1"/>
  <c r="H84" i="49"/>
  <c r="H83" i="49"/>
  <c r="H82" i="49"/>
  <c r="I82" i="49" s="1"/>
  <c r="H78" i="49"/>
  <c r="I78" i="49" s="1"/>
  <c r="H74" i="49"/>
  <c r="I74" i="49" s="1"/>
  <c r="H70" i="49"/>
  <c r="I70" i="49" s="1"/>
  <c r="H55" i="49"/>
  <c r="H51" i="49"/>
  <c r="H50" i="49"/>
  <c r="H31" i="49"/>
  <c r="I31" i="49" s="1"/>
  <c r="H14" i="49"/>
  <c r="H302" i="49"/>
  <c r="H298" i="49"/>
  <c r="H288" i="49"/>
  <c r="I288" i="49" s="1"/>
  <c r="H272" i="49"/>
  <c r="H264" i="49"/>
  <c r="H247" i="49"/>
  <c r="H238" i="49"/>
  <c r="I238" i="49" s="1"/>
  <c r="H219" i="49"/>
  <c r="I219" i="49" s="1"/>
  <c r="H195" i="49"/>
  <c r="I195" i="49" s="1"/>
  <c r="H156" i="49"/>
  <c r="H138" i="49"/>
  <c r="I138" i="49" s="1"/>
  <c r="H134" i="49"/>
  <c r="H59" i="49"/>
  <c r="H47" i="49"/>
  <c r="H15" i="49"/>
  <c r="I15" i="49" s="1"/>
  <c r="H279" i="49"/>
  <c r="H275" i="49"/>
  <c r="I275" i="49" s="1"/>
  <c r="H258" i="49"/>
  <c r="H234" i="49"/>
  <c r="H222" i="49"/>
  <c r="H182" i="49"/>
  <c r="I182" i="49" s="1"/>
  <c r="H126" i="49"/>
  <c r="I126" i="49" s="1"/>
  <c r="H122" i="49"/>
  <c r="I122" i="49" s="1"/>
  <c r="H118" i="49"/>
  <c r="I118" i="49" s="1"/>
  <c r="H114" i="49"/>
  <c r="I114" i="49" s="1"/>
  <c r="H102" i="49"/>
  <c r="I102" i="49" s="1"/>
  <c r="H90" i="49"/>
  <c r="I90" i="49" s="1"/>
  <c r="H76" i="49"/>
  <c r="H34" i="49"/>
  <c r="I34" i="49" s="1"/>
  <c r="H16" i="49"/>
  <c r="B314" i="25"/>
  <c r="L7" i="13"/>
  <c r="M7" i="13" s="1"/>
  <c r="D9" i="36"/>
  <c r="J9" i="36"/>
  <c r="I9" i="36"/>
  <c r="F9" i="36"/>
  <c r="H9" i="36"/>
  <c r="E9" i="36"/>
  <c r="G9" i="36"/>
  <c r="V317" i="42" l="1"/>
  <c r="AJ317" i="42" s="1"/>
  <c r="AJ315" i="42"/>
  <c r="K10" i="36"/>
  <c r="F17" i="34" s="1"/>
  <c r="K283" i="36"/>
  <c r="F290" i="34" s="1"/>
  <c r="K219" i="36"/>
  <c r="F226" i="34" s="1"/>
  <c r="K41" i="36"/>
  <c r="F48" i="34" s="1"/>
  <c r="K146" i="36"/>
  <c r="F153" i="34" s="1"/>
  <c r="K30" i="36"/>
  <c r="F37" i="34" s="1"/>
  <c r="K67" i="36"/>
  <c r="F74" i="34" s="1"/>
  <c r="K214" i="36"/>
  <c r="F221" i="34" s="1"/>
  <c r="K230" i="36"/>
  <c r="F237" i="34" s="1"/>
  <c r="K293" i="36"/>
  <c r="F300" i="34" s="1"/>
  <c r="K251" i="36"/>
  <c r="F258" i="34" s="1"/>
  <c r="K150" i="36"/>
  <c r="F157" i="34" s="1"/>
  <c r="K45" i="36"/>
  <c r="F52" i="34" s="1"/>
  <c r="K114" i="36"/>
  <c r="F121" i="34" s="1"/>
  <c r="K267" i="36"/>
  <c r="F274" i="34" s="1"/>
  <c r="K309" i="36"/>
  <c r="F316" i="34" s="1"/>
  <c r="K288" i="36"/>
  <c r="F295" i="34" s="1"/>
  <c r="K182" i="36"/>
  <c r="F189" i="34" s="1"/>
  <c r="K198" i="36"/>
  <c r="F205" i="34" s="1"/>
  <c r="K238" i="36"/>
  <c r="F245" i="34" s="1"/>
  <c r="K101" i="36"/>
  <c r="F108" i="34" s="1"/>
  <c r="K36" i="36"/>
  <c r="F43" i="34" s="1"/>
  <c r="K206" i="36"/>
  <c r="F213" i="34" s="1"/>
  <c r="K174" i="36"/>
  <c r="F181" i="34" s="1"/>
  <c r="K308" i="36"/>
  <c r="F315" i="34" s="1"/>
  <c r="K199" i="36"/>
  <c r="F206" i="34" s="1"/>
  <c r="K289" i="36"/>
  <c r="F296" i="34" s="1"/>
  <c r="K235" i="36"/>
  <c r="F242" i="34" s="1"/>
  <c r="K207" i="36"/>
  <c r="F214" i="34" s="1"/>
  <c r="K179" i="36"/>
  <c r="F186" i="34" s="1"/>
  <c r="K258" i="36"/>
  <c r="F265" i="34" s="1"/>
  <c r="I112" i="32"/>
  <c r="D118" i="9"/>
  <c r="I66" i="32"/>
  <c r="D72" i="9"/>
  <c r="I68" i="32"/>
  <c r="D74" i="9"/>
  <c r="I208" i="32"/>
  <c r="D214" i="9"/>
  <c r="I87" i="32"/>
  <c r="D93" i="9"/>
  <c r="I150" i="32"/>
  <c r="D156" i="9"/>
  <c r="I126" i="32"/>
  <c r="D132" i="9"/>
  <c r="D136" i="9"/>
  <c r="I130" i="32"/>
  <c r="I60" i="32"/>
  <c r="D66" i="9"/>
  <c r="I238" i="32"/>
  <c r="D244" i="9"/>
  <c r="I258" i="32"/>
  <c r="D264" i="9"/>
  <c r="I284" i="32"/>
  <c r="D290" i="9"/>
  <c r="I183" i="32"/>
  <c r="D189" i="9"/>
  <c r="I283" i="32"/>
  <c r="D289" i="9"/>
  <c r="I10" i="32"/>
  <c r="D16" i="9"/>
  <c r="I307" i="32"/>
  <c r="D313" i="9"/>
  <c r="D53" i="9"/>
  <c r="I47" i="32"/>
  <c r="D99" i="9"/>
  <c r="I93" i="32"/>
  <c r="D143" i="9"/>
  <c r="I137" i="32"/>
  <c r="I70" i="32"/>
  <c r="D76" i="9"/>
  <c r="I176" i="32"/>
  <c r="D182" i="9"/>
  <c r="I75" i="32"/>
  <c r="D81" i="9"/>
  <c r="I188" i="32"/>
  <c r="D194" i="9"/>
  <c r="I148" i="32"/>
  <c r="D154" i="9"/>
  <c r="I226" i="32"/>
  <c r="D232" i="9"/>
  <c r="I280" i="32"/>
  <c r="D286" i="9"/>
  <c r="I254" i="32"/>
  <c r="D260" i="9"/>
  <c r="I285" i="32"/>
  <c r="D291" i="9"/>
  <c r="I78" i="32"/>
  <c r="D84" i="9"/>
  <c r="I166" i="32"/>
  <c r="D172" i="9"/>
  <c r="D228" i="9"/>
  <c r="I222" i="32"/>
  <c r="I308" i="32"/>
  <c r="D314" i="9"/>
  <c r="D309" i="9"/>
  <c r="I303" i="32"/>
  <c r="I33" i="32"/>
  <c r="D39" i="9"/>
  <c r="D42" i="9"/>
  <c r="I36" i="32"/>
  <c r="D95" i="9"/>
  <c r="I89" i="32"/>
  <c r="I131" i="32"/>
  <c r="D137" i="9"/>
  <c r="D183" i="9"/>
  <c r="I177" i="32"/>
  <c r="I27" i="32"/>
  <c r="D33" i="9"/>
  <c r="I172" i="32"/>
  <c r="D178" i="9"/>
  <c r="I104" i="32"/>
  <c r="D110" i="9"/>
  <c r="I211" i="32"/>
  <c r="D217" i="9"/>
  <c r="I128" i="32"/>
  <c r="D134" i="9"/>
  <c r="D234" i="9"/>
  <c r="I228" i="32"/>
  <c r="I107" i="32"/>
  <c r="D113" i="9"/>
  <c r="I46" i="32"/>
  <c r="D52" i="9"/>
  <c r="D140" i="9"/>
  <c r="I134" i="32"/>
  <c r="I158" i="32"/>
  <c r="D164" i="9"/>
  <c r="I296" i="32"/>
  <c r="D302" i="9"/>
  <c r="I305" i="32"/>
  <c r="D311" i="9"/>
  <c r="I301" i="32"/>
  <c r="D307" i="9"/>
  <c r="D19" i="9"/>
  <c r="I13" i="32"/>
  <c r="D103" i="9"/>
  <c r="I97" i="32"/>
  <c r="I99" i="32"/>
  <c r="D105" i="9"/>
  <c r="D153" i="9"/>
  <c r="I147" i="32"/>
  <c r="I169" i="32"/>
  <c r="D175" i="9"/>
  <c r="I213" i="32"/>
  <c r="D219" i="9"/>
  <c r="D38" i="9"/>
  <c r="I32" i="32"/>
  <c r="I212" i="32"/>
  <c r="D218" i="9"/>
  <c r="I80" i="32"/>
  <c r="D86" i="9"/>
  <c r="I144" i="32"/>
  <c r="D150" i="9"/>
  <c r="I28" i="32"/>
  <c r="D34" i="9"/>
  <c r="I233" i="32"/>
  <c r="D239" i="9"/>
  <c r="I276" i="32"/>
  <c r="D282" i="9"/>
  <c r="I252" i="32"/>
  <c r="D258" i="9"/>
  <c r="I268" i="32"/>
  <c r="D274" i="9"/>
  <c r="I248" i="32"/>
  <c r="D254" i="9"/>
  <c r="I292" i="32"/>
  <c r="D298" i="9"/>
  <c r="I122" i="32"/>
  <c r="D128" i="9"/>
  <c r="I111" i="32"/>
  <c r="D117" i="9"/>
  <c r="D115" i="9"/>
  <c r="I109" i="32"/>
  <c r="I205" i="32"/>
  <c r="D211" i="9"/>
  <c r="I239" i="32"/>
  <c r="D245" i="9"/>
  <c r="I279" i="32"/>
  <c r="D285" i="9"/>
  <c r="I251" i="32"/>
  <c r="D257" i="9"/>
  <c r="D65" i="9"/>
  <c r="I59" i="32"/>
  <c r="D111" i="9"/>
  <c r="I105" i="32"/>
  <c r="K227" i="36"/>
  <c r="F234" i="34" s="1"/>
  <c r="K20" i="36"/>
  <c r="F27" i="34" s="1"/>
  <c r="K32" i="36"/>
  <c r="F39" i="34" s="1"/>
  <c r="K104" i="36"/>
  <c r="F111" i="34" s="1"/>
  <c r="K74" i="36"/>
  <c r="F81" i="34" s="1"/>
  <c r="K128" i="36"/>
  <c r="F135" i="34" s="1"/>
  <c r="K18" i="36"/>
  <c r="F25" i="34" s="1"/>
  <c r="K56" i="36"/>
  <c r="F63" i="34" s="1"/>
  <c r="K47" i="36"/>
  <c r="F54" i="34" s="1"/>
  <c r="K12" i="36"/>
  <c r="F19" i="34" s="1"/>
  <c r="K88" i="36"/>
  <c r="F95" i="34" s="1"/>
  <c r="K58" i="36"/>
  <c r="F65" i="34" s="1"/>
  <c r="K245" i="36"/>
  <c r="F252" i="34" s="1"/>
  <c r="K113" i="36"/>
  <c r="F120" i="34" s="1"/>
  <c r="K266" i="36"/>
  <c r="F273" i="34" s="1"/>
  <c r="K311" i="36"/>
  <c r="F318" i="34" s="1"/>
  <c r="K138" i="36"/>
  <c r="F145" i="34" s="1"/>
  <c r="K205" i="36"/>
  <c r="F212" i="34" s="1"/>
  <c r="K34" i="36"/>
  <c r="F41" i="34" s="1"/>
  <c r="K201" i="36"/>
  <c r="F208" i="34" s="1"/>
  <c r="K303" i="36"/>
  <c r="F310" i="34" s="1"/>
  <c r="K277" i="36"/>
  <c r="F284" i="34" s="1"/>
  <c r="K106" i="36"/>
  <c r="F113" i="34" s="1"/>
  <c r="K177" i="36"/>
  <c r="F184" i="34" s="1"/>
  <c r="K281" i="36"/>
  <c r="F288" i="34" s="1"/>
  <c r="K122" i="36"/>
  <c r="F129" i="34" s="1"/>
  <c r="K213" i="36"/>
  <c r="F220" i="34" s="1"/>
  <c r="K125" i="36"/>
  <c r="F132" i="34" s="1"/>
  <c r="K142" i="36"/>
  <c r="F149" i="34" s="1"/>
  <c r="K221" i="36"/>
  <c r="F228" i="34" s="1"/>
  <c r="K285" i="36"/>
  <c r="F292" i="34" s="1"/>
  <c r="K306" i="36"/>
  <c r="F313" i="34" s="1"/>
  <c r="K313" i="36"/>
  <c r="F320" i="34" s="1"/>
  <c r="K302" i="36"/>
  <c r="F309" i="34" s="1"/>
  <c r="K276" i="36"/>
  <c r="F283" i="34" s="1"/>
  <c r="K252" i="36"/>
  <c r="F259" i="34" s="1"/>
  <c r="K208" i="36"/>
  <c r="F215" i="34" s="1"/>
  <c r="K152" i="36"/>
  <c r="F159" i="34" s="1"/>
  <c r="K188" i="36"/>
  <c r="F195" i="34" s="1"/>
  <c r="K95" i="36"/>
  <c r="F102" i="34" s="1"/>
  <c r="K98" i="36"/>
  <c r="F105" i="34" s="1"/>
  <c r="K155" i="36"/>
  <c r="F162" i="34" s="1"/>
  <c r="K131" i="36"/>
  <c r="F138" i="34" s="1"/>
  <c r="K107" i="36"/>
  <c r="F114" i="34" s="1"/>
  <c r="K46" i="36"/>
  <c r="F53" i="34" s="1"/>
  <c r="K196" i="36"/>
  <c r="F203" i="34" s="1"/>
  <c r="K143" i="36"/>
  <c r="F150" i="34" s="1"/>
  <c r="K117" i="36"/>
  <c r="F124" i="34" s="1"/>
  <c r="K79" i="36"/>
  <c r="F86" i="34" s="1"/>
  <c r="K44" i="36"/>
  <c r="F51" i="34" s="1"/>
  <c r="K11" i="36"/>
  <c r="F18" i="34" s="1"/>
  <c r="K49" i="36"/>
  <c r="F56" i="34" s="1"/>
  <c r="K270" i="36"/>
  <c r="F277" i="34" s="1"/>
  <c r="K29" i="36"/>
  <c r="F36" i="34" s="1"/>
  <c r="K133" i="36"/>
  <c r="F140" i="34" s="1"/>
  <c r="K158" i="36"/>
  <c r="F165" i="34" s="1"/>
  <c r="K274" i="36"/>
  <c r="F281" i="34" s="1"/>
  <c r="K246" i="36"/>
  <c r="F253" i="34" s="1"/>
  <c r="K210" i="36"/>
  <c r="F217" i="34" s="1"/>
  <c r="K202" i="36"/>
  <c r="F209" i="34" s="1"/>
  <c r="K300" i="36"/>
  <c r="F307" i="34" s="1"/>
  <c r="K178" i="36"/>
  <c r="F185" i="34" s="1"/>
  <c r="K151" i="36"/>
  <c r="F158" i="34" s="1"/>
  <c r="K215" i="36"/>
  <c r="F222" i="34" s="1"/>
  <c r="K159" i="36"/>
  <c r="F166" i="34" s="1"/>
  <c r="K195" i="36"/>
  <c r="F202" i="34" s="1"/>
  <c r="I192" i="32"/>
  <c r="D198" i="9"/>
  <c r="I96" i="32"/>
  <c r="D102" i="9"/>
  <c r="I161" i="32"/>
  <c r="D167" i="9"/>
  <c r="I250" i="32"/>
  <c r="D256" i="9"/>
  <c r="I289" i="32"/>
  <c r="D295" i="9"/>
  <c r="I58" i="32"/>
  <c r="D64" i="9"/>
  <c r="I281" i="32"/>
  <c r="D287" i="9"/>
  <c r="I257" i="32"/>
  <c r="D263" i="9"/>
  <c r="D116" i="9"/>
  <c r="I110" i="32"/>
  <c r="I162" i="32"/>
  <c r="D168" i="9"/>
  <c r="D54" i="9"/>
  <c r="I48" i="32"/>
  <c r="I91" i="32"/>
  <c r="D97" i="9"/>
  <c r="I187" i="32"/>
  <c r="D193" i="9"/>
  <c r="D231" i="9"/>
  <c r="I225" i="32"/>
  <c r="I271" i="32"/>
  <c r="D277" i="9"/>
  <c r="I247" i="32"/>
  <c r="D253" i="9"/>
  <c r="D57" i="9"/>
  <c r="I51" i="32"/>
  <c r="I95" i="32"/>
  <c r="D101" i="9"/>
  <c r="I116" i="32"/>
  <c r="D122" i="9"/>
  <c r="I77" i="32"/>
  <c r="D83" i="9"/>
  <c r="I76" i="32"/>
  <c r="D82" i="9"/>
  <c r="I20" i="32"/>
  <c r="D26" i="9"/>
  <c r="I44" i="32"/>
  <c r="D50" i="9"/>
  <c r="I236" i="32"/>
  <c r="D242" i="9"/>
  <c r="I174" i="32"/>
  <c r="D180" i="9"/>
  <c r="I206" i="32"/>
  <c r="D212" i="9"/>
  <c r="I127" i="32"/>
  <c r="D133" i="9"/>
  <c r="I273" i="32"/>
  <c r="D279" i="9"/>
  <c r="I42" i="32"/>
  <c r="D48" i="9"/>
  <c r="I297" i="32"/>
  <c r="D303" i="9"/>
  <c r="I181" i="32"/>
  <c r="D187" i="9"/>
  <c r="I275" i="32"/>
  <c r="D281" i="9"/>
  <c r="D312" i="9"/>
  <c r="I306" i="32"/>
  <c r="I295" i="32"/>
  <c r="D301" i="9"/>
  <c r="I9" i="32"/>
  <c r="D15" i="9"/>
  <c r="I79" i="32"/>
  <c r="D85" i="9"/>
  <c r="I133" i="32"/>
  <c r="D139" i="9"/>
  <c r="I84" i="32"/>
  <c r="D90" i="9"/>
  <c r="I8" i="32"/>
  <c r="D14" i="9"/>
  <c r="I35" i="32"/>
  <c r="D41" i="9"/>
  <c r="I220" i="32"/>
  <c r="D226" i="9"/>
  <c r="I175" i="32"/>
  <c r="D181" i="9"/>
  <c r="I253" i="32"/>
  <c r="D259" i="9"/>
  <c r="I293" i="32"/>
  <c r="D299" i="9"/>
  <c r="I313" i="32"/>
  <c r="D319" i="9"/>
  <c r="I294" i="32"/>
  <c r="D300" i="9"/>
  <c r="I138" i="32"/>
  <c r="D144" i="9"/>
  <c r="I232" i="32"/>
  <c r="D238" i="9"/>
  <c r="I265" i="32"/>
  <c r="D271" i="9"/>
  <c r="D308" i="9"/>
  <c r="I302" i="32"/>
  <c r="I299" i="32"/>
  <c r="D305" i="9"/>
  <c r="D23" i="9"/>
  <c r="I17" i="32"/>
  <c r="I34" i="32"/>
  <c r="D40" i="9"/>
  <c r="I83" i="32"/>
  <c r="D89" i="9"/>
  <c r="D131" i="9"/>
  <c r="I125" i="32"/>
  <c r="D165" i="9"/>
  <c r="I159" i="32"/>
  <c r="D27" i="9"/>
  <c r="I21" i="32"/>
  <c r="I200" i="32"/>
  <c r="D206" i="9"/>
  <c r="I132" i="32"/>
  <c r="D138" i="9"/>
  <c r="I160" i="32"/>
  <c r="D166" i="9"/>
  <c r="I72" i="32"/>
  <c r="D78" i="9"/>
  <c r="D106" i="9"/>
  <c r="I100" i="32"/>
  <c r="D208" i="9"/>
  <c r="I202" i="32"/>
  <c r="I186" i="32"/>
  <c r="D192" i="9"/>
  <c r="I98" i="32"/>
  <c r="D104" i="9"/>
  <c r="I190" i="32"/>
  <c r="D196" i="9"/>
  <c r="I264" i="32"/>
  <c r="D270" i="9"/>
  <c r="I90" i="32"/>
  <c r="D96" i="9"/>
  <c r="I269" i="32"/>
  <c r="D275" i="9"/>
  <c r="I65" i="32"/>
  <c r="D71" i="9"/>
  <c r="D169" i="9"/>
  <c r="I163" i="32"/>
  <c r="D147" i="9"/>
  <c r="I141" i="32"/>
  <c r="I227" i="32"/>
  <c r="D233" i="9"/>
  <c r="I215" i="32"/>
  <c r="D221" i="9"/>
  <c r="I235" i="32"/>
  <c r="D241" i="9"/>
  <c r="I61" i="32"/>
  <c r="D67" i="9"/>
  <c r="K40" i="36"/>
  <c r="F47" i="34" s="1"/>
  <c r="K28" i="36"/>
  <c r="F35" i="34" s="1"/>
  <c r="K136" i="36"/>
  <c r="F143" i="34" s="1"/>
  <c r="K80" i="36"/>
  <c r="F87" i="34" s="1"/>
  <c r="K144" i="36"/>
  <c r="F151" i="34" s="1"/>
  <c r="K51" i="36"/>
  <c r="F58" i="34" s="1"/>
  <c r="K108" i="36"/>
  <c r="F115" i="34" s="1"/>
  <c r="K35" i="36"/>
  <c r="F42" i="34" s="1"/>
  <c r="K43" i="36"/>
  <c r="F50" i="34" s="1"/>
  <c r="K120" i="36"/>
  <c r="F127" i="34" s="1"/>
  <c r="K241" i="36"/>
  <c r="F248" i="34" s="1"/>
  <c r="K39" i="36"/>
  <c r="F46" i="34" s="1"/>
  <c r="K218" i="36"/>
  <c r="F225" i="34" s="1"/>
  <c r="K282" i="36"/>
  <c r="F289" i="34" s="1"/>
  <c r="K84" i="36"/>
  <c r="F91" i="34" s="1"/>
  <c r="K161" i="36"/>
  <c r="F168" i="34" s="1"/>
  <c r="K77" i="36"/>
  <c r="F84" i="34" s="1"/>
  <c r="K149" i="36"/>
  <c r="F156" i="34" s="1"/>
  <c r="K109" i="36"/>
  <c r="F116" i="34" s="1"/>
  <c r="K231" i="36"/>
  <c r="F238" i="34" s="1"/>
  <c r="K145" i="36"/>
  <c r="F152" i="34" s="1"/>
  <c r="K132" i="36"/>
  <c r="F139" i="34" s="1"/>
  <c r="K193" i="36"/>
  <c r="F200" i="34" s="1"/>
  <c r="K93" i="36"/>
  <c r="F100" i="34" s="1"/>
  <c r="K157" i="36"/>
  <c r="F164" i="34" s="1"/>
  <c r="K217" i="36"/>
  <c r="F224" i="34" s="1"/>
  <c r="K263" i="36"/>
  <c r="F270" i="34" s="1"/>
  <c r="K261" i="36"/>
  <c r="F268" i="34" s="1"/>
  <c r="K237" i="36"/>
  <c r="F244" i="34" s="1"/>
  <c r="K304" i="36"/>
  <c r="F311" i="34" s="1"/>
  <c r="K305" i="36"/>
  <c r="F312" i="34" s="1"/>
  <c r="K298" i="36"/>
  <c r="F305" i="34" s="1"/>
  <c r="K290" i="36"/>
  <c r="F297" i="34" s="1"/>
  <c r="K294" i="36"/>
  <c r="F301" i="34" s="1"/>
  <c r="K268" i="36"/>
  <c r="F275" i="34" s="1"/>
  <c r="K228" i="36"/>
  <c r="F235" i="34" s="1"/>
  <c r="K184" i="36"/>
  <c r="F191" i="34" s="1"/>
  <c r="K135" i="36"/>
  <c r="F142" i="34" s="1"/>
  <c r="K38" i="36"/>
  <c r="F45" i="34" s="1"/>
  <c r="K204" i="36"/>
  <c r="F211" i="34" s="1"/>
  <c r="K171" i="36"/>
  <c r="F178" i="34" s="1"/>
  <c r="K119" i="36"/>
  <c r="F126" i="34" s="1"/>
  <c r="K91" i="36"/>
  <c r="F98" i="34" s="1"/>
  <c r="K271" i="36"/>
  <c r="F278" i="34" s="1"/>
  <c r="K223" i="36"/>
  <c r="F230" i="34" s="1"/>
  <c r="K168" i="36"/>
  <c r="F175" i="34" s="1"/>
  <c r="K89" i="36"/>
  <c r="F96" i="34" s="1"/>
  <c r="K272" i="36"/>
  <c r="F279" i="34" s="1"/>
  <c r="K240" i="36"/>
  <c r="F247" i="34" s="1"/>
  <c r="K187" i="36"/>
  <c r="F194" i="34" s="1"/>
  <c r="K160" i="36"/>
  <c r="F167" i="34" s="1"/>
  <c r="K130" i="36"/>
  <c r="F137" i="34" s="1"/>
  <c r="K102" i="36"/>
  <c r="F109" i="34" s="1"/>
  <c r="K66" i="36"/>
  <c r="F73" i="34" s="1"/>
  <c r="K148" i="36"/>
  <c r="F155" i="34" s="1"/>
  <c r="K137" i="36"/>
  <c r="F144" i="34" s="1"/>
  <c r="K103" i="36"/>
  <c r="F110" i="34" s="1"/>
  <c r="K72" i="36"/>
  <c r="F79" i="34" s="1"/>
  <c r="K60" i="36"/>
  <c r="F67" i="34" s="1"/>
  <c r="K26" i="36"/>
  <c r="F33" i="34" s="1"/>
  <c r="K31" i="36"/>
  <c r="F38" i="34" s="1"/>
  <c r="K63" i="36"/>
  <c r="F70" i="34" s="1"/>
  <c r="K134" i="36"/>
  <c r="F141" i="34" s="1"/>
  <c r="K166" i="36"/>
  <c r="F173" i="34" s="1"/>
  <c r="K239" i="36"/>
  <c r="F246" i="34" s="1"/>
  <c r="K255" i="36"/>
  <c r="F262" i="34" s="1"/>
  <c r="K70" i="36"/>
  <c r="F77" i="34" s="1"/>
  <c r="K17" i="36"/>
  <c r="F24" i="34" s="1"/>
  <c r="K21" i="36"/>
  <c r="F28" i="34" s="1"/>
  <c r="K170" i="36"/>
  <c r="F177" i="34" s="1"/>
  <c r="K275" i="36"/>
  <c r="F282" i="34" s="1"/>
  <c r="K292" i="36"/>
  <c r="F299" i="34" s="1"/>
  <c r="K297" i="36"/>
  <c r="F304" i="34" s="1"/>
  <c r="K316" i="36"/>
  <c r="F323" i="34" s="1"/>
  <c r="K243" i="36"/>
  <c r="F250" i="34" s="1"/>
  <c r="K190" i="36"/>
  <c r="F197" i="34" s="1"/>
  <c r="K259" i="36"/>
  <c r="F266" i="34" s="1"/>
  <c r="K167" i="36"/>
  <c r="F174" i="34" s="1"/>
  <c r="K175" i="36"/>
  <c r="F182" i="34" s="1"/>
  <c r="K147" i="36"/>
  <c r="F154" i="34" s="1"/>
  <c r="K211" i="36"/>
  <c r="F218" i="34" s="1"/>
  <c r="I216" i="32"/>
  <c r="D222" i="9"/>
  <c r="I149" i="32"/>
  <c r="D155" i="9"/>
  <c r="I179" i="32"/>
  <c r="D185" i="9"/>
  <c r="I88" i="32"/>
  <c r="D94" i="9"/>
  <c r="I123" i="32"/>
  <c r="D129" i="9"/>
  <c r="I7" i="32"/>
  <c r="D13" i="9"/>
  <c r="I229" i="32"/>
  <c r="D235" i="9"/>
  <c r="I14" i="32"/>
  <c r="D20" i="9"/>
  <c r="I230" i="32"/>
  <c r="D236" i="9"/>
  <c r="I277" i="32"/>
  <c r="D283" i="9"/>
  <c r="I178" i="32"/>
  <c r="D184" i="9"/>
  <c r="I278" i="32"/>
  <c r="D284" i="9"/>
  <c r="I49" i="32"/>
  <c r="D55" i="9"/>
  <c r="I115" i="32"/>
  <c r="D121" i="9"/>
  <c r="I119" i="32"/>
  <c r="D125" i="9"/>
  <c r="I197" i="32"/>
  <c r="D203" i="9"/>
  <c r="D199" i="9"/>
  <c r="I193" i="32"/>
  <c r="I221" i="32"/>
  <c r="D227" i="9"/>
  <c r="I53" i="32"/>
  <c r="D59" i="9"/>
  <c r="I168" i="32"/>
  <c r="D174" i="9"/>
  <c r="I108" i="32"/>
  <c r="D114" i="9"/>
  <c r="I180" i="32"/>
  <c r="D186" i="9"/>
  <c r="I73" i="32"/>
  <c r="D79" i="9"/>
  <c r="I260" i="32"/>
  <c r="D266" i="9"/>
  <c r="I298" i="32"/>
  <c r="D304" i="9"/>
  <c r="D120" i="9"/>
  <c r="I114" i="32"/>
  <c r="I290" i="32"/>
  <c r="D296" i="9"/>
  <c r="I118" i="32"/>
  <c r="D124" i="9"/>
  <c r="I309" i="32"/>
  <c r="D315" i="9"/>
  <c r="I210" i="32"/>
  <c r="D216" i="9"/>
  <c r="D112" i="9"/>
  <c r="I106" i="32"/>
  <c r="D91" i="9"/>
  <c r="I85" i="32"/>
  <c r="I185" i="32"/>
  <c r="D191" i="9"/>
  <c r="D215" i="9"/>
  <c r="I209" i="32"/>
  <c r="I263" i="32"/>
  <c r="D269" i="9"/>
  <c r="I231" i="32"/>
  <c r="D237" i="9"/>
  <c r="D49" i="9"/>
  <c r="I43" i="32"/>
  <c r="D87" i="9"/>
  <c r="I81" i="32"/>
  <c r="I191" i="32"/>
  <c r="D197" i="9"/>
  <c r="I22" i="32"/>
  <c r="D28" i="9"/>
  <c r="I92" i="32"/>
  <c r="D98" i="9"/>
  <c r="I24" i="32"/>
  <c r="D30" i="9"/>
  <c r="I170" i="32"/>
  <c r="D176" i="9"/>
  <c r="I266" i="32"/>
  <c r="D272" i="9"/>
  <c r="I234" i="32"/>
  <c r="D240" i="9"/>
  <c r="I237" i="32"/>
  <c r="D243" i="9"/>
  <c r="I194" i="32"/>
  <c r="D200" i="9"/>
  <c r="I282" i="32"/>
  <c r="D288" i="9"/>
  <c r="I94" i="32"/>
  <c r="D100" i="9"/>
  <c r="I23" i="32"/>
  <c r="D29" i="9"/>
  <c r="D161" i="9"/>
  <c r="I155" i="32"/>
  <c r="I267" i="32"/>
  <c r="D273" i="9"/>
  <c r="I255" i="32"/>
  <c r="D261" i="9"/>
  <c r="I287" i="32"/>
  <c r="D293" i="9"/>
  <c r="I259" i="32"/>
  <c r="D265" i="9"/>
  <c r="D75" i="9"/>
  <c r="I69" i="32"/>
  <c r="D135" i="9"/>
  <c r="I129" i="32"/>
  <c r="I204" i="32"/>
  <c r="D210" i="9"/>
  <c r="I164" i="32"/>
  <c r="D170" i="9"/>
  <c r="I224" i="32"/>
  <c r="D230" i="9"/>
  <c r="I102" i="32"/>
  <c r="D108" i="9"/>
  <c r="I245" i="32"/>
  <c r="D251" i="9"/>
  <c r="I261" i="32"/>
  <c r="D267" i="9"/>
  <c r="I143" i="32"/>
  <c r="D149" i="9"/>
  <c r="I262" i="32"/>
  <c r="D268" i="9"/>
  <c r="I241" i="32"/>
  <c r="D247" i="9"/>
  <c r="I38" i="32"/>
  <c r="D44" i="9"/>
  <c r="D46" i="9"/>
  <c r="I40" i="32"/>
  <c r="I312" i="32"/>
  <c r="D318" i="9"/>
  <c r="D316" i="9"/>
  <c r="I310" i="32"/>
  <c r="D61" i="9"/>
  <c r="I55" i="32"/>
  <c r="I57" i="32"/>
  <c r="D63" i="9"/>
  <c r="D151" i="9"/>
  <c r="I145" i="32"/>
  <c r="I165" i="32"/>
  <c r="D171" i="9"/>
  <c r="I203" i="32"/>
  <c r="D209" i="9"/>
  <c r="I31" i="32"/>
  <c r="D37" i="9"/>
  <c r="K140" i="36"/>
  <c r="F147" i="34" s="1"/>
  <c r="K53" i="36"/>
  <c r="F60" i="34" s="1"/>
  <c r="K75" i="36"/>
  <c r="F82" i="34" s="1"/>
  <c r="K96" i="36"/>
  <c r="F103" i="34" s="1"/>
  <c r="K225" i="36"/>
  <c r="F232" i="34" s="1"/>
  <c r="K37" i="36"/>
  <c r="F44" i="34" s="1"/>
  <c r="K126" i="36"/>
  <c r="F133" i="34" s="1"/>
  <c r="K22" i="36"/>
  <c r="F29" i="34" s="1"/>
  <c r="K73" i="36"/>
  <c r="F80" i="34" s="1"/>
  <c r="K59" i="36"/>
  <c r="F66" i="34" s="1"/>
  <c r="K273" i="36"/>
  <c r="F280" i="34" s="1"/>
  <c r="K81" i="36"/>
  <c r="F88" i="34" s="1"/>
  <c r="K234" i="36"/>
  <c r="F241" i="34" s="1"/>
  <c r="K295" i="36"/>
  <c r="F302" i="34" s="1"/>
  <c r="K100" i="36"/>
  <c r="F107" i="34" s="1"/>
  <c r="K169" i="36"/>
  <c r="F176" i="34" s="1"/>
  <c r="K141" i="36"/>
  <c r="F148" i="34" s="1"/>
  <c r="K173" i="36"/>
  <c r="F180" i="34" s="1"/>
  <c r="K229" i="36"/>
  <c r="F236" i="34" s="1"/>
  <c r="K62" i="36"/>
  <c r="F69" i="34" s="1"/>
  <c r="K55" i="36"/>
  <c r="F62" i="34" s="1"/>
  <c r="K153" i="36"/>
  <c r="F160" i="34" s="1"/>
  <c r="K209" i="36"/>
  <c r="F216" i="34" s="1"/>
  <c r="K291" i="36"/>
  <c r="F298" i="34" s="1"/>
  <c r="K181" i="36"/>
  <c r="F188" i="34" s="1"/>
  <c r="K233" i="36"/>
  <c r="F240" i="34" s="1"/>
  <c r="K307" i="36"/>
  <c r="F314" i="34" s="1"/>
  <c r="K71" i="36"/>
  <c r="F78" i="34" s="1"/>
  <c r="K253" i="36"/>
  <c r="F260" i="34" s="1"/>
  <c r="K247" i="36"/>
  <c r="F254" i="34" s="1"/>
  <c r="K286" i="36"/>
  <c r="F293" i="34" s="1"/>
  <c r="K310" i="36"/>
  <c r="F317" i="34" s="1"/>
  <c r="K296" i="36"/>
  <c r="F303" i="34" s="1"/>
  <c r="K284" i="36"/>
  <c r="F291" i="34" s="1"/>
  <c r="K244" i="36"/>
  <c r="F251" i="34" s="1"/>
  <c r="K220" i="36"/>
  <c r="F227" i="34" s="1"/>
  <c r="K203" i="36"/>
  <c r="F210" i="34" s="1"/>
  <c r="K99" i="36"/>
  <c r="F106" i="34" s="1"/>
  <c r="K212" i="36"/>
  <c r="F219" i="34" s="1"/>
  <c r="K115" i="36"/>
  <c r="F122" i="34" s="1"/>
  <c r="K76" i="36"/>
  <c r="F83" i="34" s="1"/>
  <c r="K254" i="36"/>
  <c r="F261" i="34" s="1"/>
  <c r="K222" i="36"/>
  <c r="F229" i="34" s="1"/>
  <c r="K200" i="36"/>
  <c r="F207" i="34" s="1"/>
  <c r="K85" i="36"/>
  <c r="F92" i="34" s="1"/>
  <c r="K139" i="36"/>
  <c r="F146" i="34" s="1"/>
  <c r="K33" i="36"/>
  <c r="F40" i="34" s="1"/>
  <c r="K176" i="36"/>
  <c r="F183" i="34" s="1"/>
  <c r="K127" i="36"/>
  <c r="F134" i="34" s="1"/>
  <c r="K54" i="36"/>
  <c r="F61" i="34" s="1"/>
  <c r="K27" i="36"/>
  <c r="F34" i="34" s="1"/>
  <c r="K164" i="36"/>
  <c r="F171" i="34" s="1"/>
  <c r="K123" i="36"/>
  <c r="F130" i="34" s="1"/>
  <c r="K83" i="36"/>
  <c r="F90" i="34" s="1"/>
  <c r="K68" i="36"/>
  <c r="F75" i="34" s="1"/>
  <c r="K50" i="36"/>
  <c r="F57" i="34" s="1"/>
  <c r="K42" i="36"/>
  <c r="F49" i="34" s="1"/>
  <c r="K23" i="36"/>
  <c r="F30" i="34" s="1"/>
  <c r="K19" i="36"/>
  <c r="F26" i="34" s="1"/>
  <c r="K14" i="36"/>
  <c r="F21" i="34" s="1"/>
  <c r="K82" i="36"/>
  <c r="F89" i="34" s="1"/>
  <c r="K262" i="36"/>
  <c r="F269" i="34" s="1"/>
  <c r="K194" i="36"/>
  <c r="F201" i="34" s="1"/>
  <c r="K186" i="36"/>
  <c r="F193" i="34" s="1"/>
  <c r="K162" i="36"/>
  <c r="F169" i="34" s="1"/>
  <c r="K242" i="36"/>
  <c r="F249" i="34" s="1"/>
  <c r="K278" i="36"/>
  <c r="F285" i="34" s="1"/>
  <c r="K154" i="36"/>
  <c r="F161" i="34" s="1"/>
  <c r="K226" i="36"/>
  <c r="F233" i="34" s="1"/>
  <c r="K312" i="36"/>
  <c r="F319" i="34" s="1"/>
  <c r="K183" i="36"/>
  <c r="F190" i="34" s="1"/>
  <c r="K118" i="36"/>
  <c r="F125" i="34" s="1"/>
  <c r="K191" i="36"/>
  <c r="F198" i="34" s="1"/>
  <c r="K163" i="36"/>
  <c r="F170" i="34" s="1"/>
  <c r="K287" i="36"/>
  <c r="F294" i="34" s="1"/>
  <c r="I11" i="32"/>
  <c r="D17" i="9"/>
  <c r="I120" i="32"/>
  <c r="D126" i="9"/>
  <c r="I207" i="32"/>
  <c r="D213" i="9"/>
  <c r="I156" i="32"/>
  <c r="D162" i="9"/>
  <c r="I153" i="32"/>
  <c r="D159" i="9"/>
  <c r="I142" i="32"/>
  <c r="D148" i="9"/>
  <c r="I270" i="32"/>
  <c r="D276" i="9"/>
  <c r="D246" i="9"/>
  <c r="I240" i="32"/>
  <c r="I272" i="32"/>
  <c r="D278" i="9"/>
  <c r="I256" i="32"/>
  <c r="D262" i="9"/>
  <c r="I82" i="32"/>
  <c r="D88" i="9"/>
  <c r="I139" i="32"/>
  <c r="D145" i="9"/>
  <c r="I304" i="32"/>
  <c r="D310" i="9"/>
  <c r="D317" i="9"/>
  <c r="I311" i="32"/>
  <c r="D45" i="9"/>
  <c r="I39" i="32"/>
  <c r="I41" i="32"/>
  <c r="D47" i="9"/>
  <c r="D127" i="9"/>
  <c r="I121" i="32"/>
  <c r="I135" i="32"/>
  <c r="D141" i="9"/>
  <c r="I199" i="32"/>
  <c r="D205" i="9"/>
  <c r="D35" i="9"/>
  <c r="I29" i="32"/>
  <c r="I136" i="32"/>
  <c r="D142" i="9"/>
  <c r="I157" i="32"/>
  <c r="D163" i="9"/>
  <c r="I195" i="32"/>
  <c r="D201" i="9"/>
  <c r="I140" i="32"/>
  <c r="D146" i="9"/>
  <c r="I182" i="32"/>
  <c r="D188" i="9"/>
  <c r="D70" i="9"/>
  <c r="I64" i="32"/>
  <c r="I246" i="32"/>
  <c r="D252" i="9"/>
  <c r="I86" i="32"/>
  <c r="D92" i="9"/>
  <c r="I62" i="32"/>
  <c r="D68" i="9"/>
  <c r="I286" i="32"/>
  <c r="D292" i="9"/>
  <c r="I242" i="32"/>
  <c r="D248" i="9"/>
  <c r="I288" i="32"/>
  <c r="D294" i="9"/>
  <c r="I25" i="32"/>
  <c r="D31" i="9"/>
  <c r="D119" i="9"/>
  <c r="I113" i="32"/>
  <c r="I117" i="32"/>
  <c r="D123" i="9"/>
  <c r="I167" i="32"/>
  <c r="D173" i="9"/>
  <c r="I173" i="32"/>
  <c r="D179" i="9"/>
  <c r="I217" i="32"/>
  <c r="D223" i="9"/>
  <c r="I45" i="32"/>
  <c r="D51" i="9"/>
  <c r="I184" i="32"/>
  <c r="D190" i="9"/>
  <c r="I101" i="32"/>
  <c r="D107" i="9"/>
  <c r="I223" i="32"/>
  <c r="D229" i="9"/>
  <c r="I37" i="32"/>
  <c r="D43" i="9"/>
  <c r="I50" i="32"/>
  <c r="D56" i="9"/>
  <c r="I54" i="32"/>
  <c r="D60" i="9"/>
  <c r="I146" i="32"/>
  <c r="D152" i="9"/>
  <c r="I300" i="32"/>
  <c r="D306" i="9"/>
  <c r="I154" i="32"/>
  <c r="D160" i="9"/>
  <c r="D204" i="9"/>
  <c r="I198" i="32"/>
  <c r="D250" i="9"/>
  <c r="I244" i="32"/>
  <c r="D224" i="9"/>
  <c r="I218" i="32"/>
  <c r="D73" i="9"/>
  <c r="I67" i="32"/>
  <c r="I171" i="32"/>
  <c r="D177" i="9"/>
  <c r="I189" i="32"/>
  <c r="D195" i="9"/>
  <c r="I243" i="32"/>
  <c r="D249" i="9"/>
  <c r="I219" i="32"/>
  <c r="D225" i="9"/>
  <c r="I18" i="32"/>
  <c r="D24" i="9"/>
  <c r="I71" i="32"/>
  <c r="D77" i="9"/>
  <c r="I124" i="32"/>
  <c r="D130" i="9"/>
  <c r="I16" i="32"/>
  <c r="D22" i="9"/>
  <c r="I12" i="32"/>
  <c r="D18" i="9"/>
  <c r="I152" i="32"/>
  <c r="D158" i="9"/>
  <c r="I196" i="32"/>
  <c r="D202" i="9"/>
  <c r="D62" i="9"/>
  <c r="I56" i="32"/>
  <c r="I52" i="32"/>
  <c r="D58" i="9"/>
  <c r="I74" i="32"/>
  <c r="D80" i="9"/>
  <c r="I30" i="32"/>
  <c r="D36" i="9"/>
  <c r="D220" i="9"/>
  <c r="I214" i="32"/>
  <c r="I249" i="32"/>
  <c r="D255" i="9"/>
  <c r="I274" i="32"/>
  <c r="D280" i="9"/>
  <c r="I201" i="32"/>
  <c r="D207" i="9"/>
  <c r="I291" i="32"/>
  <c r="D297" i="9"/>
  <c r="I15" i="32"/>
  <c r="D21" i="9"/>
  <c r="I26" i="32"/>
  <c r="D32" i="9"/>
  <c r="D69" i="9"/>
  <c r="I63" i="32"/>
  <c r="I103" i="32"/>
  <c r="D109" i="9"/>
  <c r="D157" i="9"/>
  <c r="I151" i="32"/>
  <c r="I19" i="32"/>
  <c r="D25" i="9"/>
  <c r="K52" i="36"/>
  <c r="F59" i="34" s="1"/>
  <c r="K24" i="36"/>
  <c r="F31" i="34" s="1"/>
  <c r="K124" i="36"/>
  <c r="F131" i="34" s="1"/>
  <c r="K112" i="36"/>
  <c r="F119" i="34" s="1"/>
  <c r="K257" i="36"/>
  <c r="F264" i="34" s="1"/>
  <c r="K25" i="36"/>
  <c r="F32" i="34" s="1"/>
  <c r="K16" i="36"/>
  <c r="F23" i="34" s="1"/>
  <c r="K69" i="36"/>
  <c r="F76" i="34" s="1"/>
  <c r="K61" i="36"/>
  <c r="F68" i="34" s="1"/>
  <c r="K92" i="36"/>
  <c r="F99" i="34" s="1"/>
  <c r="K110" i="36"/>
  <c r="F117" i="34" s="1"/>
  <c r="K97" i="36"/>
  <c r="F104" i="34" s="1"/>
  <c r="K250" i="36"/>
  <c r="F257" i="34" s="1"/>
  <c r="K301" i="36"/>
  <c r="F308" i="34" s="1"/>
  <c r="K116" i="36"/>
  <c r="F123" i="34" s="1"/>
  <c r="K185" i="36"/>
  <c r="F192" i="34" s="1"/>
  <c r="K279" i="36"/>
  <c r="F286" i="34" s="1"/>
  <c r="K189" i="36"/>
  <c r="F196" i="34" s="1"/>
  <c r="K65" i="36"/>
  <c r="F72" i="34" s="1"/>
  <c r="K94" i="36"/>
  <c r="F101" i="34" s="1"/>
  <c r="K90" i="36"/>
  <c r="F97" i="34" s="1"/>
  <c r="K165" i="36"/>
  <c r="F172" i="34" s="1"/>
  <c r="K265" i="36"/>
  <c r="F272" i="34" s="1"/>
  <c r="K315" i="36"/>
  <c r="F322" i="34" s="1"/>
  <c r="K197" i="36"/>
  <c r="F204" i="34" s="1"/>
  <c r="K249" i="36"/>
  <c r="F256" i="34" s="1"/>
  <c r="K78" i="36"/>
  <c r="F85" i="34" s="1"/>
  <c r="K129" i="36"/>
  <c r="F136" i="34" s="1"/>
  <c r="K269" i="36"/>
  <c r="F276" i="34" s="1"/>
  <c r="K299" i="36"/>
  <c r="F306" i="34" s="1"/>
  <c r="K314" i="36"/>
  <c r="F321" i="34" s="1"/>
  <c r="K260" i="36"/>
  <c r="F267" i="34" s="1"/>
  <c r="K236" i="36"/>
  <c r="F243" i="34" s="1"/>
  <c r="K86" i="36"/>
  <c r="F93" i="34" s="1"/>
  <c r="K156" i="36"/>
  <c r="F163" i="34" s="1"/>
  <c r="K105" i="36"/>
  <c r="F112" i="34" s="1"/>
  <c r="K280" i="36"/>
  <c r="F287" i="34" s="1"/>
  <c r="K264" i="36"/>
  <c r="F271" i="34" s="1"/>
  <c r="K248" i="36"/>
  <c r="F255" i="34" s="1"/>
  <c r="K232" i="36"/>
  <c r="F239" i="34" s="1"/>
  <c r="K216" i="36"/>
  <c r="F223" i="34" s="1"/>
  <c r="K111" i="36"/>
  <c r="F118" i="34" s="1"/>
  <c r="K57" i="36"/>
  <c r="F64" i="34" s="1"/>
  <c r="K256" i="36"/>
  <c r="F263" i="34" s="1"/>
  <c r="K224" i="36"/>
  <c r="F231" i="34" s="1"/>
  <c r="K172" i="36"/>
  <c r="F179" i="34" s="1"/>
  <c r="K192" i="36"/>
  <c r="F199" i="34" s="1"/>
  <c r="K121" i="36"/>
  <c r="F128" i="34" s="1"/>
  <c r="K87" i="36"/>
  <c r="F94" i="34" s="1"/>
  <c r="K48" i="36"/>
  <c r="F55" i="34" s="1"/>
  <c r="K180" i="36"/>
  <c r="F187" i="34" s="1"/>
  <c r="K64" i="36"/>
  <c r="F71" i="34" s="1"/>
  <c r="K13" i="36"/>
  <c r="F20" i="34" s="1"/>
  <c r="K15" i="36"/>
  <c r="F22" i="34" s="1"/>
  <c r="M8" i="13"/>
  <c r="I59" i="49"/>
  <c r="I89" i="49"/>
  <c r="I265" i="49"/>
  <c r="I225" i="49"/>
  <c r="I302" i="49"/>
  <c r="I16" i="49"/>
  <c r="I83" i="49"/>
  <c r="I205" i="49"/>
  <c r="I124" i="49"/>
  <c r="I129" i="49"/>
  <c r="I84" i="49"/>
  <c r="I35" i="49"/>
  <c r="I156" i="49"/>
  <c r="I8" i="49"/>
  <c r="I46" i="49"/>
  <c r="I79" i="49"/>
  <c r="I163" i="49"/>
  <c r="I47" i="49"/>
  <c r="I50" i="49"/>
  <c r="I162" i="49"/>
  <c r="I149" i="49"/>
  <c r="I279" i="49"/>
  <c r="I264" i="49"/>
  <c r="I51" i="49"/>
  <c r="I67" i="49"/>
  <c r="I190" i="49"/>
  <c r="I171" i="49"/>
  <c r="I164" i="49"/>
  <c r="I247" i="49"/>
  <c r="I298" i="49"/>
  <c r="I175" i="49"/>
  <c r="I230" i="49"/>
  <c r="I105" i="49"/>
  <c r="I239" i="49"/>
  <c r="I234" i="49"/>
  <c r="I134" i="49"/>
  <c r="I272" i="49"/>
  <c r="I14" i="49"/>
  <c r="I55" i="49"/>
  <c r="I71" i="49"/>
  <c r="I113" i="49"/>
  <c r="I206" i="49"/>
  <c r="I76" i="49"/>
  <c r="I222" i="49"/>
  <c r="I13" i="49"/>
  <c r="I258" i="49"/>
  <c r="I174" i="49"/>
  <c r="I125" i="49"/>
  <c r="I229" i="49"/>
  <c r="I58" i="49"/>
  <c r="H21" i="49"/>
  <c r="I21" i="49" s="1"/>
  <c r="E15" i="48"/>
  <c r="H12" i="49"/>
  <c r="I12" i="49" s="1"/>
  <c r="H53" i="49"/>
  <c r="I53" i="49" s="1"/>
  <c r="H110" i="49"/>
  <c r="I110" i="49" s="1"/>
  <c r="H226" i="49"/>
  <c r="I226" i="49" s="1"/>
  <c r="H283" i="49"/>
  <c r="I283" i="49" s="1"/>
  <c r="H97" i="49"/>
  <c r="I97" i="49" s="1"/>
  <c r="H127" i="49"/>
  <c r="I127" i="49" s="1"/>
  <c r="H147" i="49"/>
  <c r="I147" i="49" s="1"/>
  <c r="H191" i="49"/>
  <c r="I191" i="49" s="1"/>
  <c r="H207" i="49"/>
  <c r="I207" i="49" s="1"/>
  <c r="H251" i="49"/>
  <c r="I251" i="49" s="1"/>
  <c r="H280" i="49"/>
  <c r="I280" i="49" s="1"/>
  <c r="H296" i="49"/>
  <c r="I296" i="49" s="1"/>
  <c r="H30" i="49"/>
  <c r="I30" i="49" s="1"/>
  <c r="H61" i="49"/>
  <c r="I61" i="49" s="1"/>
  <c r="H85" i="49"/>
  <c r="I85" i="49" s="1"/>
  <c r="H108" i="49"/>
  <c r="I108" i="49" s="1"/>
  <c r="H135" i="49"/>
  <c r="I135" i="49" s="1"/>
  <c r="H153" i="49"/>
  <c r="I153" i="49" s="1"/>
  <c r="H170" i="49"/>
  <c r="I170" i="49" s="1"/>
  <c r="H184" i="49"/>
  <c r="I184" i="49" s="1"/>
  <c r="H204" i="49"/>
  <c r="I204" i="49" s="1"/>
  <c r="H224" i="49"/>
  <c r="I224" i="49" s="1"/>
  <c r="H256" i="49"/>
  <c r="I256" i="49" s="1"/>
  <c r="H273" i="49"/>
  <c r="I273" i="49" s="1"/>
  <c r="H293" i="49"/>
  <c r="I293" i="49" s="1"/>
  <c r="H307" i="49"/>
  <c r="I307" i="49" s="1"/>
  <c r="H101" i="49"/>
  <c r="I101" i="49" s="1"/>
  <c r="H121" i="49"/>
  <c r="I121" i="49" s="1"/>
  <c r="H136" i="49"/>
  <c r="I136" i="49" s="1"/>
  <c r="H185" i="49"/>
  <c r="I185" i="49" s="1"/>
  <c r="H201" i="49"/>
  <c r="I201" i="49" s="1"/>
  <c r="H217" i="49"/>
  <c r="I217" i="49" s="1"/>
  <c r="H245" i="49"/>
  <c r="I245" i="49" s="1"/>
  <c r="H270" i="49"/>
  <c r="I270" i="49" s="1"/>
  <c r="H286" i="49"/>
  <c r="I286" i="49" s="1"/>
  <c r="H304" i="49"/>
  <c r="I304" i="49" s="1"/>
  <c r="H103" i="49"/>
  <c r="I103" i="49" s="1"/>
  <c r="H150" i="49"/>
  <c r="I150" i="49" s="1"/>
  <c r="H32" i="49"/>
  <c r="I32" i="49" s="1"/>
  <c r="H128" i="49"/>
  <c r="I128" i="49" s="1"/>
  <c r="H7" i="49"/>
  <c r="I7" i="49" s="1"/>
  <c r="H176" i="49"/>
  <c r="I176" i="49" s="1"/>
  <c r="H294" i="49"/>
  <c r="I294" i="49" s="1"/>
  <c r="H198" i="49"/>
  <c r="I198" i="49" s="1"/>
  <c r="H40" i="49"/>
  <c r="I40" i="49" s="1"/>
  <c r="H242" i="49"/>
  <c r="I242" i="49" s="1"/>
  <c r="H87" i="49"/>
  <c r="I87" i="49" s="1"/>
  <c r="H250" i="49"/>
  <c r="I250" i="49" s="1"/>
  <c r="H42" i="49"/>
  <c r="I42" i="49" s="1"/>
  <c r="H49" i="49"/>
  <c r="I49" i="49" s="1"/>
  <c r="H81" i="49"/>
  <c r="I81" i="49" s="1"/>
  <c r="H232" i="49"/>
  <c r="I232" i="49" s="1"/>
  <c r="H26" i="49"/>
  <c r="I26" i="49" s="1"/>
  <c r="H72" i="49"/>
  <c r="I72" i="49" s="1"/>
  <c r="H91" i="49"/>
  <c r="I91" i="49" s="1"/>
  <c r="H133" i="49"/>
  <c r="I133" i="49" s="1"/>
  <c r="H214" i="49"/>
  <c r="I214" i="49" s="1"/>
  <c r="H231" i="49"/>
  <c r="I231" i="49" s="1"/>
  <c r="H263" i="49"/>
  <c r="I263" i="49" s="1"/>
  <c r="H313" i="49"/>
  <c r="I313" i="49" s="1"/>
  <c r="H104" i="49"/>
  <c r="I104" i="49" s="1"/>
  <c r="H151" i="49"/>
  <c r="I151" i="49" s="1"/>
  <c r="H179" i="49"/>
  <c r="I179" i="49" s="1"/>
  <c r="H211" i="49"/>
  <c r="I211" i="49" s="1"/>
  <c r="H223" i="49"/>
  <c r="I223" i="49" s="1"/>
  <c r="H255" i="49"/>
  <c r="I255" i="49" s="1"/>
  <c r="H268" i="49"/>
  <c r="I268" i="49" s="1"/>
  <c r="H284" i="49"/>
  <c r="I284" i="49" s="1"/>
  <c r="H65" i="49"/>
  <c r="I65" i="49" s="1"/>
  <c r="H88" i="49"/>
  <c r="I88" i="49" s="1"/>
  <c r="H112" i="49"/>
  <c r="I112" i="49" s="1"/>
  <c r="H139" i="49"/>
  <c r="I139" i="49" s="1"/>
  <c r="H157" i="49"/>
  <c r="I157" i="49" s="1"/>
  <c r="H173" i="49"/>
  <c r="I173" i="49" s="1"/>
  <c r="H192" i="49"/>
  <c r="I192" i="49" s="1"/>
  <c r="H208" i="49"/>
  <c r="I208" i="49" s="1"/>
  <c r="H228" i="49"/>
  <c r="I228" i="49" s="1"/>
  <c r="H244" i="49"/>
  <c r="I244" i="49" s="1"/>
  <c r="H261" i="49"/>
  <c r="I261" i="49" s="1"/>
  <c r="H281" i="49"/>
  <c r="I281" i="49" s="1"/>
  <c r="H297" i="49"/>
  <c r="I297" i="49" s="1"/>
  <c r="H17" i="49"/>
  <c r="I17" i="49" s="1"/>
  <c r="H52" i="49"/>
  <c r="I52" i="49" s="1"/>
  <c r="H109" i="49"/>
  <c r="I109" i="49" s="1"/>
  <c r="H141" i="49"/>
  <c r="I141" i="49" s="1"/>
  <c r="H189" i="49"/>
  <c r="I189" i="49" s="1"/>
  <c r="H221" i="49"/>
  <c r="I221" i="49" s="1"/>
  <c r="H249" i="49"/>
  <c r="I249" i="49" s="1"/>
  <c r="H274" i="49"/>
  <c r="I274" i="49" s="1"/>
  <c r="H290" i="49"/>
  <c r="I290" i="49" s="1"/>
  <c r="H308" i="49"/>
  <c r="I308" i="49" s="1"/>
  <c r="H63" i="49"/>
  <c r="I63" i="49" s="1"/>
  <c r="H137" i="49"/>
  <c r="I137" i="49" s="1"/>
  <c r="H159" i="49"/>
  <c r="I159" i="49" s="1"/>
  <c r="H202" i="49"/>
  <c r="I202" i="49" s="1"/>
  <c r="H33" i="49"/>
  <c r="I33" i="49" s="1"/>
  <c r="H152" i="49"/>
  <c r="I152" i="49" s="1"/>
  <c r="H116" i="49"/>
  <c r="I116" i="49" s="1"/>
  <c r="H180" i="49"/>
  <c r="I180" i="49" s="1"/>
  <c r="H18" i="49"/>
  <c r="I18" i="49" s="1"/>
  <c r="H172" i="49"/>
  <c r="I172" i="49" s="1"/>
  <c r="H235" i="49"/>
  <c r="I235" i="49" s="1"/>
  <c r="H210" i="49"/>
  <c r="I210" i="49" s="1"/>
  <c r="H111" i="49"/>
  <c r="I111" i="49" s="1"/>
  <c r="H246" i="49"/>
  <c r="I246" i="49" s="1"/>
  <c r="H305" i="49"/>
  <c r="I305" i="49" s="1"/>
  <c r="H43" i="49"/>
  <c r="I43" i="49" s="1"/>
  <c r="H92" i="49"/>
  <c r="I92" i="49" s="1"/>
  <c r="H98" i="49"/>
  <c r="I98" i="49" s="1"/>
  <c r="H266" i="49"/>
  <c r="I266" i="49" s="1"/>
  <c r="H23" i="49"/>
  <c r="I23" i="49" s="1"/>
  <c r="H27" i="49"/>
  <c r="I27" i="49" s="1"/>
  <c r="H154" i="49"/>
  <c r="I154" i="49" s="1"/>
  <c r="H165" i="49"/>
  <c r="I165" i="49" s="1"/>
  <c r="H237" i="49"/>
  <c r="I237" i="49" s="1"/>
  <c r="H96" i="49"/>
  <c r="I96" i="49" s="1"/>
  <c r="H155" i="49"/>
  <c r="I155" i="49" s="1"/>
  <c r="H64" i="49"/>
  <c r="I64" i="49" s="1"/>
  <c r="H115" i="49"/>
  <c r="I115" i="49" s="1"/>
  <c r="H183" i="49"/>
  <c r="I183" i="49" s="1"/>
  <c r="H199" i="49"/>
  <c r="I199" i="49" s="1"/>
  <c r="H215" i="49"/>
  <c r="I215" i="49" s="1"/>
  <c r="H259" i="49"/>
  <c r="I259" i="49" s="1"/>
  <c r="H36" i="49"/>
  <c r="I36" i="49" s="1"/>
  <c r="H93" i="49"/>
  <c r="I93" i="49" s="1"/>
  <c r="H120" i="49"/>
  <c r="I120" i="49" s="1"/>
  <c r="H144" i="49"/>
  <c r="I144" i="49" s="1"/>
  <c r="H161" i="49"/>
  <c r="I161" i="49" s="1"/>
  <c r="H196" i="49"/>
  <c r="I196" i="49" s="1"/>
  <c r="H212" i="49"/>
  <c r="I212" i="49" s="1"/>
  <c r="H233" i="49"/>
  <c r="I233" i="49" s="1"/>
  <c r="H248" i="49"/>
  <c r="I248" i="49" s="1"/>
  <c r="H285" i="49"/>
  <c r="I285" i="49" s="1"/>
  <c r="H299" i="49"/>
  <c r="I299" i="49" s="1"/>
  <c r="H9" i="49"/>
  <c r="I9" i="49" s="1"/>
  <c r="H22" i="49"/>
  <c r="I22" i="49" s="1"/>
  <c r="H56" i="49"/>
  <c r="I56" i="49" s="1"/>
  <c r="H131" i="49"/>
  <c r="I131" i="49" s="1"/>
  <c r="H145" i="49"/>
  <c r="I145" i="49" s="1"/>
  <c r="H177" i="49"/>
  <c r="I177" i="49" s="1"/>
  <c r="H193" i="49"/>
  <c r="I193" i="49" s="1"/>
  <c r="H209" i="49"/>
  <c r="I209" i="49" s="1"/>
  <c r="H253" i="49"/>
  <c r="I253" i="49" s="1"/>
  <c r="H278" i="49"/>
  <c r="I278" i="49" s="1"/>
  <c r="H310" i="49"/>
  <c r="I310" i="49" s="1"/>
  <c r="H68" i="49"/>
  <c r="I68" i="49" s="1"/>
  <c r="H178" i="49"/>
  <c r="I178" i="49" s="1"/>
  <c r="H301" i="49"/>
  <c r="I301" i="49" s="1"/>
  <c r="H227" i="49"/>
  <c r="I227" i="49" s="1"/>
  <c r="H130" i="49"/>
  <c r="I130" i="49" s="1"/>
  <c r="H220" i="49"/>
  <c r="I220" i="49" s="1"/>
  <c r="H95" i="49"/>
  <c r="I95" i="49" s="1"/>
  <c r="H306" i="49"/>
  <c r="I306" i="49" s="1"/>
  <c r="H291" i="49"/>
  <c r="I291" i="49" s="1"/>
  <c r="H123" i="49"/>
  <c r="I123" i="49" s="1"/>
  <c r="H271" i="49"/>
  <c r="I271" i="49" s="1"/>
  <c r="H29" i="49"/>
  <c r="I29" i="49" s="1"/>
  <c r="H44" i="49"/>
  <c r="I44" i="49" s="1"/>
  <c r="H73" i="49"/>
  <c r="I73" i="49" s="1"/>
  <c r="H188" i="49"/>
  <c r="I188" i="49" s="1"/>
  <c r="H24" i="49"/>
  <c r="I24" i="49" s="1"/>
  <c r="H45" i="49"/>
  <c r="I45" i="49" s="1"/>
  <c r="H80" i="49"/>
  <c r="I80" i="49" s="1"/>
  <c r="H166" i="49"/>
  <c r="I166" i="49" s="1"/>
  <c r="H241" i="49"/>
  <c r="I241" i="49" s="1"/>
  <c r="H69" i="49"/>
  <c r="I69" i="49" s="1"/>
  <c r="H119" i="49"/>
  <c r="I119" i="49" s="1"/>
  <c r="H143" i="49"/>
  <c r="I143" i="49" s="1"/>
  <c r="H160" i="49"/>
  <c r="I160" i="49" s="1"/>
  <c r="H187" i="49"/>
  <c r="I187" i="49" s="1"/>
  <c r="H203" i="49"/>
  <c r="I203" i="49" s="1"/>
  <c r="H260" i="49"/>
  <c r="I260" i="49" s="1"/>
  <c r="H276" i="49"/>
  <c r="I276" i="49" s="1"/>
  <c r="H292" i="49"/>
  <c r="I292" i="49" s="1"/>
  <c r="H37" i="49"/>
  <c r="I37" i="49" s="1"/>
  <c r="H60" i="49"/>
  <c r="I60" i="49" s="1"/>
  <c r="H148" i="49"/>
  <c r="I148" i="49" s="1"/>
  <c r="H200" i="49"/>
  <c r="I200" i="49" s="1"/>
  <c r="H216" i="49"/>
  <c r="I216" i="49" s="1"/>
  <c r="H236" i="49"/>
  <c r="I236" i="49" s="1"/>
  <c r="H252" i="49"/>
  <c r="I252" i="49" s="1"/>
  <c r="H269" i="49"/>
  <c r="I269" i="49" s="1"/>
  <c r="H289" i="49"/>
  <c r="I289" i="49" s="1"/>
  <c r="H303" i="49"/>
  <c r="I303" i="49" s="1"/>
  <c r="H57" i="49"/>
  <c r="I57" i="49" s="1"/>
  <c r="H75" i="49"/>
  <c r="I75" i="49" s="1"/>
  <c r="H99" i="49"/>
  <c r="I99" i="49" s="1"/>
  <c r="H117" i="49"/>
  <c r="I117" i="49" s="1"/>
  <c r="H132" i="49"/>
  <c r="I132" i="49" s="1"/>
  <c r="H158" i="49"/>
  <c r="I158" i="49" s="1"/>
  <c r="H181" i="49"/>
  <c r="I181" i="49" s="1"/>
  <c r="H197" i="49"/>
  <c r="I197" i="49" s="1"/>
  <c r="H213" i="49"/>
  <c r="I213" i="49" s="1"/>
  <c r="H240" i="49"/>
  <c r="I240" i="49" s="1"/>
  <c r="H257" i="49"/>
  <c r="I257" i="49" s="1"/>
  <c r="H282" i="49"/>
  <c r="I282" i="49" s="1"/>
  <c r="H300" i="49"/>
  <c r="I300" i="49" s="1"/>
  <c r="H100" i="49"/>
  <c r="I100" i="49" s="1"/>
  <c r="H146" i="49"/>
  <c r="I146" i="49" s="1"/>
  <c r="H186" i="49"/>
  <c r="I186" i="49" s="1"/>
  <c r="H267" i="49"/>
  <c r="I267" i="49" s="1"/>
  <c r="H309" i="49"/>
  <c r="I309" i="49" s="1"/>
  <c r="H39" i="49"/>
  <c r="I39" i="49" s="1"/>
  <c r="H312" i="49"/>
  <c r="I312" i="49" s="1"/>
  <c r="H277" i="49"/>
  <c r="I277" i="49" s="1"/>
  <c r="H167" i="49"/>
  <c r="I167" i="49" s="1"/>
  <c r="H262" i="49"/>
  <c r="I262" i="49" s="1"/>
  <c r="H140" i="49"/>
  <c r="I140" i="49" s="1"/>
  <c r="H311" i="49"/>
  <c r="I311" i="49" s="1"/>
  <c r="H41" i="49"/>
  <c r="I41" i="49" s="1"/>
  <c r="H168" i="49"/>
  <c r="I168" i="49" s="1"/>
  <c r="H10" i="49"/>
  <c r="I10" i="49" s="1"/>
  <c r="H48" i="49"/>
  <c r="I48" i="49" s="1"/>
  <c r="H77" i="49"/>
  <c r="I77" i="49" s="1"/>
  <c r="H107" i="49"/>
  <c r="I107" i="49" s="1"/>
  <c r="T7" i="19"/>
  <c r="H6" i="49" s="1"/>
  <c r="I6" i="49" s="1"/>
  <c r="H20" i="49"/>
  <c r="I20" i="49" s="1"/>
  <c r="H25" i="49"/>
  <c r="I25" i="49" s="1"/>
  <c r="H254" i="49"/>
  <c r="I254" i="49" s="1"/>
  <c r="C314" i="32"/>
  <c r="Y315" i="19"/>
  <c r="F16" i="49"/>
  <c r="F59" i="49"/>
  <c r="F11" i="49"/>
  <c r="F190" i="49"/>
  <c r="F287" i="49"/>
  <c r="F234" i="49"/>
  <c r="F15" i="49"/>
  <c r="F195" i="49"/>
  <c r="F31" i="49"/>
  <c r="F13" i="49"/>
  <c r="F129" i="49"/>
  <c r="F90" i="49"/>
  <c r="F126" i="49"/>
  <c r="F182" i="49"/>
  <c r="F258" i="49"/>
  <c r="F47" i="49"/>
  <c r="F247" i="49"/>
  <c r="F14" i="49"/>
  <c r="F74" i="49"/>
  <c r="F84" i="49"/>
  <c r="F94" i="49"/>
  <c r="F124" i="49"/>
  <c r="F175" i="49"/>
  <c r="F71" i="49"/>
  <c r="F89" i="49"/>
  <c r="F113" i="49"/>
  <c r="F225" i="49"/>
  <c r="F295" i="49"/>
  <c r="F105" i="49"/>
  <c r="F19" i="49"/>
  <c r="F194" i="49"/>
  <c r="F50" i="49"/>
  <c r="F78" i="49"/>
  <c r="F239" i="49"/>
  <c r="F28" i="49"/>
  <c r="F229" i="49"/>
  <c r="F58" i="49"/>
  <c r="F163" i="49"/>
  <c r="F34" i="49"/>
  <c r="F76" i="49"/>
  <c r="F118" i="49"/>
  <c r="F275" i="49"/>
  <c r="F298" i="49"/>
  <c r="F51" i="49"/>
  <c r="F82" i="49"/>
  <c r="F79" i="49"/>
  <c r="F162" i="49"/>
  <c r="F230" i="49"/>
  <c r="F171" i="49"/>
  <c r="F164" i="49"/>
  <c r="F122" i="49"/>
  <c r="F222" i="49"/>
  <c r="F279" i="49"/>
  <c r="F138" i="49"/>
  <c r="F156" i="49"/>
  <c r="F238" i="49"/>
  <c r="F288" i="49"/>
  <c r="F55" i="49"/>
  <c r="F83" i="49"/>
  <c r="F174" i="49"/>
  <c r="F265" i="49"/>
  <c r="F66" i="49"/>
  <c r="F67" i="49"/>
  <c r="F125" i="49"/>
  <c r="F205" i="49"/>
  <c r="F46" i="49"/>
  <c r="F142" i="49"/>
  <c r="F206" i="49"/>
  <c r="F38" i="49"/>
  <c r="F106" i="49"/>
  <c r="F149" i="49"/>
  <c r="O315" i="19"/>
  <c r="K9" i="36"/>
  <c r="I317" i="36"/>
  <c r="E317" i="36"/>
  <c r="J317" i="36"/>
  <c r="H317" i="36"/>
  <c r="F317" i="36"/>
  <c r="D317" i="36"/>
  <c r="G315" i="19"/>
  <c r="G317" i="36"/>
  <c r="H314" i="32" l="1"/>
  <c r="C6" i="9" s="1"/>
  <c r="K317" i="36"/>
  <c r="E6" i="32"/>
  <c r="E314" i="32" s="1"/>
  <c r="I314" i="49"/>
  <c r="J6" i="49" s="1"/>
  <c r="E14" i="48"/>
  <c r="F15" i="48" s="1"/>
  <c r="H6" i="32"/>
  <c r="D12" i="9" s="1"/>
  <c r="D320" i="9" s="1"/>
  <c r="U7" i="19"/>
  <c r="G6" i="49" s="1"/>
  <c r="F6" i="49"/>
  <c r="F16" i="34"/>
  <c r="F28" i="48"/>
  <c r="F114" i="49"/>
  <c r="J233" i="13"/>
  <c r="F232" i="49"/>
  <c r="F250" i="49"/>
  <c r="F198" i="49"/>
  <c r="F128" i="49"/>
  <c r="F304" i="49"/>
  <c r="J218" i="13"/>
  <c r="F217" i="49"/>
  <c r="F121" i="49"/>
  <c r="F273" i="49"/>
  <c r="F153" i="49"/>
  <c r="F61" i="49"/>
  <c r="F296" i="49"/>
  <c r="F207" i="49"/>
  <c r="F127" i="49"/>
  <c r="F283" i="49"/>
  <c r="F12" i="49"/>
  <c r="F134" i="49"/>
  <c r="F62" i="49"/>
  <c r="F77" i="49"/>
  <c r="F167" i="49"/>
  <c r="F267" i="49"/>
  <c r="F300" i="49"/>
  <c r="F257" i="49"/>
  <c r="F181" i="49"/>
  <c r="F99" i="49"/>
  <c r="F57" i="49"/>
  <c r="F252" i="49"/>
  <c r="F260" i="49"/>
  <c r="F143" i="49"/>
  <c r="F69" i="49"/>
  <c r="F45" i="49"/>
  <c r="F73" i="49"/>
  <c r="F123" i="49"/>
  <c r="F95" i="49"/>
  <c r="F301" i="49"/>
  <c r="F278" i="49"/>
  <c r="J194" i="13"/>
  <c r="F193" i="49"/>
  <c r="F56" i="49"/>
  <c r="F285" i="49"/>
  <c r="J197" i="13"/>
  <c r="F196" i="49"/>
  <c r="F199" i="49"/>
  <c r="F96" i="49"/>
  <c r="J28" i="13"/>
  <c r="F27" i="49"/>
  <c r="F92" i="49"/>
  <c r="F111" i="49"/>
  <c r="F18" i="49"/>
  <c r="J34" i="13"/>
  <c r="F33" i="49"/>
  <c r="F137" i="49"/>
  <c r="F274" i="49"/>
  <c r="F141" i="49"/>
  <c r="J298" i="13"/>
  <c r="F297" i="49"/>
  <c r="F228" i="49"/>
  <c r="F157" i="49"/>
  <c r="F65" i="49"/>
  <c r="F223" i="49"/>
  <c r="J215" i="13"/>
  <c r="F214" i="49"/>
  <c r="J27" i="13"/>
  <c r="F26" i="49"/>
  <c r="F264" i="49"/>
  <c r="F87" i="49"/>
  <c r="F294" i="49"/>
  <c r="J8" i="13"/>
  <c r="F7" i="49"/>
  <c r="F32" i="49"/>
  <c r="F103" i="49"/>
  <c r="F286" i="49"/>
  <c r="J246" i="13"/>
  <c r="F245" i="49"/>
  <c r="F201" i="49"/>
  <c r="F136" i="49"/>
  <c r="F293" i="49"/>
  <c r="F256" i="49"/>
  <c r="F204" i="49"/>
  <c r="F170" i="49"/>
  <c r="F135" i="49"/>
  <c r="F30" i="49"/>
  <c r="F280" i="49"/>
  <c r="F191" i="49"/>
  <c r="F147" i="49"/>
  <c r="F97" i="49"/>
  <c r="F226" i="49"/>
  <c r="J54" i="13"/>
  <c r="F53" i="49"/>
  <c r="F8" i="49"/>
  <c r="F49" i="49"/>
  <c r="F242" i="49"/>
  <c r="F176" i="49"/>
  <c r="F150" i="49"/>
  <c r="J271" i="13"/>
  <c r="F270" i="49"/>
  <c r="F185" i="49"/>
  <c r="F307" i="49"/>
  <c r="F224" i="49"/>
  <c r="F184" i="49"/>
  <c r="F108" i="49"/>
  <c r="F251" i="49"/>
  <c r="J111" i="13"/>
  <c r="F110" i="49"/>
  <c r="F86" i="49"/>
  <c r="J303" i="13"/>
  <c r="F302" i="49"/>
  <c r="F219" i="49"/>
  <c r="F25" i="49"/>
  <c r="J11" i="13"/>
  <c r="F10" i="49"/>
  <c r="J141" i="13"/>
  <c r="F140" i="49"/>
  <c r="F39" i="49"/>
  <c r="F146" i="49"/>
  <c r="F213" i="49"/>
  <c r="F132" i="49"/>
  <c r="F289" i="49"/>
  <c r="J217" i="13"/>
  <c r="F216" i="49"/>
  <c r="F60" i="49"/>
  <c r="F292" i="49"/>
  <c r="F187" i="49"/>
  <c r="J167" i="13"/>
  <c r="F166" i="49"/>
  <c r="J25" i="13"/>
  <c r="F24" i="49"/>
  <c r="F306" i="49"/>
  <c r="J131" i="13"/>
  <c r="F130" i="49"/>
  <c r="F145" i="49"/>
  <c r="F9" i="49"/>
  <c r="F233" i="49"/>
  <c r="F144" i="49"/>
  <c r="F259" i="49"/>
  <c r="J116" i="13"/>
  <c r="F115" i="49"/>
  <c r="F165" i="49"/>
  <c r="F266" i="49"/>
  <c r="F305" i="49"/>
  <c r="J236" i="13"/>
  <c r="F235" i="49"/>
  <c r="F116" i="49"/>
  <c r="F202" i="49"/>
  <c r="F308" i="49"/>
  <c r="F189" i="49"/>
  <c r="J262" i="13"/>
  <c r="F261" i="49"/>
  <c r="F192" i="49"/>
  <c r="F112" i="49"/>
  <c r="F268" i="49"/>
  <c r="F179" i="49"/>
  <c r="F263" i="49"/>
  <c r="F91" i="49"/>
  <c r="F70" i="49"/>
  <c r="F102" i="49"/>
  <c r="J255" i="13"/>
  <c r="F254" i="49"/>
  <c r="F20" i="49"/>
  <c r="F48" i="49"/>
  <c r="F168" i="49"/>
  <c r="F311" i="49"/>
  <c r="F262" i="49"/>
  <c r="F277" i="49"/>
  <c r="F312" i="49"/>
  <c r="F309" i="49"/>
  <c r="F186" i="49"/>
  <c r="F282" i="49"/>
  <c r="F240" i="49"/>
  <c r="F197" i="49"/>
  <c r="F158" i="49"/>
  <c r="F117" i="49"/>
  <c r="F303" i="49"/>
  <c r="F269" i="49"/>
  <c r="F236" i="49"/>
  <c r="F200" i="49"/>
  <c r="F148" i="49"/>
  <c r="F37" i="49"/>
  <c r="J277" i="13"/>
  <c r="F276" i="49"/>
  <c r="F203" i="49"/>
  <c r="F160" i="49"/>
  <c r="J120" i="13"/>
  <c r="F119" i="49"/>
  <c r="F241" i="49"/>
  <c r="F80" i="49"/>
  <c r="F188" i="49"/>
  <c r="J272" i="13"/>
  <c r="F271" i="49"/>
  <c r="F291" i="49"/>
  <c r="F220" i="49"/>
  <c r="F227" i="49"/>
  <c r="F178" i="49"/>
  <c r="F310" i="49"/>
  <c r="F253" i="49"/>
  <c r="J210" i="13"/>
  <c r="F209" i="49"/>
  <c r="F177" i="49"/>
  <c r="F131" i="49"/>
  <c r="F22" i="49"/>
  <c r="J300" i="13"/>
  <c r="F299" i="49"/>
  <c r="F248" i="49"/>
  <c r="F212" i="49"/>
  <c r="F161" i="49"/>
  <c r="J121" i="13"/>
  <c r="F120" i="49"/>
  <c r="F36" i="49"/>
  <c r="F215" i="49"/>
  <c r="F183" i="49"/>
  <c r="F64" i="49"/>
  <c r="F155" i="49"/>
  <c r="F237" i="49"/>
  <c r="F154" i="49"/>
  <c r="F98" i="49"/>
  <c r="F246" i="49"/>
  <c r="F210" i="49"/>
  <c r="J173" i="13"/>
  <c r="F172" i="49"/>
  <c r="F180" i="49"/>
  <c r="F152" i="49"/>
  <c r="F159" i="49"/>
  <c r="F63" i="49"/>
  <c r="F290" i="49"/>
  <c r="F249" i="49"/>
  <c r="F221" i="49"/>
  <c r="J110" i="13"/>
  <c r="F109" i="49"/>
  <c r="F17" i="49"/>
  <c r="F281" i="49"/>
  <c r="F244" i="49"/>
  <c r="F208" i="49"/>
  <c r="F173" i="49"/>
  <c r="F139" i="49"/>
  <c r="J285" i="13"/>
  <c r="F284" i="49"/>
  <c r="F255" i="49"/>
  <c r="F211" i="49"/>
  <c r="F151" i="49"/>
  <c r="F313" i="49"/>
  <c r="F231" i="49"/>
  <c r="F133" i="49"/>
  <c r="F72" i="49"/>
  <c r="F107" i="49"/>
  <c r="F104" i="49"/>
  <c r="F101" i="49"/>
  <c r="F100" i="49"/>
  <c r="F93" i="49"/>
  <c r="F88" i="49"/>
  <c r="F85" i="49"/>
  <c r="F81" i="49"/>
  <c r="F75" i="49"/>
  <c r="F68" i="49"/>
  <c r="F54" i="49"/>
  <c r="J53" i="13"/>
  <c r="F52" i="49"/>
  <c r="J45" i="13"/>
  <c r="F44" i="49"/>
  <c r="F43" i="49"/>
  <c r="F42" i="49"/>
  <c r="F41" i="49"/>
  <c r="F40" i="49"/>
  <c r="F35" i="49"/>
  <c r="F29" i="49"/>
  <c r="H314" i="49"/>
  <c r="F23" i="49"/>
  <c r="F21" i="49"/>
  <c r="T315" i="19"/>
  <c r="G205" i="49"/>
  <c r="G171" i="49"/>
  <c r="G34" i="49"/>
  <c r="G58" i="49"/>
  <c r="G71" i="49"/>
  <c r="G84" i="49"/>
  <c r="G126" i="49"/>
  <c r="G206" i="49"/>
  <c r="G125" i="49"/>
  <c r="G55" i="49"/>
  <c r="G279" i="49"/>
  <c r="G230" i="49"/>
  <c r="G275" i="49"/>
  <c r="G229" i="49"/>
  <c r="G194" i="49"/>
  <c r="G175" i="49"/>
  <c r="G47" i="49"/>
  <c r="G234" i="49"/>
  <c r="G11" i="49"/>
  <c r="G142" i="49"/>
  <c r="G174" i="49"/>
  <c r="G156" i="49"/>
  <c r="G222" i="49"/>
  <c r="G164" i="49"/>
  <c r="G162" i="49"/>
  <c r="G51" i="49"/>
  <c r="G118" i="49"/>
  <c r="G163" i="49"/>
  <c r="G28" i="49"/>
  <c r="G50" i="49"/>
  <c r="G19" i="49"/>
  <c r="G113" i="49"/>
  <c r="G124" i="49"/>
  <c r="G14" i="49"/>
  <c r="G258" i="49"/>
  <c r="G31" i="49"/>
  <c r="G38" i="49"/>
  <c r="G66" i="49"/>
  <c r="G295" i="49"/>
  <c r="G15" i="49"/>
  <c r="G190" i="49"/>
  <c r="G149" i="49"/>
  <c r="G265" i="49"/>
  <c r="G238" i="49"/>
  <c r="G82" i="49"/>
  <c r="G78" i="49"/>
  <c r="G225" i="49"/>
  <c r="G74" i="49"/>
  <c r="G90" i="49"/>
  <c r="G13" i="49"/>
  <c r="G16" i="49"/>
  <c r="G106" i="49"/>
  <c r="G46" i="49"/>
  <c r="G67" i="49"/>
  <c r="G83" i="49"/>
  <c r="G288" i="49"/>
  <c r="G138" i="49"/>
  <c r="G122" i="49"/>
  <c r="G79" i="49"/>
  <c r="G298" i="49"/>
  <c r="G76" i="49"/>
  <c r="G239" i="49"/>
  <c r="G105" i="49"/>
  <c r="G89" i="49"/>
  <c r="G94" i="49"/>
  <c r="G247" i="49"/>
  <c r="G182" i="49"/>
  <c r="G129" i="49"/>
  <c r="G195" i="49"/>
  <c r="G287" i="49"/>
  <c r="G59" i="49"/>
  <c r="D314" i="25"/>
  <c r="D314" i="33"/>
  <c r="J169" i="49" l="1"/>
  <c r="K169" i="49" s="1"/>
  <c r="J243" i="49"/>
  <c r="J218" i="49"/>
  <c r="F324" i="34"/>
  <c r="J128" i="13"/>
  <c r="J46" i="13"/>
  <c r="J199" i="13"/>
  <c r="J112" i="13"/>
  <c r="J124" i="13"/>
  <c r="J158" i="13"/>
  <c r="J275" i="13"/>
  <c r="J10" i="13"/>
  <c r="J65" i="13"/>
  <c r="J228" i="13"/>
  <c r="J208" i="13"/>
  <c r="J50" i="13"/>
  <c r="J145" i="13"/>
  <c r="J8" i="49"/>
  <c r="K8" i="49" s="1"/>
  <c r="J297" i="13"/>
  <c r="C6" i="39"/>
  <c r="G35" i="49"/>
  <c r="J36" i="13"/>
  <c r="G41" i="49"/>
  <c r="J42" i="13"/>
  <c r="G43" i="49"/>
  <c r="G52" i="49"/>
  <c r="G81" i="49"/>
  <c r="G88" i="49"/>
  <c r="J89" i="13"/>
  <c r="G100" i="49"/>
  <c r="G104" i="49"/>
  <c r="G72" i="49"/>
  <c r="J73" i="13"/>
  <c r="G231" i="49"/>
  <c r="G151" i="49"/>
  <c r="G255" i="49"/>
  <c r="G139" i="49"/>
  <c r="J140" i="13"/>
  <c r="G208" i="49"/>
  <c r="J209" i="13"/>
  <c r="G281" i="49"/>
  <c r="G109" i="49"/>
  <c r="G221" i="49"/>
  <c r="G290" i="49"/>
  <c r="J291" i="13"/>
  <c r="G159" i="49"/>
  <c r="J160" i="13"/>
  <c r="G152" i="49"/>
  <c r="J153" i="13"/>
  <c r="G172" i="49"/>
  <c r="G246" i="49"/>
  <c r="J247" i="13"/>
  <c r="G154" i="49"/>
  <c r="J155" i="13"/>
  <c r="G155" i="49"/>
  <c r="G183" i="49"/>
  <c r="J184" i="13"/>
  <c r="G36" i="49"/>
  <c r="G161" i="49"/>
  <c r="G248" i="49"/>
  <c r="G22" i="49"/>
  <c r="G177" i="49"/>
  <c r="G253" i="49"/>
  <c r="G178" i="49"/>
  <c r="G220" i="49"/>
  <c r="J221" i="13"/>
  <c r="G291" i="49"/>
  <c r="G188" i="49"/>
  <c r="G80" i="49"/>
  <c r="G119" i="49"/>
  <c r="G203" i="49"/>
  <c r="G37" i="49"/>
  <c r="G200" i="49"/>
  <c r="G269" i="49"/>
  <c r="G117" i="49"/>
  <c r="G197" i="49"/>
  <c r="J198" i="13"/>
  <c r="G282" i="49"/>
  <c r="G309" i="49"/>
  <c r="G277" i="49"/>
  <c r="J278" i="13"/>
  <c r="G311" i="49"/>
  <c r="J312" i="13"/>
  <c r="G48" i="49"/>
  <c r="J49" i="13"/>
  <c r="G254" i="49"/>
  <c r="G91" i="49"/>
  <c r="J92" i="13"/>
  <c r="G179" i="49"/>
  <c r="J180" i="13"/>
  <c r="G112" i="49"/>
  <c r="J113" i="13"/>
  <c r="G261" i="49"/>
  <c r="G202" i="49"/>
  <c r="J203" i="13"/>
  <c r="G235" i="49"/>
  <c r="G266" i="49"/>
  <c r="J267" i="13"/>
  <c r="G259" i="49"/>
  <c r="J260" i="13"/>
  <c r="G233" i="49"/>
  <c r="G145" i="49"/>
  <c r="J146" i="13"/>
  <c r="G130" i="49"/>
  <c r="G24" i="49"/>
  <c r="G187" i="49"/>
  <c r="J188" i="13"/>
  <c r="G60" i="49"/>
  <c r="J61" i="13"/>
  <c r="G289" i="49"/>
  <c r="J290" i="13"/>
  <c r="G213" i="49"/>
  <c r="J214" i="13"/>
  <c r="G39" i="49"/>
  <c r="G140" i="49"/>
  <c r="G25" i="49"/>
  <c r="J26" i="13"/>
  <c r="G302" i="49"/>
  <c r="G110" i="49"/>
  <c r="G251" i="49"/>
  <c r="J252" i="13"/>
  <c r="G184" i="49"/>
  <c r="J185" i="13"/>
  <c r="G307" i="49"/>
  <c r="J308" i="13"/>
  <c r="G270" i="49"/>
  <c r="G176" i="49"/>
  <c r="J177" i="13"/>
  <c r="G49" i="49"/>
  <c r="G53" i="49"/>
  <c r="G97" i="49"/>
  <c r="J98" i="13"/>
  <c r="G191" i="49"/>
  <c r="J192" i="13"/>
  <c r="G280" i="49"/>
  <c r="J281" i="13"/>
  <c r="G135" i="49"/>
  <c r="J136" i="13"/>
  <c r="G204" i="49"/>
  <c r="J205" i="13"/>
  <c r="G293" i="49"/>
  <c r="J294" i="13"/>
  <c r="G201" i="49"/>
  <c r="J202" i="13"/>
  <c r="G286" i="49"/>
  <c r="J287" i="13"/>
  <c r="G32" i="49"/>
  <c r="J33" i="13"/>
  <c r="G294" i="49"/>
  <c r="J295" i="13"/>
  <c r="G264" i="49"/>
  <c r="J265" i="13"/>
  <c r="G214" i="49"/>
  <c r="G65" i="49"/>
  <c r="J66" i="13"/>
  <c r="G228" i="49"/>
  <c r="J229" i="13"/>
  <c r="G141" i="49"/>
  <c r="J142" i="13"/>
  <c r="G137" i="49"/>
  <c r="J138" i="13"/>
  <c r="G18" i="49"/>
  <c r="J19" i="13"/>
  <c r="G92" i="49"/>
  <c r="J93" i="13"/>
  <c r="G96" i="49"/>
  <c r="J97" i="13"/>
  <c r="G196" i="49"/>
  <c r="G56" i="49"/>
  <c r="J57" i="13"/>
  <c r="G278" i="49"/>
  <c r="J279" i="13"/>
  <c r="G95" i="49"/>
  <c r="G73" i="49"/>
  <c r="J74" i="13"/>
  <c r="G69" i="49"/>
  <c r="G260" i="49"/>
  <c r="J261" i="13"/>
  <c r="G252" i="49"/>
  <c r="J253" i="13"/>
  <c r="G99" i="49"/>
  <c r="J100" i="13"/>
  <c r="G257" i="49"/>
  <c r="J258" i="13"/>
  <c r="G267" i="49"/>
  <c r="J268" i="13"/>
  <c r="G77" i="49"/>
  <c r="J78" i="13"/>
  <c r="G134" i="49"/>
  <c r="J135" i="13"/>
  <c r="G283" i="49"/>
  <c r="J284" i="13"/>
  <c r="G207" i="49"/>
  <c r="G61" i="49"/>
  <c r="G273" i="49"/>
  <c r="G217" i="49"/>
  <c r="G128" i="49"/>
  <c r="J129" i="13"/>
  <c r="G250" i="49"/>
  <c r="J251" i="13"/>
  <c r="G114" i="49"/>
  <c r="J115" i="13"/>
  <c r="J62" i="13"/>
  <c r="J274" i="13"/>
  <c r="J105" i="13"/>
  <c r="J234" i="13"/>
  <c r="J40" i="13"/>
  <c r="J152" i="13"/>
  <c r="J118" i="13"/>
  <c r="G68" i="49"/>
  <c r="J69" i="13"/>
  <c r="J96" i="13"/>
  <c r="J70" i="13"/>
  <c r="J282" i="13"/>
  <c r="J310" i="13"/>
  <c r="G21" i="49"/>
  <c r="J159" i="13"/>
  <c r="C6" i="12"/>
  <c r="F6" i="32"/>
  <c r="J7" i="13"/>
  <c r="J305" i="13"/>
  <c r="J302" i="13"/>
  <c r="C6" i="33"/>
  <c r="J7" i="49"/>
  <c r="J9" i="49"/>
  <c r="J13" i="49"/>
  <c r="J17" i="49"/>
  <c r="J21" i="49"/>
  <c r="J25" i="49"/>
  <c r="J29" i="49"/>
  <c r="J32" i="49"/>
  <c r="J36" i="49"/>
  <c r="J40" i="49"/>
  <c r="J44" i="49"/>
  <c r="J48" i="49"/>
  <c r="J52" i="49"/>
  <c r="J56" i="49"/>
  <c r="J60" i="49"/>
  <c r="J64" i="49"/>
  <c r="J68" i="49"/>
  <c r="J12" i="49"/>
  <c r="J18" i="49"/>
  <c r="J23" i="49"/>
  <c r="J28" i="49"/>
  <c r="J33" i="49"/>
  <c r="J38" i="49"/>
  <c r="J43" i="49"/>
  <c r="J49" i="49"/>
  <c r="J54" i="49"/>
  <c r="J59" i="49"/>
  <c r="J65" i="49"/>
  <c r="J70" i="49"/>
  <c r="J74" i="49"/>
  <c r="J78" i="49"/>
  <c r="J82" i="49"/>
  <c r="J86" i="49"/>
  <c r="J90" i="49"/>
  <c r="J94" i="49"/>
  <c r="J98" i="49"/>
  <c r="J102" i="49"/>
  <c r="J106" i="49"/>
  <c r="J110" i="49"/>
  <c r="J114" i="49"/>
  <c r="J118" i="49"/>
  <c r="J122" i="49"/>
  <c r="J126" i="49"/>
  <c r="J130" i="49"/>
  <c r="J134" i="49"/>
  <c r="J138" i="49"/>
  <c r="J142" i="49"/>
  <c r="J146" i="49"/>
  <c r="J150" i="49"/>
  <c r="J154" i="49"/>
  <c r="J158" i="49"/>
  <c r="J162" i="49"/>
  <c r="J170" i="49"/>
  <c r="J177" i="49"/>
  <c r="J181" i="49"/>
  <c r="J185" i="49"/>
  <c r="J189" i="49"/>
  <c r="J193" i="49"/>
  <c r="J197" i="49"/>
  <c r="J201" i="49"/>
  <c r="J205" i="49"/>
  <c r="J209" i="49"/>
  <c r="J213" i="49"/>
  <c r="J217" i="49"/>
  <c r="J220" i="49"/>
  <c r="J224" i="49"/>
  <c r="J228" i="49"/>
  <c r="J11" i="49"/>
  <c r="J19" i="49"/>
  <c r="J26" i="49"/>
  <c r="J39" i="49"/>
  <c r="J46" i="49"/>
  <c r="J53" i="49"/>
  <c r="J61" i="49"/>
  <c r="J67" i="49"/>
  <c r="J73" i="49"/>
  <c r="J79" i="49"/>
  <c r="J84" i="49"/>
  <c r="J89" i="49"/>
  <c r="J95" i="49"/>
  <c r="J100" i="49"/>
  <c r="J105" i="49"/>
  <c r="J111" i="49"/>
  <c r="J116" i="49"/>
  <c r="J121" i="49"/>
  <c r="J127" i="49"/>
  <c r="J132" i="49"/>
  <c r="J137" i="49"/>
  <c r="J143" i="49"/>
  <c r="J148" i="49"/>
  <c r="J153" i="49"/>
  <c r="J159" i="49"/>
  <c r="J163" i="49"/>
  <c r="J166" i="49"/>
  <c r="J171" i="49"/>
  <c r="J175" i="49"/>
  <c r="J180" i="49"/>
  <c r="J186" i="49"/>
  <c r="J191" i="49"/>
  <c r="J196" i="49"/>
  <c r="J202" i="49"/>
  <c r="J207" i="49"/>
  <c r="J212" i="49"/>
  <c r="J222" i="49"/>
  <c r="J227" i="49"/>
  <c r="J232" i="49"/>
  <c r="J235" i="49"/>
  <c r="J237" i="49"/>
  <c r="J241" i="49"/>
  <c r="J246" i="49"/>
  <c r="J250" i="49"/>
  <c r="J254" i="49"/>
  <c r="J258" i="49"/>
  <c r="J262" i="49"/>
  <c r="J266" i="49"/>
  <c r="J270" i="49"/>
  <c r="J274" i="49"/>
  <c r="J278" i="49"/>
  <c r="J282" i="49"/>
  <c r="J286" i="49"/>
  <c r="J290" i="49"/>
  <c r="J294" i="49"/>
  <c r="J297" i="49"/>
  <c r="J301" i="49"/>
  <c r="J305" i="49"/>
  <c r="J309" i="49"/>
  <c r="J313" i="49"/>
  <c r="J10" i="49"/>
  <c r="J20" i="49"/>
  <c r="J30" i="49"/>
  <c r="J37" i="49"/>
  <c r="J47" i="49"/>
  <c r="J57" i="49"/>
  <c r="J66" i="49"/>
  <c r="J75" i="49"/>
  <c r="J81" i="49"/>
  <c r="J88" i="49"/>
  <c r="J96" i="49"/>
  <c r="J103" i="49"/>
  <c r="J109" i="49"/>
  <c r="J117" i="49"/>
  <c r="J124" i="49"/>
  <c r="J131" i="49"/>
  <c r="J139" i="49"/>
  <c r="J145" i="49"/>
  <c r="J152" i="49"/>
  <c r="J160" i="49"/>
  <c r="J176" i="49"/>
  <c r="J183" i="49"/>
  <c r="J190" i="49"/>
  <c r="J198" i="49"/>
  <c r="J204" i="49"/>
  <c r="J211" i="49"/>
  <c r="J219" i="49"/>
  <c r="J225" i="49"/>
  <c r="J231" i="49"/>
  <c r="J239" i="49"/>
  <c r="J245" i="49"/>
  <c r="J251" i="49"/>
  <c r="J256" i="49"/>
  <c r="J261" i="49"/>
  <c r="J267" i="49"/>
  <c r="J272" i="49"/>
  <c r="J277" i="49"/>
  <c r="J283" i="49"/>
  <c r="J288" i="49"/>
  <c r="J293" i="49"/>
  <c r="J298" i="49"/>
  <c r="J303" i="49"/>
  <c r="J308" i="49"/>
  <c r="J14" i="49"/>
  <c r="J22" i="49"/>
  <c r="J31" i="49"/>
  <c r="J41" i="49"/>
  <c r="J50" i="49"/>
  <c r="J58" i="49"/>
  <c r="J69" i="49"/>
  <c r="J76" i="49"/>
  <c r="J83" i="49"/>
  <c r="J91" i="49"/>
  <c r="J97" i="49"/>
  <c r="J104" i="49"/>
  <c r="J112" i="49"/>
  <c r="J119" i="49"/>
  <c r="J125" i="49"/>
  <c r="J133" i="49"/>
  <c r="J140" i="49"/>
  <c r="J147" i="49"/>
  <c r="J155" i="49"/>
  <c r="J161" i="49"/>
  <c r="J165" i="49"/>
  <c r="J172" i="49"/>
  <c r="J178" i="49"/>
  <c r="J184" i="49"/>
  <c r="J192" i="49"/>
  <c r="J199" i="49"/>
  <c r="J206" i="49"/>
  <c r="J214" i="49"/>
  <c r="J226" i="49"/>
  <c r="J233" i="49"/>
  <c r="J236" i="49"/>
  <c r="J240" i="49"/>
  <c r="J247" i="49"/>
  <c r="J252" i="49"/>
  <c r="J257" i="49"/>
  <c r="J263" i="49"/>
  <c r="J268" i="49"/>
  <c r="J273" i="49"/>
  <c r="J279" i="49"/>
  <c r="J284" i="49"/>
  <c r="J289" i="49"/>
  <c r="J295" i="49"/>
  <c r="J299" i="49"/>
  <c r="J304" i="49"/>
  <c r="J310" i="49"/>
  <c r="J15" i="49"/>
  <c r="J24" i="49"/>
  <c r="J34" i="49"/>
  <c r="J42" i="49"/>
  <c r="J51" i="49"/>
  <c r="J62" i="49"/>
  <c r="J71" i="49"/>
  <c r="J77" i="49"/>
  <c r="J85" i="49"/>
  <c r="J92" i="49"/>
  <c r="J99" i="49"/>
  <c r="J107" i="49"/>
  <c r="J113" i="49"/>
  <c r="J120" i="49"/>
  <c r="J128" i="49"/>
  <c r="J135" i="49"/>
  <c r="J141" i="49"/>
  <c r="J149" i="49"/>
  <c r="J156" i="49"/>
  <c r="J167" i="49"/>
  <c r="J173" i="49"/>
  <c r="J179" i="49"/>
  <c r="J187" i="49"/>
  <c r="J194" i="49"/>
  <c r="J200" i="49"/>
  <c r="J208" i="49"/>
  <c r="J215" i="49"/>
  <c r="J221" i="49"/>
  <c r="J229" i="49"/>
  <c r="J242" i="49"/>
  <c r="J248" i="49"/>
  <c r="J253" i="49"/>
  <c r="J259" i="49"/>
  <c r="J264" i="49"/>
  <c r="J269" i="49"/>
  <c r="J275" i="49"/>
  <c r="J280" i="49"/>
  <c r="J285" i="49"/>
  <c r="J291" i="49"/>
  <c r="J300" i="49"/>
  <c r="J306" i="49"/>
  <c r="J311" i="49"/>
  <c r="J45" i="49"/>
  <c r="J80" i="49"/>
  <c r="J108" i="49"/>
  <c r="J136" i="49"/>
  <c r="J164" i="49"/>
  <c r="J188" i="49"/>
  <c r="J216" i="49"/>
  <c r="J238" i="49"/>
  <c r="J260" i="49"/>
  <c r="J281" i="49"/>
  <c r="J302" i="49"/>
  <c r="J63" i="49"/>
  <c r="J174" i="49"/>
  <c r="J249" i="49"/>
  <c r="J292" i="49"/>
  <c r="J35" i="49"/>
  <c r="J72" i="49"/>
  <c r="J101" i="49"/>
  <c r="J129" i="49"/>
  <c r="J157" i="49"/>
  <c r="J182" i="49"/>
  <c r="J210" i="49"/>
  <c r="J234" i="49"/>
  <c r="J255" i="49"/>
  <c r="J276" i="49"/>
  <c r="J296" i="49"/>
  <c r="J16" i="49"/>
  <c r="J55" i="49"/>
  <c r="J87" i="49"/>
  <c r="J115" i="49"/>
  <c r="J144" i="49"/>
  <c r="J168" i="49"/>
  <c r="J195" i="49"/>
  <c r="J223" i="49"/>
  <c r="J244" i="49"/>
  <c r="J265" i="49"/>
  <c r="J287" i="49"/>
  <c r="J307" i="49"/>
  <c r="J27" i="49"/>
  <c r="J93" i="49"/>
  <c r="J123" i="49"/>
  <c r="J151" i="49"/>
  <c r="J203" i="49"/>
  <c r="J230" i="49"/>
  <c r="J271" i="49"/>
  <c r="J312" i="49"/>
  <c r="J254" i="13"/>
  <c r="J222" i="13"/>
  <c r="J94" i="13"/>
  <c r="J44" i="13"/>
  <c r="J30" i="13"/>
  <c r="G23" i="49"/>
  <c r="G29" i="49"/>
  <c r="G40" i="49"/>
  <c r="J41" i="13"/>
  <c r="G42" i="49"/>
  <c r="G44" i="49"/>
  <c r="G54" i="49"/>
  <c r="G75" i="49"/>
  <c r="J76" i="13"/>
  <c r="G85" i="49"/>
  <c r="J86" i="13"/>
  <c r="G93" i="49"/>
  <c r="G101" i="49"/>
  <c r="J102" i="13"/>
  <c r="G107" i="49"/>
  <c r="J108" i="13"/>
  <c r="G133" i="49"/>
  <c r="J134" i="13"/>
  <c r="G313" i="49"/>
  <c r="G211" i="49"/>
  <c r="J212" i="13"/>
  <c r="G284" i="49"/>
  <c r="G173" i="49"/>
  <c r="J174" i="13"/>
  <c r="G244" i="49"/>
  <c r="J245" i="13"/>
  <c r="G17" i="49"/>
  <c r="J18" i="13"/>
  <c r="G249" i="49"/>
  <c r="J250" i="13"/>
  <c r="G63" i="49"/>
  <c r="J64" i="13"/>
  <c r="G180" i="49"/>
  <c r="J181" i="13"/>
  <c r="G210" i="49"/>
  <c r="J211" i="13"/>
  <c r="G98" i="49"/>
  <c r="J99" i="13"/>
  <c r="G237" i="49"/>
  <c r="J238" i="13"/>
  <c r="G64" i="49"/>
  <c r="G215" i="49"/>
  <c r="J216" i="13"/>
  <c r="G120" i="49"/>
  <c r="G212" i="49"/>
  <c r="J213" i="13"/>
  <c r="G299" i="49"/>
  <c r="G131" i="49"/>
  <c r="J132" i="13"/>
  <c r="G209" i="49"/>
  <c r="G310" i="49"/>
  <c r="J311" i="13"/>
  <c r="G227" i="49"/>
  <c r="G271" i="49"/>
  <c r="G241" i="49"/>
  <c r="G160" i="49"/>
  <c r="J161" i="13"/>
  <c r="G276" i="49"/>
  <c r="G148" i="49"/>
  <c r="J149" i="13"/>
  <c r="G236" i="49"/>
  <c r="G303" i="49"/>
  <c r="J304" i="13"/>
  <c r="G158" i="49"/>
  <c r="G240" i="49"/>
  <c r="J241" i="13"/>
  <c r="G186" i="49"/>
  <c r="J187" i="13"/>
  <c r="G312" i="49"/>
  <c r="J313" i="13"/>
  <c r="G262" i="49"/>
  <c r="J263" i="13"/>
  <c r="G168" i="49"/>
  <c r="J169" i="13"/>
  <c r="G20" i="49"/>
  <c r="J21" i="13"/>
  <c r="G102" i="49"/>
  <c r="J103" i="13"/>
  <c r="G70" i="49"/>
  <c r="J71" i="13"/>
  <c r="G263" i="49"/>
  <c r="G268" i="49"/>
  <c r="G192" i="49"/>
  <c r="J193" i="13"/>
  <c r="G189" i="49"/>
  <c r="J190" i="13"/>
  <c r="G308" i="49"/>
  <c r="J309" i="13"/>
  <c r="G116" i="49"/>
  <c r="J117" i="13"/>
  <c r="G305" i="49"/>
  <c r="J306" i="13"/>
  <c r="G165" i="49"/>
  <c r="J166" i="13"/>
  <c r="G115" i="49"/>
  <c r="G144" i="49"/>
  <c r="G9" i="49"/>
  <c r="G306" i="49"/>
  <c r="J307" i="13"/>
  <c r="G166" i="49"/>
  <c r="G292" i="49"/>
  <c r="J293" i="13"/>
  <c r="G216" i="49"/>
  <c r="G132" i="49"/>
  <c r="J133" i="13"/>
  <c r="G146" i="49"/>
  <c r="J147" i="13"/>
  <c r="G10" i="49"/>
  <c r="G219" i="49"/>
  <c r="J220" i="13"/>
  <c r="G86" i="49"/>
  <c r="J87" i="13"/>
  <c r="G108" i="49"/>
  <c r="J109" i="13"/>
  <c r="G224" i="49"/>
  <c r="J225" i="13"/>
  <c r="G185" i="49"/>
  <c r="J186" i="13"/>
  <c r="G150" i="49"/>
  <c r="J151" i="13"/>
  <c r="G242" i="49"/>
  <c r="J243" i="13"/>
  <c r="G8" i="49"/>
  <c r="J9" i="13"/>
  <c r="G226" i="49"/>
  <c r="G147" i="49"/>
  <c r="J148" i="13"/>
  <c r="G30" i="49"/>
  <c r="J31" i="13"/>
  <c r="G170" i="49"/>
  <c r="J171" i="13"/>
  <c r="G256" i="49"/>
  <c r="J257" i="13"/>
  <c r="G136" i="49"/>
  <c r="J137" i="13"/>
  <c r="G245" i="49"/>
  <c r="G103" i="49"/>
  <c r="J104" i="13"/>
  <c r="G7" i="49"/>
  <c r="G87" i="49"/>
  <c r="J88" i="13"/>
  <c r="G26" i="49"/>
  <c r="G223" i="49"/>
  <c r="J224" i="13"/>
  <c r="G157" i="49"/>
  <c r="G297" i="49"/>
  <c r="G274" i="49"/>
  <c r="G33" i="49"/>
  <c r="G111" i="49"/>
  <c r="G27" i="49"/>
  <c r="G199" i="49"/>
  <c r="J200" i="13"/>
  <c r="G285" i="49"/>
  <c r="J286" i="13"/>
  <c r="G193" i="49"/>
  <c r="G301" i="49"/>
  <c r="G123" i="49"/>
  <c r="G45" i="49"/>
  <c r="G143" i="49"/>
  <c r="J144" i="13"/>
  <c r="G57" i="49"/>
  <c r="G181" i="49"/>
  <c r="J182" i="13"/>
  <c r="G300" i="49"/>
  <c r="G167" i="49"/>
  <c r="J168" i="13"/>
  <c r="G62" i="49"/>
  <c r="J63" i="13"/>
  <c r="G12" i="49"/>
  <c r="J13" i="13"/>
  <c r="G127" i="49"/>
  <c r="G296" i="49"/>
  <c r="G153" i="49"/>
  <c r="G121" i="49"/>
  <c r="G304" i="49"/>
  <c r="G198" i="49"/>
  <c r="G232" i="49"/>
  <c r="J154" i="13"/>
  <c r="J122" i="13"/>
  <c r="J264" i="13"/>
  <c r="J269" i="13"/>
  <c r="J58" i="13"/>
  <c r="J301" i="13"/>
  <c r="J227" i="13"/>
  <c r="J314" i="13"/>
  <c r="J242" i="13"/>
  <c r="J237" i="13"/>
  <c r="J82" i="13"/>
  <c r="J22" i="13"/>
  <c r="J232" i="13"/>
  <c r="J256" i="13"/>
  <c r="J156" i="13"/>
  <c r="J37" i="13"/>
  <c r="J162" i="13"/>
  <c r="J249" i="13"/>
  <c r="J23" i="13"/>
  <c r="J178" i="13"/>
  <c r="J179" i="13"/>
  <c r="J292" i="13"/>
  <c r="J189" i="13"/>
  <c r="J81" i="13"/>
  <c r="J204" i="13"/>
  <c r="J38" i="13"/>
  <c r="J201" i="13"/>
  <c r="J270" i="13"/>
  <c r="J283" i="13"/>
  <c r="J101" i="13"/>
  <c r="J55" i="13"/>
  <c r="J43" i="13"/>
  <c r="J24" i="13"/>
  <c r="J196" i="13"/>
  <c r="J289" i="13"/>
  <c r="J17" i="13"/>
  <c r="J239" i="13"/>
  <c r="J67" i="13"/>
  <c r="J51" i="13"/>
  <c r="J143" i="13"/>
  <c r="J230" i="13"/>
  <c r="J207" i="13"/>
  <c r="J90" i="13"/>
  <c r="J14" i="13"/>
  <c r="J266" i="13"/>
  <c r="J125" i="13"/>
  <c r="J52" i="13"/>
  <c r="J12" i="13"/>
  <c r="J56" i="13"/>
  <c r="J35" i="13"/>
  <c r="J60" i="13"/>
  <c r="J183" i="13"/>
  <c r="J106" i="13"/>
  <c r="J299" i="13"/>
  <c r="J123" i="13"/>
  <c r="J84" i="13"/>
  <c r="J91" i="13"/>
  <c r="J79" i="13"/>
  <c r="J150" i="13"/>
  <c r="J16" i="13"/>
  <c r="J32" i="13"/>
  <c r="J114" i="13"/>
  <c r="J29" i="13"/>
  <c r="J163" i="13"/>
  <c r="J157" i="13"/>
  <c r="J176" i="13"/>
  <c r="J276" i="13"/>
  <c r="J126" i="13"/>
  <c r="J85" i="13"/>
  <c r="J95" i="13"/>
  <c r="J68" i="13"/>
  <c r="J75" i="13"/>
  <c r="J191" i="13"/>
  <c r="J15" i="13"/>
  <c r="J119" i="13"/>
  <c r="J223" i="13"/>
  <c r="J48" i="13"/>
  <c r="J280" i="13"/>
  <c r="J59" i="13"/>
  <c r="J130" i="13"/>
  <c r="J77" i="13"/>
  <c r="J47" i="13"/>
  <c r="J226" i="13"/>
  <c r="J39" i="13"/>
  <c r="J127" i="13"/>
  <c r="J206" i="13"/>
  <c r="J288" i="13"/>
  <c r="J248" i="13"/>
  <c r="J240" i="13"/>
  <c r="J80" i="13"/>
  <c r="J139" i="13"/>
  <c r="J107" i="13"/>
  <c r="J83" i="13"/>
  <c r="J296" i="13"/>
  <c r="J259" i="13"/>
  <c r="J20" i="13"/>
  <c r="J164" i="13"/>
  <c r="J165" i="13"/>
  <c r="J175" i="13"/>
  <c r="J235" i="13"/>
  <c r="J195" i="13"/>
  <c r="J231" i="13"/>
  <c r="J72" i="13"/>
  <c r="J172" i="13"/>
  <c r="I6" i="32" l="1"/>
  <c r="F314" i="32"/>
  <c r="K224" i="49"/>
  <c r="F9" i="48"/>
  <c r="E6" i="25"/>
  <c r="L6" i="49"/>
  <c r="C6" i="11"/>
  <c r="C16" i="34"/>
  <c r="K218" i="49"/>
  <c r="K243" i="49"/>
  <c r="E6" i="33"/>
  <c r="D6" i="37" s="1"/>
  <c r="G6" i="32"/>
  <c r="K230" i="49"/>
  <c r="K265" i="49"/>
  <c r="K55" i="49"/>
  <c r="K63" i="49"/>
  <c r="K253" i="49"/>
  <c r="K179" i="49"/>
  <c r="K71" i="49"/>
  <c r="K34" i="49"/>
  <c r="K284" i="49"/>
  <c r="K240" i="49"/>
  <c r="K192" i="49"/>
  <c r="K140" i="49"/>
  <c r="K83" i="49"/>
  <c r="K50" i="49"/>
  <c r="K293" i="49"/>
  <c r="K251" i="49"/>
  <c r="K231" i="49"/>
  <c r="K176" i="49"/>
  <c r="K124" i="49"/>
  <c r="K66" i="49"/>
  <c r="K309" i="49"/>
  <c r="K294" i="49"/>
  <c r="K262" i="49"/>
  <c r="K232" i="49"/>
  <c r="K191" i="49"/>
  <c r="K171" i="49"/>
  <c r="K132" i="49"/>
  <c r="K89" i="49"/>
  <c r="K39" i="49"/>
  <c r="K170" i="49"/>
  <c r="K94" i="49"/>
  <c r="K78" i="49"/>
  <c r="K18" i="49"/>
  <c r="K44" i="49"/>
  <c r="K13" i="49"/>
  <c r="K203" i="49"/>
  <c r="K244" i="49"/>
  <c r="K16" i="49"/>
  <c r="K234" i="49"/>
  <c r="K292" i="49"/>
  <c r="K216" i="49"/>
  <c r="K311" i="49"/>
  <c r="K269" i="49"/>
  <c r="K248" i="49"/>
  <c r="K200" i="49"/>
  <c r="K173" i="49"/>
  <c r="K62" i="49"/>
  <c r="K236" i="49"/>
  <c r="K184" i="49"/>
  <c r="K76" i="49"/>
  <c r="K308" i="49"/>
  <c r="K267" i="49"/>
  <c r="K225" i="49"/>
  <c r="K117" i="49"/>
  <c r="K57" i="49"/>
  <c r="K305" i="49"/>
  <c r="K241" i="49"/>
  <c r="K186" i="49"/>
  <c r="K105" i="49"/>
  <c r="K61" i="49"/>
  <c r="K228" i="49"/>
  <c r="K197" i="49"/>
  <c r="K181" i="49"/>
  <c r="K138" i="49"/>
  <c r="K122" i="49"/>
  <c r="K106" i="49"/>
  <c r="K90" i="49"/>
  <c r="K74" i="49"/>
  <c r="K54" i="49"/>
  <c r="K33" i="49"/>
  <c r="K12" i="49"/>
  <c r="K56" i="49"/>
  <c r="K40" i="49"/>
  <c r="K9" i="49"/>
  <c r="K271" i="49"/>
  <c r="K287" i="49"/>
  <c r="K195" i="49"/>
  <c r="K87" i="49"/>
  <c r="K182" i="49"/>
  <c r="K72" i="49"/>
  <c r="K174" i="49"/>
  <c r="K260" i="49"/>
  <c r="K164" i="49"/>
  <c r="K45" i="49"/>
  <c r="K300" i="49"/>
  <c r="K259" i="49"/>
  <c r="K215" i="49"/>
  <c r="K187" i="49"/>
  <c r="K135" i="49"/>
  <c r="K107" i="49"/>
  <c r="K77" i="49"/>
  <c r="K42" i="49"/>
  <c r="K310" i="49"/>
  <c r="K289" i="49"/>
  <c r="K268" i="49"/>
  <c r="K247" i="49"/>
  <c r="K226" i="49"/>
  <c r="K199" i="49"/>
  <c r="K172" i="49"/>
  <c r="K147" i="49"/>
  <c r="K91" i="49"/>
  <c r="K58" i="49"/>
  <c r="K22" i="49"/>
  <c r="K298" i="49"/>
  <c r="K256" i="49"/>
  <c r="K211" i="49"/>
  <c r="K183" i="49"/>
  <c r="K160" i="49"/>
  <c r="K131" i="49"/>
  <c r="K103" i="49"/>
  <c r="K75" i="49"/>
  <c r="K37" i="49"/>
  <c r="K313" i="49"/>
  <c r="K297" i="49"/>
  <c r="K266" i="49"/>
  <c r="K250" i="49"/>
  <c r="K235" i="49"/>
  <c r="K196" i="49"/>
  <c r="K175" i="49"/>
  <c r="K159" i="49"/>
  <c r="K137" i="49"/>
  <c r="K95" i="49"/>
  <c r="K73" i="49"/>
  <c r="K46" i="49"/>
  <c r="K19" i="49"/>
  <c r="K220" i="49"/>
  <c r="K205" i="49"/>
  <c r="K189" i="49"/>
  <c r="K162" i="49"/>
  <c r="K146" i="49"/>
  <c r="K114" i="49"/>
  <c r="K98" i="49"/>
  <c r="K82" i="49"/>
  <c r="K65" i="49"/>
  <c r="K43" i="49"/>
  <c r="K23" i="49"/>
  <c r="K64" i="49"/>
  <c r="K48" i="49"/>
  <c r="K32" i="49"/>
  <c r="K17" i="49"/>
  <c r="K93" i="49"/>
  <c r="K168" i="49"/>
  <c r="K255" i="49"/>
  <c r="K35" i="49"/>
  <c r="K238" i="49"/>
  <c r="K208" i="49"/>
  <c r="K156" i="49"/>
  <c r="K99" i="49"/>
  <c r="K263" i="49"/>
  <c r="K165" i="49"/>
  <c r="K112" i="49"/>
  <c r="K272" i="49"/>
  <c r="K204" i="49"/>
  <c r="K152" i="49"/>
  <c r="K96" i="49"/>
  <c r="K30" i="49"/>
  <c r="K246" i="49"/>
  <c r="K212" i="49"/>
  <c r="K67" i="49"/>
  <c r="K11" i="49"/>
  <c r="K217" i="49"/>
  <c r="K185" i="49"/>
  <c r="K158" i="49"/>
  <c r="K142" i="49"/>
  <c r="K110" i="49"/>
  <c r="K59" i="49"/>
  <c r="K38" i="49"/>
  <c r="K60" i="49"/>
  <c r="K29" i="49"/>
  <c r="K27" i="49"/>
  <c r="K144" i="49"/>
  <c r="K108" i="49"/>
  <c r="K291" i="49"/>
  <c r="K229" i="49"/>
  <c r="K92" i="49"/>
  <c r="K24" i="49"/>
  <c r="K299" i="49"/>
  <c r="K257" i="49"/>
  <c r="K214" i="49"/>
  <c r="K161" i="49"/>
  <c r="K104" i="49"/>
  <c r="K41" i="49"/>
  <c r="K288" i="49"/>
  <c r="K245" i="49"/>
  <c r="K198" i="49"/>
  <c r="K145" i="49"/>
  <c r="K88" i="49"/>
  <c r="K20" i="49"/>
  <c r="K290" i="49"/>
  <c r="K258" i="49"/>
  <c r="K227" i="49"/>
  <c r="K207" i="49"/>
  <c r="K166" i="49"/>
  <c r="K84" i="49"/>
  <c r="K213" i="49"/>
  <c r="K25" i="49"/>
  <c r="K151" i="49"/>
  <c r="K307" i="49"/>
  <c r="K115" i="49"/>
  <c r="K296" i="49"/>
  <c r="K210" i="49"/>
  <c r="K101" i="49"/>
  <c r="K249" i="49"/>
  <c r="K188" i="49"/>
  <c r="K80" i="49"/>
  <c r="K306" i="49"/>
  <c r="K285" i="49"/>
  <c r="K264" i="49"/>
  <c r="K242" i="49"/>
  <c r="K221" i="49"/>
  <c r="K194" i="49"/>
  <c r="K167" i="49"/>
  <c r="K141" i="49"/>
  <c r="K85" i="49"/>
  <c r="K51" i="49"/>
  <c r="K15" i="49"/>
  <c r="K273" i="49"/>
  <c r="K252" i="49"/>
  <c r="K233" i="49"/>
  <c r="K206" i="49"/>
  <c r="K178" i="49"/>
  <c r="K97" i="49"/>
  <c r="K69" i="49"/>
  <c r="K31" i="49"/>
  <c r="K303" i="49"/>
  <c r="K261" i="49"/>
  <c r="K239" i="49"/>
  <c r="K219" i="49"/>
  <c r="K139" i="49"/>
  <c r="K109" i="49"/>
  <c r="K81" i="49"/>
  <c r="K47" i="49"/>
  <c r="K10" i="49"/>
  <c r="K301" i="49"/>
  <c r="K286" i="49"/>
  <c r="K270" i="49"/>
  <c r="K254" i="49"/>
  <c r="K237" i="49"/>
  <c r="K222" i="49"/>
  <c r="K180" i="49"/>
  <c r="K163" i="49"/>
  <c r="K100" i="49"/>
  <c r="K79" i="49"/>
  <c r="K53" i="49"/>
  <c r="K26" i="49"/>
  <c r="K209" i="49"/>
  <c r="K193" i="49"/>
  <c r="K177" i="49"/>
  <c r="K102" i="49"/>
  <c r="K86" i="49"/>
  <c r="K70" i="49"/>
  <c r="K49" i="49"/>
  <c r="K28" i="49"/>
  <c r="K68" i="49"/>
  <c r="K52" i="49"/>
  <c r="K36" i="49"/>
  <c r="K21" i="49"/>
  <c r="J314" i="49"/>
  <c r="I314" i="32" l="1"/>
  <c r="G314" i="32"/>
  <c r="K314" i="49"/>
  <c r="M314" i="49" s="1"/>
  <c r="J6" i="11" l="1"/>
  <c r="K6" i="11" s="1"/>
  <c r="P17" i="11" l="1"/>
  <c r="Q17" i="11" s="1"/>
  <c r="J17" i="11"/>
  <c r="K17" i="11" s="1"/>
  <c r="P44" i="11"/>
  <c r="Q44" i="11" s="1"/>
  <c r="J44" i="11"/>
  <c r="K44" i="11" s="1"/>
  <c r="P16" i="11"/>
  <c r="Q16" i="11" s="1"/>
  <c r="J16" i="11"/>
  <c r="K16" i="11" s="1"/>
  <c r="P49" i="11"/>
  <c r="Q49" i="11" s="1"/>
  <c r="J49" i="11"/>
  <c r="K49" i="11" s="1"/>
  <c r="P59" i="11"/>
  <c r="Q59" i="11" s="1"/>
  <c r="J59" i="11"/>
  <c r="K59" i="11" s="1"/>
  <c r="P14" i="11"/>
  <c r="Q14" i="11" s="1"/>
  <c r="J14" i="11"/>
  <c r="K14" i="11" s="1"/>
  <c r="P65" i="11"/>
  <c r="Q65" i="11" s="1"/>
  <c r="J65" i="11"/>
  <c r="K65" i="11" s="1"/>
  <c r="P47" i="11"/>
  <c r="Q47" i="11" s="1"/>
  <c r="J47" i="11"/>
  <c r="K47" i="11" s="1"/>
  <c r="P68" i="11"/>
  <c r="Q68" i="11" s="1"/>
  <c r="J68" i="11"/>
  <c r="K68" i="11" s="1"/>
  <c r="P20" i="11"/>
  <c r="Q20" i="11" s="1"/>
  <c r="J20" i="11"/>
  <c r="K20" i="11" s="1"/>
  <c r="P23" i="11"/>
  <c r="Q23" i="11" s="1"/>
  <c r="J23" i="11"/>
  <c r="K23" i="11" s="1"/>
  <c r="P62" i="11"/>
  <c r="Q62" i="11" s="1"/>
  <c r="J62" i="11"/>
  <c r="K62" i="11" s="1"/>
  <c r="P21" i="11"/>
  <c r="Q21" i="11" s="1"/>
  <c r="J21" i="11"/>
  <c r="K21" i="11" s="1"/>
  <c r="P18" i="11"/>
  <c r="Q18" i="11" s="1"/>
  <c r="J18" i="11"/>
  <c r="K18" i="11" s="1"/>
  <c r="P11" i="11"/>
  <c r="Q11" i="11" s="1"/>
  <c r="J11" i="11"/>
  <c r="K11" i="11" s="1"/>
  <c r="P7" i="11"/>
  <c r="Q7" i="11" s="1"/>
  <c r="J7" i="11"/>
  <c r="K7" i="11" s="1"/>
  <c r="P19" i="11"/>
  <c r="Q19" i="11" s="1"/>
  <c r="J19" i="11"/>
  <c r="K19" i="11" s="1"/>
  <c r="P45" i="11"/>
  <c r="Q45" i="11" s="1"/>
  <c r="J45" i="11"/>
  <c r="K45" i="11" s="1"/>
  <c r="P39" i="11"/>
  <c r="Q39" i="11" s="1"/>
  <c r="J39" i="11"/>
  <c r="K39" i="11" s="1"/>
  <c r="P76" i="11"/>
  <c r="Q76" i="11" s="1"/>
  <c r="J76" i="11"/>
  <c r="K76" i="11" s="1"/>
  <c r="P61" i="11"/>
  <c r="Q61" i="11" s="1"/>
  <c r="J61" i="11"/>
  <c r="K61" i="11" s="1"/>
  <c r="P29" i="11"/>
  <c r="Q29" i="11" s="1"/>
  <c r="J29" i="11"/>
  <c r="K29" i="11" s="1"/>
  <c r="P41" i="11"/>
  <c r="Q41" i="11" s="1"/>
  <c r="J41" i="11"/>
  <c r="K41" i="11" s="1"/>
  <c r="P22" i="11"/>
  <c r="Q22" i="11" s="1"/>
  <c r="J22" i="11"/>
  <c r="K22" i="11" s="1"/>
  <c r="P67" i="11"/>
  <c r="Q67" i="11" s="1"/>
  <c r="J67" i="11"/>
  <c r="K67" i="11" s="1"/>
  <c r="P25" i="11"/>
  <c r="Q25" i="11" s="1"/>
  <c r="J25" i="11"/>
  <c r="K25" i="11" s="1"/>
  <c r="P51" i="11"/>
  <c r="Q51" i="11" s="1"/>
  <c r="J51" i="11"/>
  <c r="K51" i="11" s="1"/>
  <c r="P9" i="11"/>
  <c r="Q9" i="11" s="1"/>
  <c r="J9" i="11"/>
  <c r="K9" i="11" s="1"/>
  <c r="P37" i="11"/>
  <c r="Q37" i="11" s="1"/>
  <c r="J37" i="11"/>
  <c r="K37" i="11" s="1"/>
  <c r="P58" i="11"/>
  <c r="Q58" i="11" s="1"/>
  <c r="J58" i="11"/>
  <c r="K58" i="11" s="1"/>
  <c r="P31" i="11"/>
  <c r="Q31" i="11" s="1"/>
  <c r="J31" i="11"/>
  <c r="K31" i="11" s="1"/>
  <c r="P28" i="11"/>
  <c r="Q28" i="11" s="1"/>
  <c r="J28" i="11"/>
  <c r="K28" i="11" s="1"/>
  <c r="P46" i="11"/>
  <c r="Q46" i="11" s="1"/>
  <c r="J46" i="11"/>
  <c r="K46" i="11" s="1"/>
  <c r="P52" i="11"/>
  <c r="Q52" i="11" s="1"/>
  <c r="J52" i="11"/>
  <c r="K52" i="11" s="1"/>
  <c r="P43" i="11"/>
  <c r="Q43" i="11" s="1"/>
  <c r="J43" i="11"/>
  <c r="K43" i="11" s="1"/>
  <c r="P73" i="11"/>
  <c r="Q73" i="11" s="1"/>
  <c r="J73" i="11"/>
  <c r="K73" i="11" s="1"/>
  <c r="P57" i="11"/>
  <c r="Q57" i="11" s="1"/>
  <c r="J57" i="11"/>
  <c r="K57" i="11" s="1"/>
  <c r="P24" i="11"/>
  <c r="Q24" i="11" s="1"/>
  <c r="J24" i="11"/>
  <c r="K24" i="11" s="1"/>
  <c r="P26" i="11"/>
  <c r="Q26" i="11" s="1"/>
  <c r="J26" i="11"/>
  <c r="K26" i="11" s="1"/>
  <c r="P33" i="11"/>
  <c r="Q33" i="11" s="1"/>
  <c r="J33" i="11"/>
  <c r="K33" i="11" s="1"/>
  <c r="P35" i="11"/>
  <c r="Q35" i="11" s="1"/>
  <c r="J35" i="11"/>
  <c r="K35" i="11" s="1"/>
  <c r="P32" i="11"/>
  <c r="Q32" i="11" s="1"/>
  <c r="J32" i="11"/>
  <c r="K32" i="11" s="1"/>
  <c r="P70" i="11"/>
  <c r="Q70" i="11" s="1"/>
  <c r="J70" i="11"/>
  <c r="K70" i="11" s="1"/>
  <c r="P55" i="11"/>
  <c r="Q55" i="11" s="1"/>
  <c r="J55" i="11"/>
  <c r="K55" i="11" s="1"/>
  <c r="P13" i="11"/>
  <c r="Q13" i="11" s="1"/>
  <c r="J13" i="11"/>
  <c r="K13" i="11" s="1"/>
  <c r="P74" i="11"/>
  <c r="Q74" i="11" s="1"/>
  <c r="J74" i="11"/>
  <c r="K74" i="11" s="1"/>
  <c r="P53" i="11"/>
  <c r="Q53" i="11" s="1"/>
  <c r="J53" i="11"/>
  <c r="K53" i="11" s="1"/>
  <c r="P10" i="11"/>
  <c r="Q10" i="11" s="1"/>
  <c r="J10" i="11"/>
  <c r="K10" i="11" s="1"/>
  <c r="P12" i="11"/>
  <c r="Q12" i="11" s="1"/>
  <c r="J12" i="11"/>
  <c r="K12" i="11" s="1"/>
  <c r="P36" i="11"/>
  <c r="Q36" i="11" s="1"/>
  <c r="J36" i="11"/>
  <c r="K36" i="11" s="1"/>
  <c r="P63" i="11"/>
  <c r="Q63" i="11" s="1"/>
  <c r="J63" i="11"/>
  <c r="K63" i="11" s="1"/>
  <c r="P50" i="11"/>
  <c r="Q50" i="11" s="1"/>
  <c r="J50" i="11"/>
  <c r="K50" i="11" s="1"/>
  <c r="P72" i="11"/>
  <c r="Q72" i="11" s="1"/>
  <c r="J72" i="11"/>
  <c r="K72" i="11" s="1"/>
  <c r="P27" i="11"/>
  <c r="Q27" i="11" s="1"/>
  <c r="J27" i="11"/>
  <c r="K27" i="11" s="1"/>
  <c r="P66" i="11"/>
  <c r="Q66" i="11" s="1"/>
  <c r="J66" i="11"/>
  <c r="K66" i="11" s="1"/>
  <c r="P75" i="11"/>
  <c r="Q75" i="11" s="1"/>
  <c r="J75" i="11"/>
  <c r="K75" i="11" s="1"/>
  <c r="P64" i="11"/>
  <c r="Q64" i="11" s="1"/>
  <c r="J64" i="11"/>
  <c r="K64" i="11" s="1"/>
  <c r="P56" i="11"/>
  <c r="Q56" i="11" s="1"/>
  <c r="J56" i="11"/>
  <c r="K56" i="11" s="1"/>
  <c r="P38" i="11"/>
  <c r="Q38" i="11" s="1"/>
  <c r="J38" i="11"/>
  <c r="K38" i="11" s="1"/>
  <c r="P71" i="11"/>
  <c r="Q71" i="11" s="1"/>
  <c r="J71" i="11"/>
  <c r="K71" i="11" s="1"/>
  <c r="P34" i="11"/>
  <c r="Q34" i="11" s="1"/>
  <c r="J34" i="11"/>
  <c r="K34" i="11" s="1"/>
  <c r="P42" i="11"/>
  <c r="Q42" i="11" s="1"/>
  <c r="J42" i="11"/>
  <c r="K42" i="11" s="1"/>
  <c r="P60" i="11"/>
  <c r="Q60" i="11" s="1"/>
  <c r="J60" i="11"/>
  <c r="K60" i="11" s="1"/>
  <c r="P48" i="11"/>
  <c r="Q48" i="11" s="1"/>
  <c r="J48" i="11"/>
  <c r="K48" i="11" s="1"/>
  <c r="P40" i="11"/>
  <c r="Q40" i="11" s="1"/>
  <c r="J40" i="11"/>
  <c r="K40" i="11" s="1"/>
  <c r="P69" i="11"/>
  <c r="Q69" i="11" s="1"/>
  <c r="J69" i="11"/>
  <c r="K69" i="11" s="1"/>
  <c r="P15" i="11"/>
  <c r="Q15" i="11" s="1"/>
  <c r="J15" i="11"/>
  <c r="K15" i="11" s="1"/>
  <c r="P54" i="11"/>
  <c r="Q54" i="11" s="1"/>
  <c r="J54" i="11"/>
  <c r="K54" i="11" s="1"/>
  <c r="P8" i="11"/>
  <c r="Q8" i="11" s="1"/>
  <c r="J8" i="11"/>
  <c r="K8" i="11" s="1"/>
  <c r="P30" i="11"/>
  <c r="Q30" i="11" s="1"/>
  <c r="J30" i="11"/>
  <c r="K30" i="11" s="1"/>
  <c r="P6" i="11" l="1"/>
  <c r="Q6" i="11" l="1"/>
  <c r="F315" i="42" l="1"/>
  <c r="M273" i="42"/>
  <c r="T273" i="42" s="1"/>
  <c r="AE273" i="42" s="1"/>
  <c r="M315" i="42"/>
  <c r="T315" i="42" s="1"/>
  <c r="I315" i="19" l="1"/>
  <c r="F272" i="49" l="1"/>
  <c r="F314" i="49" s="1"/>
  <c r="R315" i="19"/>
  <c r="U315" i="19" l="1"/>
  <c r="C314" i="39" s="1"/>
  <c r="G272" i="49"/>
  <c r="G314" i="49" s="1"/>
  <c r="C314" i="12"/>
  <c r="J273" i="13"/>
  <c r="J315" i="13" s="1"/>
  <c r="E272" i="25" l="1"/>
  <c r="E314" i="25" s="1"/>
  <c r="C272" i="11"/>
  <c r="C314" i="33"/>
  <c r="L272" i="49"/>
  <c r="L314" i="49" s="1"/>
  <c r="M5" i="49" s="1"/>
  <c r="S315" i="19"/>
  <c r="B54" i="40" l="1"/>
  <c r="S314" i="11"/>
  <c r="C324" i="34"/>
  <c r="G36" i="40"/>
  <c r="G38" i="40" s="1"/>
  <c r="E5" i="9"/>
  <c r="E314" i="33"/>
  <c r="M303" i="49"/>
  <c r="N303" i="49" s="1"/>
  <c r="M303" i="25" s="1"/>
  <c r="K303" i="54" s="1"/>
  <c r="M109" i="49"/>
  <c r="N109" i="49" s="1"/>
  <c r="M109" i="25" s="1"/>
  <c r="K109" i="54" s="1"/>
  <c r="M152" i="49"/>
  <c r="N152" i="49" s="1"/>
  <c r="M152" i="25" s="1"/>
  <c r="K152" i="54" s="1"/>
  <c r="M275" i="49"/>
  <c r="N275" i="49" s="1"/>
  <c r="M275" i="25" s="1"/>
  <c r="K275" i="54" s="1"/>
  <c r="M268" i="49"/>
  <c r="N268" i="49" s="1"/>
  <c r="M268" i="25" s="1"/>
  <c r="K268" i="54" s="1"/>
  <c r="M20" i="49"/>
  <c r="N20" i="49" s="1"/>
  <c r="M20" i="25" s="1"/>
  <c r="K20" i="54" s="1"/>
  <c r="M151" i="49"/>
  <c r="N151" i="49" s="1"/>
  <c r="M151" i="25" s="1"/>
  <c r="K151" i="54" s="1"/>
  <c r="M285" i="49"/>
  <c r="N285" i="49" s="1"/>
  <c r="M285" i="25" s="1"/>
  <c r="K285" i="54" s="1"/>
  <c r="M230" i="49"/>
  <c r="N230" i="49" s="1"/>
  <c r="M230" i="25" s="1"/>
  <c r="K230" i="54" s="1"/>
  <c r="M92" i="49"/>
  <c r="N92" i="49" s="1"/>
  <c r="M92" i="25" s="1"/>
  <c r="K92" i="54" s="1"/>
  <c r="M245" i="49"/>
  <c r="N245" i="49" s="1"/>
  <c r="M245" i="25" s="1"/>
  <c r="K245" i="54" s="1"/>
  <c r="M305" i="49"/>
  <c r="N305" i="49" s="1"/>
  <c r="M305" i="25" s="1"/>
  <c r="K305" i="54" s="1"/>
  <c r="M155" i="49"/>
  <c r="N155" i="49" s="1"/>
  <c r="M155" i="25" s="1"/>
  <c r="K155" i="54" s="1"/>
  <c r="M118" i="49"/>
  <c r="M44" i="49"/>
  <c r="N44" i="49" s="1"/>
  <c r="M44" i="25" s="1"/>
  <c r="K44" i="54" s="1"/>
  <c r="M184" i="49"/>
  <c r="N184" i="49" s="1"/>
  <c r="M184" i="25" s="1"/>
  <c r="K184" i="54" s="1"/>
  <c r="M32" i="49"/>
  <c r="N32" i="49" s="1"/>
  <c r="M32" i="25" s="1"/>
  <c r="K32" i="54" s="1"/>
  <c r="M186" i="49"/>
  <c r="N186" i="49" s="1"/>
  <c r="M186" i="25" s="1"/>
  <c r="K186" i="54" s="1"/>
  <c r="M173" i="49"/>
  <c r="N173" i="49" s="1"/>
  <c r="M173" i="25" s="1"/>
  <c r="K173" i="54" s="1"/>
  <c r="M147" i="49"/>
  <c r="N147" i="49" s="1"/>
  <c r="M147" i="25" s="1"/>
  <c r="K147" i="54" s="1"/>
  <c r="M47" i="49"/>
  <c r="N47" i="49" s="1"/>
  <c r="M47" i="25" s="1"/>
  <c r="K47" i="54" s="1"/>
  <c r="M288" i="49"/>
  <c r="N288" i="49" s="1"/>
  <c r="M288" i="25" s="1"/>
  <c r="K288" i="54" s="1"/>
  <c r="M223" i="49"/>
  <c r="N223" i="49" s="1"/>
  <c r="M223" i="25" s="1"/>
  <c r="K223" i="54" s="1"/>
  <c r="M67" i="49"/>
  <c r="N67" i="49" s="1"/>
  <c r="M67" i="25" s="1"/>
  <c r="K67" i="54" s="1"/>
  <c r="M304" i="49"/>
  <c r="N304" i="49" s="1"/>
  <c r="M304" i="25" s="1"/>
  <c r="K304" i="54" s="1"/>
  <c r="M74" i="49"/>
  <c r="N74" i="49" s="1"/>
  <c r="M74" i="25" s="1"/>
  <c r="K74" i="54" s="1"/>
  <c r="M16" i="49"/>
  <c r="N16" i="49" s="1"/>
  <c r="M16" i="25" s="1"/>
  <c r="K16" i="54" s="1"/>
  <c r="M227" i="49"/>
  <c r="N227" i="49" s="1"/>
  <c r="M227" i="25" s="1"/>
  <c r="K227" i="54" s="1"/>
  <c r="M166" i="49"/>
  <c r="N166" i="49" s="1"/>
  <c r="M166" i="25" s="1"/>
  <c r="K166" i="54" s="1"/>
  <c r="M125" i="49"/>
  <c r="N125" i="49" s="1"/>
  <c r="M125" i="25" s="1"/>
  <c r="K125" i="54" s="1"/>
  <c r="M258" i="49"/>
  <c r="N258" i="49" s="1"/>
  <c r="M258" i="25" s="1"/>
  <c r="K258" i="54" s="1"/>
  <c r="M279" i="49"/>
  <c r="N279" i="49" s="1"/>
  <c r="M279" i="25" s="1"/>
  <c r="K279" i="54" s="1"/>
  <c r="M43" i="49"/>
  <c r="N43" i="49" s="1"/>
  <c r="M43" i="25" s="1"/>
  <c r="K43" i="54" s="1"/>
  <c r="M124" i="49"/>
  <c r="N124" i="49" s="1"/>
  <c r="M124" i="25" s="1"/>
  <c r="K124" i="54" s="1"/>
  <c r="M25" i="49"/>
  <c r="N25" i="49" s="1"/>
  <c r="M25" i="25" s="1"/>
  <c r="K25" i="54" s="1"/>
  <c r="M287" i="49"/>
  <c r="N287" i="49" s="1"/>
  <c r="M287" i="25" s="1"/>
  <c r="K287" i="54" s="1"/>
  <c r="M158" i="49"/>
  <c r="N158" i="49" s="1"/>
  <c r="M158" i="25" s="1"/>
  <c r="K158" i="54" s="1"/>
  <c r="M180" i="49"/>
  <c r="N180" i="49" s="1"/>
  <c r="M180" i="25" s="1"/>
  <c r="K180" i="54" s="1"/>
  <c r="M157" i="49"/>
  <c r="N157" i="49" s="1"/>
  <c r="M157" i="25" s="1"/>
  <c r="K157" i="54" s="1"/>
  <c r="M60" i="49"/>
  <c r="N60" i="49" s="1"/>
  <c r="M60" i="25" s="1"/>
  <c r="K60" i="54" s="1"/>
  <c r="M131" i="49"/>
  <c r="N131" i="49" s="1"/>
  <c r="M131" i="25" s="1"/>
  <c r="K131" i="54" s="1"/>
  <c r="M22" i="49"/>
  <c r="N22" i="49" s="1"/>
  <c r="M22" i="25" s="1"/>
  <c r="K22" i="54" s="1"/>
  <c r="M107" i="49"/>
  <c r="N107" i="49" s="1"/>
  <c r="M107" i="25" s="1"/>
  <c r="K107" i="54" s="1"/>
  <c r="M308" i="49"/>
  <c r="N308" i="49" s="1"/>
  <c r="M308" i="25" s="1"/>
  <c r="K308" i="54" s="1"/>
  <c r="M312" i="49"/>
  <c r="N312" i="49" s="1"/>
  <c r="M312" i="25" s="1"/>
  <c r="K312" i="54" s="1"/>
  <c r="M269" i="49"/>
  <c r="N269" i="49" s="1"/>
  <c r="M269" i="25" s="1"/>
  <c r="K269" i="54" s="1"/>
  <c r="M206" i="49"/>
  <c r="N206" i="49" s="1"/>
  <c r="M206" i="25" s="1"/>
  <c r="K206" i="54" s="1"/>
  <c r="M163" i="49"/>
  <c r="N163" i="49" s="1"/>
  <c r="M163" i="25" s="1"/>
  <c r="K163" i="54" s="1"/>
  <c r="M286" i="49"/>
  <c r="N286" i="49" s="1"/>
  <c r="M286" i="25" s="1"/>
  <c r="K286" i="54" s="1"/>
  <c r="M181" i="49"/>
  <c r="N181" i="49" s="1"/>
  <c r="M181" i="25" s="1"/>
  <c r="K181" i="54" s="1"/>
  <c r="M86" i="49"/>
  <c r="N86" i="49" s="1"/>
  <c r="M86" i="25" s="1"/>
  <c r="K86" i="54" s="1"/>
  <c r="M122" i="49"/>
  <c r="N122" i="49" s="1"/>
  <c r="M122" i="25" s="1"/>
  <c r="K122" i="54" s="1"/>
  <c r="M149" i="49"/>
  <c r="N149" i="49" s="1"/>
  <c r="M149" i="25" s="1"/>
  <c r="K149" i="54" s="1"/>
  <c r="M246" i="49"/>
  <c r="N246" i="49" s="1"/>
  <c r="M246" i="25" s="1"/>
  <c r="K246" i="54" s="1"/>
  <c r="M102" i="49"/>
  <c r="N102" i="49" s="1"/>
  <c r="M102" i="25" s="1"/>
  <c r="K102" i="54" s="1"/>
  <c r="M168" i="49"/>
  <c r="N168" i="49" s="1"/>
  <c r="M168" i="25" s="1"/>
  <c r="K168" i="54" s="1"/>
  <c r="M7" i="49"/>
  <c r="N7" i="49" s="1"/>
  <c r="M7" i="25" s="1"/>
  <c r="K7" i="54" s="1"/>
  <c r="M95" i="49"/>
  <c r="N95" i="49" s="1"/>
  <c r="M95" i="25" s="1"/>
  <c r="K95" i="54" s="1"/>
  <c r="M218" i="49"/>
  <c r="N218" i="49" s="1"/>
  <c r="M218" i="25" s="1"/>
  <c r="K218" i="54" s="1"/>
  <c r="M26" i="49"/>
  <c r="N26" i="49" s="1"/>
  <c r="M26" i="25" s="1"/>
  <c r="K26" i="54" s="1"/>
  <c r="M247" i="49"/>
  <c r="N247" i="49" s="1"/>
  <c r="M247" i="25" s="1"/>
  <c r="K247" i="54" s="1"/>
  <c r="M209" i="49"/>
  <c r="N209" i="49" s="1"/>
  <c r="M209" i="25" s="1"/>
  <c r="K209" i="54" s="1"/>
  <c r="M215" i="49"/>
  <c r="N215" i="49" s="1"/>
  <c r="M215" i="25" s="1"/>
  <c r="K215" i="54" s="1"/>
  <c r="M100" i="49"/>
  <c r="N100" i="49" s="1"/>
  <c r="M100" i="25" s="1"/>
  <c r="K100" i="54" s="1"/>
  <c r="M139" i="49"/>
  <c r="N139" i="49" s="1"/>
  <c r="M139" i="25" s="1"/>
  <c r="K139" i="54" s="1"/>
  <c r="M93" i="49"/>
  <c r="N93" i="49" s="1"/>
  <c r="M93" i="25" s="1"/>
  <c r="K93" i="54" s="1"/>
  <c r="M252" i="49"/>
  <c r="N252" i="49" s="1"/>
  <c r="M252" i="25" s="1"/>
  <c r="K252" i="54" s="1"/>
  <c r="M199" i="49"/>
  <c r="N199" i="49" s="1"/>
  <c r="M199" i="25" s="1"/>
  <c r="K199" i="54" s="1"/>
  <c r="M150" i="49"/>
  <c r="N150" i="49" s="1"/>
  <c r="M150" i="25" s="1"/>
  <c r="K150" i="54" s="1"/>
  <c r="M94" i="49"/>
  <c r="N94" i="49" s="1"/>
  <c r="M94" i="25" s="1"/>
  <c r="K94" i="54" s="1"/>
  <c r="M75" i="49"/>
  <c r="N75" i="49" s="1"/>
  <c r="M75" i="25" s="1"/>
  <c r="K75" i="54" s="1"/>
  <c r="M49" i="49"/>
  <c r="N49" i="49" s="1"/>
  <c r="M49" i="25" s="1"/>
  <c r="K49" i="54" s="1"/>
  <c r="M53" i="49"/>
  <c r="N53" i="49" s="1"/>
  <c r="M53" i="25" s="1"/>
  <c r="K53" i="54" s="1"/>
  <c r="M265" i="49"/>
  <c r="N265" i="49" s="1"/>
  <c r="M265" i="25" s="1"/>
  <c r="K265" i="54" s="1"/>
  <c r="M171" i="49"/>
  <c r="N171" i="49" s="1"/>
  <c r="M171" i="25" s="1"/>
  <c r="K171" i="54" s="1"/>
  <c r="M10" i="49"/>
  <c r="N10" i="49" s="1"/>
  <c r="M10" i="25" s="1"/>
  <c r="K10" i="54" s="1"/>
  <c r="M267" i="49"/>
  <c r="N267" i="49" s="1"/>
  <c r="M267" i="25" s="1"/>
  <c r="K267" i="54" s="1"/>
  <c r="M148" i="49"/>
  <c r="N148" i="49" s="1"/>
  <c r="M148" i="25" s="1"/>
  <c r="K148" i="54" s="1"/>
  <c r="M248" i="49"/>
  <c r="N248" i="49" s="1"/>
  <c r="M248" i="25" s="1"/>
  <c r="K248" i="54" s="1"/>
  <c r="M103" i="49"/>
  <c r="N103" i="49" s="1"/>
  <c r="M103" i="25" s="1"/>
  <c r="K103" i="54" s="1"/>
  <c r="M309" i="49"/>
  <c r="N309" i="49" s="1"/>
  <c r="M309" i="25" s="1"/>
  <c r="K309" i="54" s="1"/>
  <c r="M161" i="49"/>
  <c r="N161" i="49" s="1"/>
  <c r="M161" i="25" s="1"/>
  <c r="K161" i="54" s="1"/>
  <c r="M294" i="49"/>
  <c r="N294" i="49" s="1"/>
  <c r="M294" i="25" s="1"/>
  <c r="K294" i="54" s="1"/>
  <c r="M222" i="49"/>
  <c r="N222" i="49" s="1"/>
  <c r="M222" i="25" s="1"/>
  <c r="K222" i="54" s="1"/>
  <c r="M64" i="49"/>
  <c r="N64" i="49" s="1"/>
  <c r="M64" i="25" s="1"/>
  <c r="K64" i="54" s="1"/>
  <c r="M195" i="49"/>
  <c r="N195" i="49" s="1"/>
  <c r="M195" i="25" s="1"/>
  <c r="K195" i="54" s="1"/>
  <c r="M89" i="49"/>
  <c r="N89" i="49" s="1"/>
  <c r="M89" i="25" s="1"/>
  <c r="K89" i="54" s="1"/>
  <c r="M114" i="49"/>
  <c r="N114" i="49" s="1"/>
  <c r="M114" i="25" s="1"/>
  <c r="K114" i="54" s="1"/>
  <c r="M187" i="49"/>
  <c r="N187" i="49" s="1"/>
  <c r="M187" i="25" s="1"/>
  <c r="K187" i="54" s="1"/>
  <c r="M231" i="49"/>
  <c r="N231" i="49" s="1"/>
  <c r="M231" i="25" s="1"/>
  <c r="K231" i="54" s="1"/>
  <c r="M90" i="49"/>
  <c r="N90" i="49" s="1"/>
  <c r="M90" i="25" s="1"/>
  <c r="K90" i="54" s="1"/>
  <c r="M69" i="49"/>
  <c r="N69" i="49" s="1"/>
  <c r="M69" i="25" s="1"/>
  <c r="K69" i="54" s="1"/>
  <c r="M272" i="49"/>
  <c r="N272" i="49" s="1"/>
  <c r="M272" i="25" s="1"/>
  <c r="K272" i="54" s="1"/>
  <c r="M193" i="49"/>
  <c r="N193" i="49" s="1"/>
  <c r="M193" i="25" s="1"/>
  <c r="K193" i="54" s="1"/>
  <c r="M307" i="49"/>
  <c r="N307" i="49" s="1"/>
  <c r="M307" i="25" s="1"/>
  <c r="K307" i="54" s="1"/>
  <c r="M62" i="49"/>
  <c r="N62" i="49" s="1"/>
  <c r="M62" i="25" s="1"/>
  <c r="K62" i="54" s="1"/>
  <c r="M205" i="49"/>
  <c r="N205" i="49" s="1"/>
  <c r="M205" i="25" s="1"/>
  <c r="K205" i="54" s="1"/>
  <c r="M111" i="49"/>
  <c r="N111" i="49" s="1"/>
  <c r="M111" i="25" s="1"/>
  <c r="K111" i="54" s="1"/>
  <c r="M229" i="49"/>
  <c r="N229" i="49" s="1"/>
  <c r="M229" i="25" s="1"/>
  <c r="K229" i="54" s="1"/>
  <c r="M254" i="49"/>
  <c r="N254" i="49" s="1"/>
  <c r="M254" i="25" s="1"/>
  <c r="K254" i="54" s="1"/>
  <c r="M153" i="49"/>
  <c r="N153" i="49" s="1"/>
  <c r="M153" i="25" s="1"/>
  <c r="K153" i="54" s="1"/>
  <c r="M178" i="49"/>
  <c r="N178" i="49" s="1"/>
  <c r="M178" i="25" s="1"/>
  <c r="K178" i="54" s="1"/>
  <c r="M257" i="49"/>
  <c r="N257" i="49" s="1"/>
  <c r="M257" i="25" s="1"/>
  <c r="K257" i="54" s="1"/>
  <c r="M35" i="49"/>
  <c r="N35" i="49" s="1"/>
  <c r="M35" i="25" s="1"/>
  <c r="K35" i="54" s="1"/>
  <c r="M282" i="49"/>
  <c r="N282" i="49" s="1"/>
  <c r="M282" i="25" s="1"/>
  <c r="K282" i="54" s="1"/>
  <c r="M289" i="49"/>
  <c r="N289" i="49" s="1"/>
  <c r="M289" i="25" s="1"/>
  <c r="K289" i="54" s="1"/>
  <c r="M14" i="49"/>
  <c r="N14" i="49" s="1"/>
  <c r="M14" i="25" s="1"/>
  <c r="K14" i="54" s="1"/>
  <c r="M136" i="49"/>
  <c r="N136" i="49" s="1"/>
  <c r="M136" i="25" s="1"/>
  <c r="K136" i="54" s="1"/>
  <c r="M80" i="49"/>
  <c r="N80" i="49" s="1"/>
  <c r="M80" i="25" s="1"/>
  <c r="K80" i="54" s="1"/>
  <c r="M240" i="49"/>
  <c r="N240" i="49" s="1"/>
  <c r="M240" i="25" s="1"/>
  <c r="K240" i="54" s="1"/>
  <c r="M41" i="49"/>
  <c r="N41" i="49" s="1"/>
  <c r="M41" i="25" s="1"/>
  <c r="K41" i="54" s="1"/>
  <c r="M261" i="49"/>
  <c r="N261" i="49" s="1"/>
  <c r="M261" i="25" s="1"/>
  <c r="K261" i="54" s="1"/>
  <c r="M238" i="49"/>
  <c r="N238" i="49" s="1"/>
  <c r="M238" i="25" s="1"/>
  <c r="K238" i="54" s="1"/>
  <c r="M196" i="49"/>
  <c r="N196" i="49" s="1"/>
  <c r="M196" i="25" s="1"/>
  <c r="K196" i="54" s="1"/>
  <c r="M295" i="49"/>
  <c r="N295" i="49" s="1"/>
  <c r="M295" i="25" s="1"/>
  <c r="K295" i="54" s="1"/>
  <c r="M65" i="49"/>
  <c r="N65" i="49" s="1"/>
  <c r="M65" i="25" s="1"/>
  <c r="K65" i="54" s="1"/>
  <c r="M101" i="49"/>
  <c r="N101" i="49" s="1"/>
  <c r="M101" i="25" s="1"/>
  <c r="K101" i="54" s="1"/>
  <c r="M84" i="49"/>
  <c r="N84" i="49" s="1"/>
  <c r="M84" i="25" s="1"/>
  <c r="K84" i="54" s="1"/>
  <c r="M42" i="49"/>
  <c r="N42" i="49" s="1"/>
  <c r="M42" i="25" s="1"/>
  <c r="K42" i="54" s="1"/>
  <c r="M221" i="49"/>
  <c r="N221" i="49" s="1"/>
  <c r="M221" i="25" s="1"/>
  <c r="K221" i="54" s="1"/>
  <c r="M284" i="49"/>
  <c r="N284" i="49" s="1"/>
  <c r="M284" i="25" s="1"/>
  <c r="K284" i="54" s="1"/>
  <c r="M251" i="49"/>
  <c r="N251" i="49" s="1"/>
  <c r="M251" i="25" s="1"/>
  <c r="K251" i="54" s="1"/>
  <c r="M259" i="49"/>
  <c r="N259" i="49" s="1"/>
  <c r="M259" i="25" s="1"/>
  <c r="K259" i="54" s="1"/>
  <c r="M6" i="49"/>
  <c r="N6" i="49" s="1"/>
  <c r="M233" i="49"/>
  <c r="N233" i="49" s="1"/>
  <c r="M233" i="25" s="1"/>
  <c r="K233" i="54" s="1"/>
  <c r="M208" i="49"/>
  <c r="N208" i="49" s="1"/>
  <c r="M208" i="25" s="1"/>
  <c r="K208" i="54" s="1"/>
  <c r="M29" i="49"/>
  <c r="N29" i="49" s="1"/>
  <c r="M29" i="25" s="1"/>
  <c r="K29" i="54" s="1"/>
  <c r="M311" i="49"/>
  <c r="N311" i="49" s="1"/>
  <c r="M311" i="25" s="1"/>
  <c r="K311" i="54" s="1"/>
  <c r="M263" i="49"/>
  <c r="N263" i="49" s="1"/>
  <c r="M263" i="25" s="1"/>
  <c r="K263" i="54" s="1"/>
  <c r="M83" i="49"/>
  <c r="N83" i="49" s="1"/>
  <c r="M83" i="25" s="1"/>
  <c r="K83" i="54" s="1"/>
  <c r="M177" i="49"/>
  <c r="N177" i="49" s="1"/>
  <c r="M177" i="25" s="1"/>
  <c r="K177" i="54" s="1"/>
  <c r="M194" i="49"/>
  <c r="N194" i="49" s="1"/>
  <c r="M194" i="25" s="1"/>
  <c r="K194" i="54" s="1"/>
  <c r="M292" i="49"/>
  <c r="N292" i="49" s="1"/>
  <c r="M292" i="25" s="1"/>
  <c r="K292" i="54" s="1"/>
  <c r="M99" i="49"/>
  <c r="N99" i="49" s="1"/>
  <c r="M99" i="25" s="1"/>
  <c r="K99" i="54" s="1"/>
  <c r="M59" i="49"/>
  <c r="N59" i="49" s="1"/>
  <c r="M59" i="25" s="1"/>
  <c r="K59" i="54" s="1"/>
  <c r="M137" i="49"/>
  <c r="N137" i="49" s="1"/>
  <c r="M137" i="25" s="1"/>
  <c r="K137" i="54" s="1"/>
  <c r="M290" i="49"/>
  <c r="N290" i="49" s="1"/>
  <c r="M290" i="25" s="1"/>
  <c r="K290" i="54" s="1"/>
  <c r="M38" i="49"/>
  <c r="N38" i="49" s="1"/>
  <c r="M38" i="25" s="1"/>
  <c r="K38" i="54" s="1"/>
  <c r="M189" i="49"/>
  <c r="N189" i="49" s="1"/>
  <c r="M189" i="25" s="1"/>
  <c r="K189" i="54" s="1"/>
  <c r="M202" i="49"/>
  <c r="N202" i="49" s="1"/>
  <c r="M202" i="25" s="1"/>
  <c r="K202" i="54" s="1"/>
  <c r="M145" i="49"/>
  <c r="N145" i="49" s="1"/>
  <c r="M145" i="25" s="1"/>
  <c r="K145" i="54" s="1"/>
  <c r="M27" i="49"/>
  <c r="N27" i="49" s="1"/>
  <c r="M27" i="25" s="1"/>
  <c r="K27" i="54" s="1"/>
  <c r="M57" i="49"/>
  <c r="N57" i="49" s="1"/>
  <c r="M57" i="25" s="1"/>
  <c r="K57" i="54" s="1"/>
  <c r="M126" i="49"/>
  <c r="N126" i="49" s="1"/>
  <c r="M126" i="25" s="1"/>
  <c r="K126" i="54" s="1"/>
  <c r="M167" i="49"/>
  <c r="N167" i="49" s="1"/>
  <c r="M167" i="25" s="1"/>
  <c r="K167" i="54" s="1"/>
  <c r="M249" i="49"/>
  <c r="N249" i="49" s="1"/>
  <c r="M249" i="25" s="1"/>
  <c r="K249" i="54" s="1"/>
  <c r="M299" i="49"/>
  <c r="N299" i="49" s="1"/>
  <c r="M299" i="25" s="1"/>
  <c r="K299" i="54" s="1"/>
  <c r="M154" i="49"/>
  <c r="N154" i="49" s="1"/>
  <c r="M154" i="25" s="1"/>
  <c r="K154" i="54" s="1"/>
  <c r="M270" i="49"/>
  <c r="N270" i="49" s="1"/>
  <c r="M270" i="25" s="1"/>
  <c r="K270" i="54" s="1"/>
  <c r="M36" i="49"/>
  <c r="N36" i="49" s="1"/>
  <c r="M36" i="25" s="1"/>
  <c r="K36" i="54" s="1"/>
  <c r="M105" i="49"/>
  <c r="N105" i="49" s="1"/>
  <c r="M105" i="25" s="1"/>
  <c r="K105" i="54" s="1"/>
  <c r="M225" i="49"/>
  <c r="N225" i="49" s="1"/>
  <c r="M225" i="25" s="1"/>
  <c r="K225" i="54" s="1"/>
  <c r="M179" i="49"/>
  <c r="N179" i="49" s="1"/>
  <c r="M179" i="25" s="1"/>
  <c r="K179" i="54" s="1"/>
  <c r="M23" i="49"/>
  <c r="N23" i="49" s="1"/>
  <c r="M23" i="25" s="1"/>
  <c r="K23" i="54" s="1"/>
  <c r="M213" i="49"/>
  <c r="N213" i="49" s="1"/>
  <c r="M213" i="25" s="1"/>
  <c r="K213" i="54" s="1"/>
  <c r="M138" i="49"/>
  <c r="N138" i="49" s="1"/>
  <c r="M138" i="25" s="1"/>
  <c r="K138" i="54" s="1"/>
  <c r="M9" i="49"/>
  <c r="N9" i="49" s="1"/>
  <c r="M9" i="25" s="1"/>
  <c r="K9" i="54" s="1"/>
  <c r="M12" i="49"/>
  <c r="N12" i="49" s="1"/>
  <c r="M12" i="25" s="1"/>
  <c r="K12" i="54" s="1"/>
  <c r="M174" i="49"/>
  <c r="N174" i="49" s="1"/>
  <c r="M174" i="25" s="1"/>
  <c r="K174" i="54" s="1"/>
  <c r="M73" i="49"/>
  <c r="N73" i="49" s="1"/>
  <c r="M73" i="25" s="1"/>
  <c r="K73" i="54" s="1"/>
  <c r="M132" i="49"/>
  <c r="N132" i="49" s="1"/>
  <c r="M132" i="25" s="1"/>
  <c r="K132" i="54" s="1"/>
  <c r="M244" i="49"/>
  <c r="N244" i="49" s="1"/>
  <c r="M244" i="25" s="1"/>
  <c r="K244" i="54" s="1"/>
  <c r="M159" i="49"/>
  <c r="N159" i="49" s="1"/>
  <c r="M159" i="25" s="1"/>
  <c r="K159" i="54" s="1"/>
  <c r="M113" i="49"/>
  <c r="N113" i="49" s="1"/>
  <c r="M113" i="25" s="1"/>
  <c r="K113" i="54" s="1"/>
  <c r="M165" i="49"/>
  <c r="N165" i="49" s="1"/>
  <c r="M165" i="25" s="1"/>
  <c r="K165" i="54" s="1"/>
  <c r="M88" i="49"/>
  <c r="N88" i="49" s="1"/>
  <c r="M88" i="25" s="1"/>
  <c r="K88" i="54" s="1"/>
  <c r="M108" i="49"/>
  <c r="N108" i="49" s="1"/>
  <c r="M108" i="25" s="1"/>
  <c r="K108" i="54" s="1"/>
  <c r="M79" i="49"/>
  <c r="N79" i="49" s="1"/>
  <c r="M79" i="25" s="1"/>
  <c r="K79" i="54" s="1"/>
  <c r="M15" i="49"/>
  <c r="N15" i="49" s="1"/>
  <c r="M15" i="25" s="1"/>
  <c r="K15" i="54" s="1"/>
  <c r="M30" i="49"/>
  <c r="N30" i="49" s="1"/>
  <c r="M30" i="25" s="1"/>
  <c r="K30" i="54" s="1"/>
  <c r="M243" i="49"/>
  <c r="N243" i="49" s="1"/>
  <c r="M243" i="25" s="1"/>
  <c r="K243" i="54" s="1"/>
  <c r="M183" i="49"/>
  <c r="N183" i="49" s="1"/>
  <c r="M183" i="25" s="1"/>
  <c r="K183" i="54" s="1"/>
  <c r="M130" i="49"/>
  <c r="N130" i="49" s="1"/>
  <c r="M130" i="25" s="1"/>
  <c r="K130" i="54" s="1"/>
  <c r="M232" i="49"/>
  <c r="N232" i="49" s="1"/>
  <c r="M232" i="25" s="1"/>
  <c r="K232" i="54" s="1"/>
  <c r="M182" i="49"/>
  <c r="N182" i="49" s="1"/>
  <c r="M182" i="25" s="1"/>
  <c r="K182" i="54" s="1"/>
  <c r="M97" i="49"/>
  <c r="N97" i="49" s="1"/>
  <c r="M97" i="25" s="1"/>
  <c r="K97" i="54" s="1"/>
  <c r="M274" i="49"/>
  <c r="N274" i="49" s="1"/>
  <c r="M274" i="25" s="1"/>
  <c r="K274" i="54" s="1"/>
  <c r="M115" i="49"/>
  <c r="N115" i="49" s="1"/>
  <c r="M115" i="25" s="1"/>
  <c r="K115" i="54" s="1"/>
  <c r="M156" i="49"/>
  <c r="N156" i="49" s="1"/>
  <c r="M156" i="25" s="1"/>
  <c r="K156" i="54" s="1"/>
  <c r="M134" i="49"/>
  <c r="N134" i="49" s="1"/>
  <c r="M134" i="25" s="1"/>
  <c r="K134" i="54" s="1"/>
  <c r="M24" i="49"/>
  <c r="N24" i="49" s="1"/>
  <c r="M24" i="25" s="1"/>
  <c r="K24" i="54" s="1"/>
  <c r="M66" i="49"/>
  <c r="N66" i="49" s="1"/>
  <c r="M66" i="25" s="1"/>
  <c r="K66" i="54" s="1"/>
  <c r="M52" i="49"/>
  <c r="N52" i="49" s="1"/>
  <c r="M52" i="25" s="1"/>
  <c r="K52" i="54" s="1"/>
  <c r="M123" i="49"/>
  <c r="N123" i="49" s="1"/>
  <c r="M123" i="25" s="1"/>
  <c r="K123" i="54" s="1"/>
  <c r="M226" i="49"/>
  <c r="N226" i="49" s="1"/>
  <c r="M226" i="25" s="1"/>
  <c r="K226" i="54" s="1"/>
  <c r="M143" i="49"/>
  <c r="N143" i="49" s="1"/>
  <c r="M143" i="25" s="1"/>
  <c r="K143" i="54" s="1"/>
  <c r="M48" i="49"/>
  <c r="N48" i="49" s="1"/>
  <c r="M48" i="25" s="1"/>
  <c r="K48" i="54" s="1"/>
  <c r="M256" i="49"/>
  <c r="N256" i="49" s="1"/>
  <c r="M256" i="25" s="1"/>
  <c r="K256" i="54" s="1"/>
  <c r="M82" i="49"/>
  <c r="N82" i="49" s="1"/>
  <c r="M82" i="25" s="1"/>
  <c r="K82" i="54" s="1"/>
  <c r="M214" i="49"/>
  <c r="N214" i="49" s="1"/>
  <c r="M214" i="25" s="1"/>
  <c r="K214" i="54" s="1"/>
  <c r="M160" i="49"/>
  <c r="N160" i="49" s="1"/>
  <c r="M160" i="25" s="1"/>
  <c r="K160" i="54" s="1"/>
  <c r="M277" i="49"/>
  <c r="N277" i="49" s="1"/>
  <c r="M277" i="25" s="1"/>
  <c r="K277" i="54" s="1"/>
  <c r="M291" i="49"/>
  <c r="N291" i="49" s="1"/>
  <c r="M291" i="25" s="1"/>
  <c r="K291" i="54" s="1"/>
  <c r="M45" i="49"/>
  <c r="N45" i="49" s="1"/>
  <c r="M45" i="25" s="1"/>
  <c r="K45" i="54" s="1"/>
  <c r="M313" i="49"/>
  <c r="N313" i="49" s="1"/>
  <c r="M313" i="25" s="1"/>
  <c r="K313" i="54" s="1"/>
  <c r="M37" i="49"/>
  <c r="N37" i="49" s="1"/>
  <c r="M37" i="25" s="1"/>
  <c r="K37" i="54" s="1"/>
  <c r="M239" i="49"/>
  <c r="N239" i="49" s="1"/>
  <c r="M239" i="25" s="1"/>
  <c r="K239" i="54" s="1"/>
  <c r="M264" i="49"/>
  <c r="N264" i="49" s="1"/>
  <c r="M264" i="25" s="1"/>
  <c r="K264" i="54" s="1"/>
  <c r="M81" i="49"/>
  <c r="N81" i="49" s="1"/>
  <c r="M81" i="25" s="1"/>
  <c r="K81" i="54" s="1"/>
  <c r="M117" i="49"/>
  <c r="N117" i="49" s="1"/>
  <c r="M117" i="25" s="1"/>
  <c r="K117" i="54" s="1"/>
  <c r="M212" i="49"/>
  <c r="N212" i="49" s="1"/>
  <c r="M212" i="25" s="1"/>
  <c r="K212" i="54" s="1"/>
  <c r="M46" i="49"/>
  <c r="N46" i="49" s="1"/>
  <c r="M46" i="25" s="1"/>
  <c r="K46" i="54" s="1"/>
  <c r="M296" i="49"/>
  <c r="N296" i="49" s="1"/>
  <c r="M296" i="25" s="1"/>
  <c r="K296" i="54" s="1"/>
  <c r="M310" i="49"/>
  <c r="N310" i="49" s="1"/>
  <c r="M310" i="25" s="1"/>
  <c r="K310" i="54" s="1"/>
  <c r="M31" i="49"/>
  <c r="N31" i="49" s="1"/>
  <c r="M31" i="25" s="1"/>
  <c r="K31" i="54" s="1"/>
  <c r="M51" i="49"/>
  <c r="N51" i="49" s="1"/>
  <c r="M51" i="25" s="1"/>
  <c r="K51" i="54" s="1"/>
  <c r="M306" i="49"/>
  <c r="N306" i="49" s="1"/>
  <c r="M306" i="25" s="1"/>
  <c r="K306" i="54" s="1"/>
  <c r="M34" i="49"/>
  <c r="N34" i="49" s="1"/>
  <c r="M34" i="25" s="1"/>
  <c r="K34" i="54" s="1"/>
  <c r="M216" i="49"/>
  <c r="N216" i="49" s="1"/>
  <c r="M216" i="25" s="1"/>
  <c r="K216" i="54" s="1"/>
  <c r="M203" i="49"/>
  <c r="N203" i="49" s="1"/>
  <c r="M203" i="25" s="1"/>
  <c r="K203" i="54" s="1"/>
  <c r="M68" i="49"/>
  <c r="N68" i="49" s="1"/>
  <c r="M68" i="25" s="1"/>
  <c r="K68" i="54" s="1"/>
  <c r="M98" i="49"/>
  <c r="N98" i="49" s="1"/>
  <c r="M98" i="25" s="1"/>
  <c r="K98" i="54" s="1"/>
  <c r="M61" i="49"/>
  <c r="N61" i="49" s="1"/>
  <c r="M61" i="25" s="1"/>
  <c r="K61" i="54" s="1"/>
  <c r="M21" i="49"/>
  <c r="N21" i="49" s="1"/>
  <c r="M21" i="25" s="1"/>
  <c r="K21" i="54" s="1"/>
  <c r="M129" i="49"/>
  <c r="N129" i="49" s="1"/>
  <c r="M129" i="25" s="1"/>
  <c r="K129" i="54" s="1"/>
  <c r="M266" i="49"/>
  <c r="N266" i="49" s="1"/>
  <c r="M266" i="25" s="1"/>
  <c r="K266" i="54" s="1"/>
  <c r="M207" i="49"/>
  <c r="N207" i="49" s="1"/>
  <c r="M207" i="25" s="1"/>
  <c r="K207" i="54" s="1"/>
  <c r="M236" i="49"/>
  <c r="N236" i="49" s="1"/>
  <c r="M236" i="25" s="1"/>
  <c r="K236" i="54" s="1"/>
  <c r="M70" i="49"/>
  <c r="N70" i="49" s="1"/>
  <c r="M70" i="25" s="1"/>
  <c r="K70" i="54" s="1"/>
  <c r="M104" i="49"/>
  <c r="N104" i="49" s="1"/>
  <c r="M104" i="25" s="1"/>
  <c r="K104" i="54" s="1"/>
  <c r="M211" i="49"/>
  <c r="M188" i="49"/>
  <c r="N188" i="49" s="1"/>
  <c r="M188" i="25" s="1"/>
  <c r="K188" i="54" s="1"/>
  <c r="M55" i="49"/>
  <c r="N55" i="49" s="1"/>
  <c r="M55" i="25" s="1"/>
  <c r="K55" i="54" s="1"/>
  <c r="M33" i="49"/>
  <c r="N33" i="49" s="1"/>
  <c r="M33" i="25" s="1"/>
  <c r="K33" i="54" s="1"/>
  <c r="M39" i="49"/>
  <c r="N39" i="49" s="1"/>
  <c r="M39" i="25" s="1"/>
  <c r="K39" i="54" s="1"/>
  <c r="M276" i="49"/>
  <c r="N276" i="49" s="1"/>
  <c r="M276" i="25" s="1"/>
  <c r="K276" i="54" s="1"/>
  <c r="M71" i="49"/>
  <c r="N71" i="49" s="1"/>
  <c r="M71" i="25" s="1"/>
  <c r="K71" i="54" s="1"/>
  <c r="M176" i="49"/>
  <c r="N176" i="49" s="1"/>
  <c r="M176" i="25" s="1"/>
  <c r="K176" i="54" s="1"/>
  <c r="M141" i="49"/>
  <c r="N141" i="49" s="1"/>
  <c r="M141" i="25" s="1"/>
  <c r="K141" i="54" s="1"/>
  <c r="M128" i="49"/>
  <c r="N128" i="49" s="1"/>
  <c r="M128" i="25" s="1"/>
  <c r="K128" i="54" s="1"/>
  <c r="M192" i="49"/>
  <c r="N192" i="49" s="1"/>
  <c r="M192" i="25" s="1"/>
  <c r="K192" i="54" s="1"/>
  <c r="M237" i="49"/>
  <c r="N237" i="49" s="1"/>
  <c r="M237" i="25" s="1"/>
  <c r="K237" i="54" s="1"/>
  <c r="M219" i="49"/>
  <c r="N219" i="49" s="1"/>
  <c r="M219" i="25" s="1"/>
  <c r="K219" i="54" s="1"/>
  <c r="M40" i="49"/>
  <c r="N40" i="49" s="1"/>
  <c r="M40" i="25" s="1"/>
  <c r="K40" i="54" s="1"/>
  <c r="M197" i="49"/>
  <c r="N197" i="49" s="1"/>
  <c r="M197" i="25" s="1"/>
  <c r="K197" i="54" s="1"/>
  <c r="M241" i="49"/>
  <c r="N241" i="49" s="1"/>
  <c r="M241" i="25" s="1"/>
  <c r="K241" i="54" s="1"/>
  <c r="M217" i="49"/>
  <c r="N217" i="49" s="1"/>
  <c r="M217" i="25" s="1"/>
  <c r="K217" i="54" s="1"/>
  <c r="M54" i="49"/>
  <c r="N54" i="49" s="1"/>
  <c r="M54" i="25" s="1"/>
  <c r="K54" i="54" s="1"/>
  <c r="M190" i="49"/>
  <c r="N190" i="49" s="1"/>
  <c r="M190" i="25" s="1"/>
  <c r="K190" i="54" s="1"/>
  <c r="M278" i="49"/>
  <c r="N278" i="49" s="1"/>
  <c r="M278" i="25" s="1"/>
  <c r="K278" i="54" s="1"/>
  <c r="M72" i="49"/>
  <c r="N72" i="49" s="1"/>
  <c r="M72" i="25" s="1"/>
  <c r="K72" i="54" s="1"/>
  <c r="M250" i="49"/>
  <c r="N250" i="49" s="1"/>
  <c r="M250" i="25" s="1"/>
  <c r="K250" i="54" s="1"/>
  <c r="M235" i="49"/>
  <c r="N235" i="49" s="1"/>
  <c r="M235" i="25" s="1"/>
  <c r="K235" i="54" s="1"/>
  <c r="M106" i="49"/>
  <c r="N106" i="49" s="1"/>
  <c r="M106" i="25" s="1"/>
  <c r="K106" i="54" s="1"/>
  <c r="M140" i="49"/>
  <c r="N140" i="49" s="1"/>
  <c r="M140" i="25" s="1"/>
  <c r="K140" i="54" s="1"/>
  <c r="M63" i="49"/>
  <c r="N63" i="49" s="1"/>
  <c r="M63" i="25" s="1"/>
  <c r="K63" i="54" s="1"/>
  <c r="M300" i="49"/>
  <c r="N300" i="49" s="1"/>
  <c r="M300" i="25" s="1"/>
  <c r="K300" i="54" s="1"/>
  <c r="M169" i="49"/>
  <c r="N169" i="49" s="1"/>
  <c r="M169" i="25" s="1"/>
  <c r="K169" i="54" s="1"/>
  <c r="M110" i="49"/>
  <c r="N110" i="49" s="1"/>
  <c r="M110" i="25" s="1"/>
  <c r="K110" i="54" s="1"/>
  <c r="M224" i="49"/>
  <c r="N224" i="49" s="1"/>
  <c r="M224" i="25" s="1"/>
  <c r="K224" i="54" s="1"/>
  <c r="M242" i="49"/>
  <c r="N242" i="49" s="1"/>
  <c r="M242" i="25" s="1"/>
  <c r="K242" i="54" s="1"/>
  <c r="M162" i="49"/>
  <c r="N162" i="49" s="1"/>
  <c r="M162" i="25" s="1"/>
  <c r="K162" i="54" s="1"/>
  <c r="M201" i="49"/>
  <c r="N201" i="49" s="1"/>
  <c r="M201" i="25" s="1"/>
  <c r="K201" i="54" s="1"/>
  <c r="M191" i="49"/>
  <c r="N191" i="49" s="1"/>
  <c r="M191" i="25" s="1"/>
  <c r="K191" i="54" s="1"/>
  <c r="M271" i="49"/>
  <c r="N271" i="49" s="1"/>
  <c r="M271" i="25" s="1"/>
  <c r="K271" i="54" s="1"/>
  <c r="M91" i="49"/>
  <c r="N91" i="49" s="1"/>
  <c r="M91" i="25" s="1"/>
  <c r="K91" i="54" s="1"/>
  <c r="M56" i="49"/>
  <c r="N56" i="49" s="1"/>
  <c r="M56" i="25" s="1"/>
  <c r="K56" i="54" s="1"/>
  <c r="M133" i="49"/>
  <c r="N133" i="49" s="1"/>
  <c r="M133" i="25" s="1"/>
  <c r="K133" i="54" s="1"/>
  <c r="M255" i="49"/>
  <c r="N255" i="49" s="1"/>
  <c r="M255" i="25" s="1"/>
  <c r="K255" i="54" s="1"/>
  <c r="M8" i="49"/>
  <c r="N8" i="49" s="1"/>
  <c r="M8" i="25" s="1"/>
  <c r="K8" i="54" s="1"/>
  <c r="M112" i="49"/>
  <c r="N112" i="49" s="1"/>
  <c r="M112" i="25" s="1"/>
  <c r="K112" i="54" s="1"/>
  <c r="M119" i="49"/>
  <c r="N119" i="49" s="1"/>
  <c r="M119" i="25" s="1"/>
  <c r="K119" i="54" s="1"/>
  <c r="M127" i="49"/>
  <c r="N127" i="49" s="1"/>
  <c r="M127" i="25" s="1"/>
  <c r="K127" i="54" s="1"/>
  <c r="M280" i="49"/>
  <c r="N280" i="49" s="1"/>
  <c r="M280" i="25" s="1"/>
  <c r="K280" i="54" s="1"/>
  <c r="M120" i="49"/>
  <c r="N120" i="49" s="1"/>
  <c r="M120" i="25" s="1"/>
  <c r="K120" i="54" s="1"/>
  <c r="M146" i="49"/>
  <c r="N146" i="49" s="1"/>
  <c r="M146" i="25" s="1"/>
  <c r="K146" i="54" s="1"/>
  <c r="M77" i="49"/>
  <c r="N77" i="49" s="1"/>
  <c r="M77" i="25" s="1"/>
  <c r="K77" i="54" s="1"/>
  <c r="M204" i="49"/>
  <c r="N204" i="49" s="1"/>
  <c r="M204" i="25" s="1"/>
  <c r="K204" i="54" s="1"/>
  <c r="M298" i="49"/>
  <c r="N298" i="49" s="1"/>
  <c r="M298" i="25" s="1"/>
  <c r="K298" i="54" s="1"/>
  <c r="M234" i="49"/>
  <c r="N234" i="49" s="1"/>
  <c r="M234" i="25" s="1"/>
  <c r="K234" i="54" s="1"/>
  <c r="M283" i="49"/>
  <c r="N283" i="49" s="1"/>
  <c r="M283" i="25" s="1"/>
  <c r="K283" i="54" s="1"/>
  <c r="M164" i="49"/>
  <c r="N164" i="49" s="1"/>
  <c r="M164" i="25" s="1"/>
  <c r="K164" i="54" s="1"/>
  <c r="M262" i="49"/>
  <c r="N262" i="49" s="1"/>
  <c r="M262" i="25" s="1"/>
  <c r="K262" i="54" s="1"/>
  <c r="M210" i="49"/>
  <c r="N210" i="49" s="1"/>
  <c r="M210" i="25" s="1"/>
  <c r="K210" i="54" s="1"/>
  <c r="M228" i="49"/>
  <c r="N228" i="49" s="1"/>
  <c r="M228" i="25" s="1"/>
  <c r="K228" i="54" s="1"/>
  <c r="M18" i="49"/>
  <c r="N18" i="49" s="1"/>
  <c r="M18" i="25" s="1"/>
  <c r="K18" i="54" s="1"/>
  <c r="M273" i="49"/>
  <c r="N273" i="49" s="1"/>
  <c r="M273" i="25" s="1"/>
  <c r="K273" i="54" s="1"/>
  <c r="M121" i="49"/>
  <c r="N121" i="49" s="1"/>
  <c r="M121" i="25" s="1"/>
  <c r="K121" i="54" s="1"/>
  <c r="M85" i="49"/>
  <c r="N85" i="49" s="1"/>
  <c r="M85" i="25" s="1"/>
  <c r="K85" i="54" s="1"/>
  <c r="M260" i="49"/>
  <c r="N260" i="49" s="1"/>
  <c r="M260" i="25" s="1"/>
  <c r="K260" i="54" s="1"/>
  <c r="M198" i="49"/>
  <c r="N198" i="49" s="1"/>
  <c r="M198" i="25" s="1"/>
  <c r="K198" i="54" s="1"/>
  <c r="M170" i="49"/>
  <c r="N170" i="49" s="1"/>
  <c r="M170" i="25" s="1"/>
  <c r="K170" i="54" s="1"/>
  <c r="M142" i="49"/>
  <c r="N142" i="49" s="1"/>
  <c r="M142" i="25" s="1"/>
  <c r="K142" i="54" s="1"/>
  <c r="M297" i="49"/>
  <c r="N297" i="49" s="1"/>
  <c r="M297" i="25" s="1"/>
  <c r="M19" i="49"/>
  <c r="N19" i="49" s="1"/>
  <c r="M19" i="25" s="1"/>
  <c r="K19" i="54" s="1"/>
  <c r="M78" i="49"/>
  <c r="M293" i="49"/>
  <c r="N293" i="49" s="1"/>
  <c r="M293" i="25" s="1"/>
  <c r="K293" i="54" s="1"/>
  <c r="M302" i="49"/>
  <c r="N302" i="49" s="1"/>
  <c r="M302" i="25" s="1"/>
  <c r="K302" i="54" s="1"/>
  <c r="M58" i="49"/>
  <c r="N58" i="49" s="1"/>
  <c r="M58" i="25" s="1"/>
  <c r="K58" i="54" s="1"/>
  <c r="M185" i="49"/>
  <c r="N185" i="49" s="1"/>
  <c r="M185" i="25" s="1"/>
  <c r="K185" i="54" s="1"/>
  <c r="M87" i="49"/>
  <c r="N87" i="49" s="1"/>
  <c r="M87" i="25" s="1"/>
  <c r="K87" i="54" s="1"/>
  <c r="M172" i="49"/>
  <c r="N172" i="49" s="1"/>
  <c r="M172" i="25" s="1"/>
  <c r="K172" i="54" s="1"/>
  <c r="M220" i="49"/>
  <c r="N220" i="49" s="1"/>
  <c r="M220" i="25" s="1"/>
  <c r="K220" i="54" s="1"/>
  <c r="M135" i="49"/>
  <c r="N135" i="49" s="1"/>
  <c r="M135" i="25" s="1"/>
  <c r="K135" i="54" s="1"/>
  <c r="M200" i="49"/>
  <c r="N200" i="49" s="1"/>
  <c r="M200" i="25" s="1"/>
  <c r="K200" i="54" s="1"/>
  <c r="M116" i="49"/>
  <c r="N116" i="49" s="1"/>
  <c r="M116" i="25" s="1"/>
  <c r="K116" i="54" s="1"/>
  <c r="M253" i="49"/>
  <c r="N253" i="49" s="1"/>
  <c r="M253" i="25" s="1"/>
  <c r="K253" i="54" s="1"/>
  <c r="M96" i="49"/>
  <c r="N96" i="49" s="1"/>
  <c r="M96" i="25" s="1"/>
  <c r="K96" i="54" s="1"/>
  <c r="M301" i="49"/>
  <c r="N301" i="49" s="1"/>
  <c r="M301" i="25" s="1"/>
  <c r="K301" i="54" s="1"/>
  <c r="M28" i="49"/>
  <c r="N28" i="49" s="1"/>
  <c r="M28" i="25" s="1"/>
  <c r="K28" i="54" s="1"/>
  <c r="M281" i="49"/>
  <c r="N281" i="49" s="1"/>
  <c r="M281" i="25" s="1"/>
  <c r="K281" i="54" s="1"/>
  <c r="M11" i="49"/>
  <c r="N11" i="49" s="1"/>
  <c r="M11" i="25" s="1"/>
  <c r="K11" i="54" s="1"/>
  <c r="M17" i="49"/>
  <c r="N17" i="49" s="1"/>
  <c r="M17" i="25" s="1"/>
  <c r="K17" i="54" s="1"/>
  <c r="M76" i="49"/>
  <c r="N76" i="49" s="1"/>
  <c r="M76" i="25" s="1"/>
  <c r="K76" i="54" s="1"/>
  <c r="M175" i="49"/>
  <c r="N175" i="49" s="1"/>
  <c r="M175" i="25" s="1"/>
  <c r="K175" i="54" s="1"/>
  <c r="M144" i="49"/>
  <c r="N144" i="49" s="1"/>
  <c r="M144" i="25" s="1"/>
  <c r="K144" i="54" s="1"/>
  <c r="M50" i="49"/>
  <c r="N50" i="49" s="1"/>
  <c r="M50" i="25" s="1"/>
  <c r="K50" i="54" s="1"/>
  <c r="M13" i="49"/>
  <c r="N13" i="49" s="1"/>
  <c r="M13" i="25" s="1"/>
  <c r="K13" i="54" s="1"/>
  <c r="G314" i="37"/>
  <c r="L315" i="13"/>
  <c r="C314" i="11"/>
  <c r="J272" i="11"/>
  <c r="P272" i="11"/>
  <c r="N118" i="49" l="1"/>
  <c r="M118" i="25" s="1"/>
  <c r="K118" i="54" s="1"/>
  <c r="E48" i="48"/>
  <c r="F48" i="48" s="1"/>
  <c r="F50" i="48" s="1"/>
  <c r="H19" i="37"/>
  <c r="H11" i="37"/>
  <c r="H15" i="37"/>
  <c r="H7" i="37"/>
  <c r="H18" i="37"/>
  <c r="H22" i="37"/>
  <c r="H26" i="37"/>
  <c r="H30" i="37"/>
  <c r="H160" i="37"/>
  <c r="H170" i="37"/>
  <c r="H210" i="37"/>
  <c r="H73" i="37"/>
  <c r="H77" i="37"/>
  <c r="H173" i="37"/>
  <c r="H186" i="37"/>
  <c r="H189" i="37"/>
  <c r="H202" i="37"/>
  <c r="H205" i="37"/>
  <c r="H75" i="37"/>
  <c r="H82" i="37"/>
  <c r="H165" i="37"/>
  <c r="H181" i="37"/>
  <c r="H197" i="37"/>
  <c r="H158" i="37"/>
  <c r="H183" i="37"/>
  <c r="H199" i="37"/>
  <c r="H249" i="37"/>
  <c r="H214" i="37"/>
  <c r="H219" i="37"/>
  <c r="H221" i="37"/>
  <c r="H226" i="37"/>
  <c r="H234" i="37"/>
  <c r="H248" i="37"/>
  <c r="H252" i="37"/>
  <c r="H257" i="37"/>
  <c r="H268" i="37"/>
  <c r="H273" i="37"/>
  <c r="H284" i="37"/>
  <c r="H289" i="37"/>
  <c r="H291" i="37"/>
  <c r="H293" i="37"/>
  <c r="H295" i="37"/>
  <c r="H297" i="37"/>
  <c r="H299" i="37"/>
  <c r="H301" i="37"/>
  <c r="H303" i="37"/>
  <c r="H305" i="37"/>
  <c r="H307" i="37"/>
  <c r="H309" i="37"/>
  <c r="H311" i="37"/>
  <c r="H313" i="37"/>
  <c r="H217" i="37"/>
  <c r="H230" i="37"/>
  <c r="H237" i="37"/>
  <c r="H239" i="37"/>
  <c r="H260" i="37"/>
  <c r="H222" i="37"/>
  <c r="H227" i="37"/>
  <c r="H229" i="37"/>
  <c r="H233" i="37"/>
  <c r="H244" i="37"/>
  <c r="H253" i="37"/>
  <c r="H265" i="37"/>
  <c r="H276" i="37"/>
  <c r="H281" i="37"/>
  <c r="H288" i="37"/>
  <c r="H277" i="37"/>
  <c r="H241" i="37"/>
  <c r="H312" i="37"/>
  <c r="H304" i="37"/>
  <c r="H296" i="37"/>
  <c r="H278" i="37"/>
  <c r="H247" i="37"/>
  <c r="H225" i="37"/>
  <c r="H191" i="37"/>
  <c r="H129" i="37"/>
  <c r="H235" i="37"/>
  <c r="H279" i="37"/>
  <c r="H246" i="37"/>
  <c r="H212" i="37"/>
  <c r="H168" i="37"/>
  <c r="H144" i="37"/>
  <c r="H266" i="37"/>
  <c r="H243" i="37"/>
  <c r="H137" i="37"/>
  <c r="H206" i="37"/>
  <c r="H174" i="37"/>
  <c r="H155" i="37"/>
  <c r="H139" i="37"/>
  <c r="H123" i="37"/>
  <c r="H107" i="37"/>
  <c r="H91" i="37"/>
  <c r="H69" i="37"/>
  <c r="H61" i="37"/>
  <c r="H53" i="37"/>
  <c r="H45" i="37"/>
  <c r="H37" i="37"/>
  <c r="H27" i="37"/>
  <c r="H120" i="37"/>
  <c r="H104" i="37"/>
  <c r="H81" i="37"/>
  <c r="H198" i="37"/>
  <c r="H151" i="37"/>
  <c r="H135" i="37"/>
  <c r="H119" i="37"/>
  <c r="H103" i="37"/>
  <c r="H87" i="37"/>
  <c r="H195" i="37"/>
  <c r="H166" i="37"/>
  <c r="H148" i="37"/>
  <c r="H132" i="37"/>
  <c r="H116" i="37"/>
  <c r="H100" i="37"/>
  <c r="H83" i="37"/>
  <c r="H56" i="37"/>
  <c r="H40" i="37"/>
  <c r="H25" i="37"/>
  <c r="H251" i="37"/>
  <c r="H200" i="37"/>
  <c r="H80" i="37"/>
  <c r="H161" i="37"/>
  <c r="H59" i="37"/>
  <c r="H43" i="37"/>
  <c r="H28" i="37"/>
  <c r="H72" i="37"/>
  <c r="H13" i="37"/>
  <c r="H286" i="37"/>
  <c r="H272" i="37"/>
  <c r="H238" i="37"/>
  <c r="H310" i="37"/>
  <c r="H302" i="37"/>
  <c r="H294" i="37"/>
  <c r="H271" i="37"/>
  <c r="H242" i="37"/>
  <c r="H216" i="37"/>
  <c r="H178" i="37"/>
  <c r="H283" i="37"/>
  <c r="H172" i="37"/>
  <c r="H270" i="37"/>
  <c r="H245" i="37"/>
  <c r="H211" i="37"/>
  <c r="H164" i="37"/>
  <c r="H287" i="37"/>
  <c r="H262" i="37"/>
  <c r="H240" i="37"/>
  <c r="H136" i="37"/>
  <c r="H204" i="37"/>
  <c r="H169" i="37"/>
  <c r="H154" i="37"/>
  <c r="H138" i="37"/>
  <c r="H122" i="37"/>
  <c r="H106" i="37"/>
  <c r="H90" i="37"/>
  <c r="H66" i="37"/>
  <c r="H58" i="37"/>
  <c r="H50" i="37"/>
  <c r="H42" i="37"/>
  <c r="H34" i="37"/>
  <c r="H23" i="37"/>
  <c r="H113" i="37"/>
  <c r="H97" i="37"/>
  <c r="H79" i="37"/>
  <c r="H196" i="37"/>
  <c r="H150" i="37"/>
  <c r="H134" i="37"/>
  <c r="H118" i="37"/>
  <c r="H102" i="37"/>
  <c r="H86" i="37"/>
  <c r="H185" i="37"/>
  <c r="H163" i="37"/>
  <c r="H141" i="37"/>
  <c r="H125" i="37"/>
  <c r="H109" i="37"/>
  <c r="H93" i="37"/>
  <c r="H68" i="37"/>
  <c r="H52" i="37"/>
  <c r="H36" i="37"/>
  <c r="H21" i="37"/>
  <c r="H232" i="37"/>
  <c r="H192" i="37"/>
  <c r="H16" i="37"/>
  <c r="H76" i="37"/>
  <c r="H55" i="37"/>
  <c r="H39" i="37"/>
  <c r="H24" i="37"/>
  <c r="H14" i="37"/>
  <c r="H9" i="37"/>
  <c r="H285" i="37"/>
  <c r="H269" i="37"/>
  <c r="H209" i="37"/>
  <c r="H308" i="37"/>
  <c r="H300" i="37"/>
  <c r="H292" i="37"/>
  <c r="H259" i="37"/>
  <c r="H236" i="37"/>
  <c r="H194" i="37"/>
  <c r="H177" i="37"/>
  <c r="H274" i="37"/>
  <c r="H153" i="37"/>
  <c r="H255" i="37"/>
  <c r="H228" i="37"/>
  <c r="H203" i="37"/>
  <c r="H162" i="37"/>
  <c r="H282" i="37"/>
  <c r="H261" i="37"/>
  <c r="H223" i="37"/>
  <c r="H213" i="37"/>
  <c r="H190" i="37"/>
  <c r="H159" i="37"/>
  <c r="H147" i="37"/>
  <c r="H131" i="37"/>
  <c r="H115" i="37"/>
  <c r="H99" i="37"/>
  <c r="H71" i="37"/>
  <c r="H65" i="37"/>
  <c r="H57" i="37"/>
  <c r="H49" i="37"/>
  <c r="H41" i="37"/>
  <c r="H33" i="37"/>
  <c r="H128" i="37"/>
  <c r="H112" i="37"/>
  <c r="H96" i="37"/>
  <c r="H78" i="37"/>
  <c r="H182" i="37"/>
  <c r="H143" i="37"/>
  <c r="H127" i="37"/>
  <c r="H111" i="37"/>
  <c r="H95" i="37"/>
  <c r="H85" i="37"/>
  <c r="H179" i="37"/>
  <c r="H157" i="37"/>
  <c r="H140" i="37"/>
  <c r="H124" i="37"/>
  <c r="H108" i="37"/>
  <c r="H92" i="37"/>
  <c r="H64" i="37"/>
  <c r="H48" i="37"/>
  <c r="H32" i="37"/>
  <c r="H267" i="37"/>
  <c r="H220" i="37"/>
  <c r="H184" i="37"/>
  <c r="H208" i="37"/>
  <c r="H67" i="37"/>
  <c r="H51" i="37"/>
  <c r="H35" i="37"/>
  <c r="H20" i="37"/>
  <c r="H10" i="37"/>
  <c r="H12" i="37"/>
  <c r="H280" i="37"/>
  <c r="H264" i="37"/>
  <c r="H306" i="37"/>
  <c r="H298" i="37"/>
  <c r="H290" i="37"/>
  <c r="H256" i="37"/>
  <c r="H231" i="37"/>
  <c r="H193" i="37"/>
  <c r="H175" i="37"/>
  <c r="H263" i="37"/>
  <c r="H152" i="37"/>
  <c r="H250" i="37"/>
  <c r="H224" i="37"/>
  <c r="H187" i="37"/>
  <c r="H145" i="37"/>
  <c r="H275" i="37"/>
  <c r="H254" i="37"/>
  <c r="H218" i="37"/>
  <c r="H207" i="37"/>
  <c r="H188" i="37"/>
  <c r="H156" i="37"/>
  <c r="H146" i="37"/>
  <c r="H130" i="37"/>
  <c r="H114" i="37"/>
  <c r="H98" i="37"/>
  <c r="H70" i="37"/>
  <c r="H62" i="37"/>
  <c r="H54" i="37"/>
  <c r="H46" i="37"/>
  <c r="H38" i="37"/>
  <c r="H31" i="37"/>
  <c r="H121" i="37"/>
  <c r="H105" i="37"/>
  <c r="H89" i="37"/>
  <c r="H74" i="37"/>
  <c r="H180" i="37"/>
  <c r="H142" i="37"/>
  <c r="H126" i="37"/>
  <c r="H110" i="37"/>
  <c r="H94" i="37"/>
  <c r="H201" i="37"/>
  <c r="H167" i="37"/>
  <c r="H149" i="37"/>
  <c r="H133" i="37"/>
  <c r="H117" i="37"/>
  <c r="H101" i="37"/>
  <c r="H84" i="37"/>
  <c r="H60" i="37"/>
  <c r="H44" i="37"/>
  <c r="H29" i="37"/>
  <c r="H258" i="37"/>
  <c r="H215" i="37"/>
  <c r="H176" i="37"/>
  <c r="H171" i="37"/>
  <c r="H63" i="37"/>
  <c r="H47" i="37"/>
  <c r="H88" i="37"/>
  <c r="H17" i="37"/>
  <c r="H8" i="37"/>
  <c r="F60" i="48"/>
  <c r="F61" i="48" s="1"/>
  <c r="K297" i="54"/>
  <c r="F9" i="33"/>
  <c r="F17" i="33"/>
  <c r="F26" i="33"/>
  <c r="F33" i="33"/>
  <c r="F41" i="33"/>
  <c r="F21" i="33"/>
  <c r="F29" i="33"/>
  <c r="F36" i="33"/>
  <c r="F63" i="33"/>
  <c r="F66" i="33"/>
  <c r="F80" i="33"/>
  <c r="F84" i="33"/>
  <c r="F101" i="33"/>
  <c r="F105" i="33"/>
  <c r="F133" i="33"/>
  <c r="F137" i="33"/>
  <c r="F197" i="33"/>
  <c r="F134" i="33"/>
  <c r="F158" i="33"/>
  <c r="F270" i="33"/>
  <c r="F272" i="33"/>
  <c r="F278" i="33"/>
  <c r="F282" i="33"/>
  <c r="F305" i="33"/>
  <c r="F284" i="33"/>
  <c r="F273" i="33"/>
  <c r="F297" i="33"/>
  <c r="F309" i="33"/>
  <c r="F280" i="33"/>
  <c r="F259" i="33"/>
  <c r="F254" i="33"/>
  <c r="F253" i="33"/>
  <c r="F231" i="33"/>
  <c r="F226" i="33"/>
  <c r="F225" i="33"/>
  <c r="F279" i="33"/>
  <c r="F255" i="33"/>
  <c r="F250" i="33"/>
  <c r="F249" i="33"/>
  <c r="F227" i="33"/>
  <c r="F222" i="33"/>
  <c r="F221" i="33"/>
  <c r="F268" i="33"/>
  <c r="F236" i="33"/>
  <c r="F234" i="33"/>
  <c r="F233" i="33"/>
  <c r="F208" i="33"/>
  <c r="F264" i="33"/>
  <c r="F230" i="33"/>
  <c r="F229" i="33"/>
  <c r="F205" i="33"/>
  <c r="F207" i="33"/>
  <c r="F196" i="33"/>
  <c r="F175" i="33"/>
  <c r="F147" i="33"/>
  <c r="F193" i="33"/>
  <c r="F288" i="33"/>
  <c r="F274" i="33"/>
  <c r="F300" i="33"/>
  <c r="F295" i="33"/>
  <c r="F294" i="33"/>
  <c r="F275" i="33"/>
  <c r="F313" i="33"/>
  <c r="F292" i="33"/>
  <c r="F287" i="33"/>
  <c r="F286" i="33"/>
  <c r="F244" i="33"/>
  <c r="F216" i="33"/>
  <c r="F212" i="33"/>
  <c r="F283" i="33"/>
  <c r="F266" i="33"/>
  <c r="F265" i="33"/>
  <c r="F240" i="33"/>
  <c r="F238" i="33"/>
  <c r="F251" i="33"/>
  <c r="F246" i="33"/>
  <c r="F245" i="33"/>
  <c r="F224" i="33"/>
  <c r="F247" i="33"/>
  <c r="F242" i="33"/>
  <c r="F241" i="33"/>
  <c r="F220" i="33"/>
  <c r="F235" i="33"/>
  <c r="F211" i="33"/>
  <c r="F191" i="33"/>
  <c r="F165" i="33"/>
  <c r="F304" i="33"/>
  <c r="F299" i="33"/>
  <c r="F298" i="33"/>
  <c r="F271" i="33"/>
  <c r="F311" i="33"/>
  <c r="F310" i="33"/>
  <c r="F285" i="33"/>
  <c r="F296" i="33"/>
  <c r="F291" i="33"/>
  <c r="F290" i="33"/>
  <c r="F308" i="33"/>
  <c r="F303" i="33"/>
  <c r="F302" i="33"/>
  <c r="F281" i="33"/>
  <c r="F260" i="33"/>
  <c r="F232" i="33"/>
  <c r="F206" i="33"/>
  <c r="F256" i="33"/>
  <c r="F228" i="33"/>
  <c r="F267" i="33"/>
  <c r="F262" i="33"/>
  <c r="F261" i="33"/>
  <c r="F263" i="33"/>
  <c r="F258" i="33"/>
  <c r="F257" i="33"/>
  <c r="F181" i="33"/>
  <c r="F164" i="33"/>
  <c r="F153" i="33"/>
  <c r="F204" i="33"/>
  <c r="F289" i="33"/>
  <c r="F301" i="33"/>
  <c r="F277" i="33"/>
  <c r="F312" i="33"/>
  <c r="F307" i="33"/>
  <c r="F306" i="33"/>
  <c r="F293" i="33"/>
  <c r="F243" i="33"/>
  <c r="F215" i="33"/>
  <c r="F210" i="33"/>
  <c r="F209" i="33"/>
  <c r="F269" i="33"/>
  <c r="F252" i="33"/>
  <c r="F237" i="33"/>
  <c r="F223" i="33"/>
  <c r="F218" i="33"/>
  <c r="F217" i="33"/>
  <c r="F248" i="33"/>
  <c r="F219" i="33"/>
  <c r="F214" i="33"/>
  <c r="F213" i="33"/>
  <c r="F239" i="33"/>
  <c r="F180" i="33"/>
  <c r="F159" i="33"/>
  <c r="F152" i="33"/>
  <c r="F135" i="33"/>
  <c r="F199" i="33"/>
  <c r="F176" i="33"/>
  <c r="F148" i="33"/>
  <c r="F188" i="33"/>
  <c r="F167" i="33"/>
  <c r="F145" i="33"/>
  <c r="F184" i="33"/>
  <c r="F163" i="33"/>
  <c r="F141" i="33"/>
  <c r="F190" i="33"/>
  <c r="F182" i="33"/>
  <c r="F174" i="33"/>
  <c r="F162" i="33"/>
  <c r="F146" i="33"/>
  <c r="F119" i="33"/>
  <c r="F102" i="33"/>
  <c r="F130" i="33"/>
  <c r="F128" i="33"/>
  <c r="F126" i="33"/>
  <c r="F104" i="33"/>
  <c r="F127" i="33"/>
  <c r="F112" i="33"/>
  <c r="F107" i="33"/>
  <c r="F100" i="33"/>
  <c r="F82" i="33"/>
  <c r="F68" i="33"/>
  <c r="F79" i="33"/>
  <c r="F93" i="33"/>
  <c r="F92" i="33"/>
  <c r="F74" i="33"/>
  <c r="F58" i="33"/>
  <c r="F30" i="33"/>
  <c r="F85" i="33"/>
  <c r="F171" i="33"/>
  <c r="F143" i="33"/>
  <c r="F136" i="33"/>
  <c r="F183" i="33"/>
  <c r="F144" i="33"/>
  <c r="F179" i="33"/>
  <c r="F157" i="33"/>
  <c r="F140" i="33"/>
  <c r="F202" i="33"/>
  <c r="F154" i="33"/>
  <c r="F142" i="33"/>
  <c r="F131" i="33"/>
  <c r="F114" i="33"/>
  <c r="F116" i="33"/>
  <c r="F103" i="33"/>
  <c r="F111" i="33"/>
  <c r="F123" i="33"/>
  <c r="F99" i="33"/>
  <c r="F129" i="33"/>
  <c r="F121" i="33"/>
  <c r="F113" i="33"/>
  <c r="F94" i="33"/>
  <c r="F89" i="33"/>
  <c r="F88" i="33"/>
  <c r="F70" i="33"/>
  <c r="F90" i="33"/>
  <c r="F67" i="33"/>
  <c r="F95" i="33"/>
  <c r="F86" i="33"/>
  <c r="F76" i="33"/>
  <c r="F203" i="33"/>
  <c r="F201" i="33"/>
  <c r="F187" i="33"/>
  <c r="F161" i="33"/>
  <c r="F173" i="33"/>
  <c r="F139" i="33"/>
  <c r="F195" i="33"/>
  <c r="F169" i="33"/>
  <c r="F156" i="33"/>
  <c r="F194" i="33"/>
  <c r="F186" i="33"/>
  <c r="F178" i="33"/>
  <c r="F170" i="33"/>
  <c r="F138" i="33"/>
  <c r="F115" i="33"/>
  <c r="F106" i="33"/>
  <c r="F118" i="33"/>
  <c r="F97" i="33"/>
  <c r="F83" i="33"/>
  <c r="F98" i="33"/>
  <c r="F78" i="33"/>
  <c r="F96" i="33"/>
  <c r="F75" i="33"/>
  <c r="F53" i="33"/>
  <c r="F31" i="33"/>
  <c r="F192" i="33"/>
  <c r="F177" i="33"/>
  <c r="F160" i="33"/>
  <c r="F149" i="33"/>
  <c r="F200" i="33"/>
  <c r="F189" i="33"/>
  <c r="F172" i="33"/>
  <c r="F155" i="33"/>
  <c r="F185" i="33"/>
  <c r="F168" i="33"/>
  <c r="F151" i="33"/>
  <c r="F132" i="33"/>
  <c r="F198" i="33"/>
  <c r="F166" i="33"/>
  <c r="F150" i="33"/>
  <c r="F120" i="33"/>
  <c r="F110" i="33"/>
  <c r="F124" i="33"/>
  <c r="F122" i="33"/>
  <c r="F108" i="33"/>
  <c r="F125" i="33"/>
  <c r="F117" i="33"/>
  <c r="F109" i="33"/>
  <c r="F71" i="33"/>
  <c r="F91" i="33"/>
  <c r="F65" i="33"/>
  <c r="F87" i="33"/>
  <c r="F72" i="33"/>
  <c r="F81" i="33"/>
  <c r="F73" i="33"/>
  <c r="F38" i="33"/>
  <c r="F50" i="33"/>
  <c r="F46" i="33"/>
  <c r="F23" i="33"/>
  <c r="F14" i="33"/>
  <c r="F8" i="33"/>
  <c r="F27" i="33"/>
  <c r="F19" i="33"/>
  <c r="F10" i="33"/>
  <c r="F49" i="33"/>
  <c r="F64" i="33"/>
  <c r="F18" i="33"/>
  <c r="F56" i="33"/>
  <c r="F48" i="33"/>
  <c r="F7" i="33"/>
  <c r="F34" i="33"/>
  <c r="F40" i="33"/>
  <c r="F22" i="33"/>
  <c r="F12" i="33"/>
  <c r="F59" i="33"/>
  <c r="F77" i="33"/>
  <c r="F69" i="33"/>
  <c r="F55" i="33"/>
  <c r="F37" i="33"/>
  <c r="F45" i="33"/>
  <c r="F44" i="33"/>
  <c r="F39" i="33"/>
  <c r="F24" i="33"/>
  <c r="F20" i="33"/>
  <c r="F42" i="33"/>
  <c r="F16" i="33"/>
  <c r="F32" i="33"/>
  <c r="F15" i="33"/>
  <c r="F13" i="33"/>
  <c r="F54" i="33"/>
  <c r="F61" i="33"/>
  <c r="F51" i="33"/>
  <c r="F62" i="33"/>
  <c r="F57" i="33"/>
  <c r="F47" i="33"/>
  <c r="F60" i="33"/>
  <c r="F52" i="33"/>
  <c r="F25" i="33"/>
  <c r="F28" i="33"/>
  <c r="F276" i="33"/>
  <c r="F35" i="33"/>
  <c r="F43" i="33"/>
  <c r="F11" i="33"/>
  <c r="N78" i="49"/>
  <c r="M78" i="25" s="1"/>
  <c r="K78" i="54" s="1"/>
  <c r="N211" i="49"/>
  <c r="M211" i="25" s="1"/>
  <c r="K211" i="54" s="1"/>
  <c r="H314" i="37"/>
  <c r="H6" i="37"/>
  <c r="M6" i="25"/>
  <c r="B56" i="40"/>
  <c r="B57" i="40"/>
  <c r="Q272" i="11"/>
  <c r="P314" i="11"/>
  <c r="J3" i="33"/>
  <c r="F6" i="33"/>
  <c r="I3" i="33"/>
  <c r="D314" i="37"/>
  <c r="K3" i="33"/>
  <c r="H3" i="33"/>
  <c r="G3" i="33"/>
  <c r="J314" i="11"/>
  <c r="K272" i="11"/>
  <c r="D5" i="9"/>
  <c r="D6" i="9"/>
  <c r="D7" i="34"/>
  <c r="D6" i="34"/>
  <c r="D9" i="34"/>
  <c r="F15" i="34"/>
  <c r="P6" i="13" l="1"/>
  <c r="E9" i="37"/>
  <c r="F9" i="37" s="1"/>
  <c r="I9" i="37" s="1"/>
  <c r="G19" i="34" s="1"/>
  <c r="H19" i="34" s="1"/>
  <c r="E13" i="37"/>
  <c r="F13" i="37" s="1"/>
  <c r="I13" i="37" s="1"/>
  <c r="G23" i="34" s="1"/>
  <c r="H23" i="34" s="1"/>
  <c r="E18" i="37"/>
  <c r="F18" i="37" s="1"/>
  <c r="I18" i="37" s="1"/>
  <c r="G28" i="34" s="1"/>
  <c r="H28" i="34" s="1"/>
  <c r="E22" i="37"/>
  <c r="F22" i="37" s="1"/>
  <c r="I22" i="37" s="1"/>
  <c r="G32" i="34" s="1"/>
  <c r="H32" i="34" s="1"/>
  <c r="E26" i="37"/>
  <c r="F26" i="37" s="1"/>
  <c r="I26" i="37" s="1"/>
  <c r="G36" i="34" s="1"/>
  <c r="H36" i="34" s="1"/>
  <c r="E30" i="37"/>
  <c r="F30" i="37" s="1"/>
  <c r="I30" i="37" s="1"/>
  <c r="G40" i="34" s="1"/>
  <c r="H40" i="34" s="1"/>
  <c r="E33" i="37"/>
  <c r="F33" i="37" s="1"/>
  <c r="I33" i="37" s="1"/>
  <c r="G43" i="34" s="1"/>
  <c r="H43" i="34" s="1"/>
  <c r="E37" i="37"/>
  <c r="F37" i="37" s="1"/>
  <c r="I37" i="37" s="1"/>
  <c r="G47" i="34" s="1"/>
  <c r="H47" i="34" s="1"/>
  <c r="E41" i="37"/>
  <c r="F41" i="37" s="1"/>
  <c r="I41" i="37" s="1"/>
  <c r="G51" i="34" s="1"/>
  <c r="H51" i="34" s="1"/>
  <c r="E45" i="37"/>
  <c r="F45" i="37" s="1"/>
  <c r="I45" i="37" s="1"/>
  <c r="G55" i="34" s="1"/>
  <c r="H55" i="34" s="1"/>
  <c r="E49" i="37"/>
  <c r="F49" i="37" s="1"/>
  <c r="I49" i="37" s="1"/>
  <c r="G59" i="34" s="1"/>
  <c r="H59" i="34" s="1"/>
  <c r="E53" i="37"/>
  <c r="F53" i="37" s="1"/>
  <c r="I53" i="37" s="1"/>
  <c r="G63" i="34" s="1"/>
  <c r="H63" i="34" s="1"/>
  <c r="E57" i="37"/>
  <c r="F57" i="37" s="1"/>
  <c r="I57" i="37" s="1"/>
  <c r="G67" i="34" s="1"/>
  <c r="H67" i="34" s="1"/>
  <c r="E61" i="37"/>
  <c r="F61" i="37" s="1"/>
  <c r="I61" i="37" s="1"/>
  <c r="G71" i="34" s="1"/>
  <c r="H71" i="34" s="1"/>
  <c r="E65" i="37"/>
  <c r="F65" i="37" s="1"/>
  <c r="I65" i="37" s="1"/>
  <c r="G75" i="34" s="1"/>
  <c r="H75" i="34" s="1"/>
  <c r="E69" i="37"/>
  <c r="F69" i="37" s="1"/>
  <c r="I69" i="37" s="1"/>
  <c r="G79" i="34" s="1"/>
  <c r="H79" i="34" s="1"/>
  <c r="E76" i="37"/>
  <c r="F76" i="37" s="1"/>
  <c r="I76" i="37" s="1"/>
  <c r="G86" i="34" s="1"/>
  <c r="H86" i="34" s="1"/>
  <c r="E78" i="37"/>
  <c r="F78" i="37" s="1"/>
  <c r="I78" i="37" s="1"/>
  <c r="G88" i="34" s="1"/>
  <c r="H88" i="34" s="1"/>
  <c r="E154" i="37"/>
  <c r="F154" i="37" s="1"/>
  <c r="I154" i="37" s="1"/>
  <c r="G164" i="34" s="1"/>
  <c r="H164" i="34" s="1"/>
  <c r="E73" i="37"/>
  <c r="F73" i="37" s="1"/>
  <c r="I73" i="37" s="1"/>
  <c r="G83" i="34" s="1"/>
  <c r="H83" i="34" s="1"/>
  <c r="E80" i="37"/>
  <c r="F80" i="37" s="1"/>
  <c r="I80" i="37" s="1"/>
  <c r="G90" i="34" s="1"/>
  <c r="H90" i="34" s="1"/>
  <c r="E82" i="37"/>
  <c r="F82" i="37" s="1"/>
  <c r="I82" i="37" s="1"/>
  <c r="G92" i="34" s="1"/>
  <c r="H92" i="34" s="1"/>
  <c r="E158" i="37"/>
  <c r="F158" i="37" s="1"/>
  <c r="I158" i="37" s="1"/>
  <c r="G168" i="34" s="1"/>
  <c r="H168" i="34" s="1"/>
  <c r="E165" i="37"/>
  <c r="F165" i="37" s="1"/>
  <c r="I165" i="37" s="1"/>
  <c r="G175" i="34" s="1"/>
  <c r="H175" i="34" s="1"/>
  <c r="E173" i="37"/>
  <c r="F173" i="37" s="1"/>
  <c r="I173" i="37" s="1"/>
  <c r="G183" i="34" s="1"/>
  <c r="H183" i="34" s="1"/>
  <c r="E176" i="37"/>
  <c r="F176" i="37" s="1"/>
  <c r="I176" i="37" s="1"/>
  <c r="G186" i="34" s="1"/>
  <c r="H186" i="34" s="1"/>
  <c r="E181" i="37"/>
  <c r="F181" i="37" s="1"/>
  <c r="I181" i="37" s="1"/>
  <c r="G191" i="34" s="1"/>
  <c r="H191" i="34" s="1"/>
  <c r="E184" i="37"/>
  <c r="F184" i="37" s="1"/>
  <c r="I184" i="37" s="1"/>
  <c r="G194" i="34" s="1"/>
  <c r="H194" i="34" s="1"/>
  <c r="E189" i="37"/>
  <c r="F189" i="37" s="1"/>
  <c r="I189" i="37" s="1"/>
  <c r="G199" i="34" s="1"/>
  <c r="H199" i="34" s="1"/>
  <c r="E192" i="37"/>
  <c r="F192" i="37" s="1"/>
  <c r="I192" i="37" s="1"/>
  <c r="G202" i="34" s="1"/>
  <c r="H202" i="34" s="1"/>
  <c r="E197" i="37"/>
  <c r="F197" i="37" s="1"/>
  <c r="I197" i="37" s="1"/>
  <c r="G207" i="34" s="1"/>
  <c r="H207" i="34" s="1"/>
  <c r="E200" i="37"/>
  <c r="F200" i="37" s="1"/>
  <c r="I200" i="37" s="1"/>
  <c r="G210" i="34" s="1"/>
  <c r="H210" i="34" s="1"/>
  <c r="E205" i="37"/>
  <c r="F205" i="37" s="1"/>
  <c r="I205" i="37" s="1"/>
  <c r="G215" i="34" s="1"/>
  <c r="H215" i="34" s="1"/>
  <c r="E210" i="37"/>
  <c r="F210" i="37" s="1"/>
  <c r="I210" i="37" s="1"/>
  <c r="G220" i="34" s="1"/>
  <c r="H220" i="34" s="1"/>
  <c r="E21" i="37"/>
  <c r="F21" i="37" s="1"/>
  <c r="I21" i="37" s="1"/>
  <c r="G31" i="34" s="1"/>
  <c r="H31" i="34" s="1"/>
  <c r="E25" i="37"/>
  <c r="F25" i="37" s="1"/>
  <c r="I25" i="37" s="1"/>
  <c r="G35" i="34" s="1"/>
  <c r="H35" i="34" s="1"/>
  <c r="E29" i="37"/>
  <c r="F29" i="37" s="1"/>
  <c r="I29" i="37" s="1"/>
  <c r="G39" i="34" s="1"/>
  <c r="H39" i="34" s="1"/>
  <c r="E32" i="37"/>
  <c r="F32" i="37" s="1"/>
  <c r="I32" i="37" s="1"/>
  <c r="G42" i="34" s="1"/>
  <c r="H42" i="34" s="1"/>
  <c r="E36" i="37"/>
  <c r="F36" i="37" s="1"/>
  <c r="I36" i="37" s="1"/>
  <c r="G46" i="34" s="1"/>
  <c r="H46" i="34" s="1"/>
  <c r="E40" i="37"/>
  <c r="F40" i="37" s="1"/>
  <c r="I40" i="37" s="1"/>
  <c r="G50" i="34" s="1"/>
  <c r="H50" i="34" s="1"/>
  <c r="E44" i="37"/>
  <c r="F44" i="37" s="1"/>
  <c r="I44" i="37" s="1"/>
  <c r="G54" i="34" s="1"/>
  <c r="H54" i="34" s="1"/>
  <c r="E48" i="37"/>
  <c r="F48" i="37" s="1"/>
  <c r="I48" i="37" s="1"/>
  <c r="G58" i="34" s="1"/>
  <c r="H58" i="34" s="1"/>
  <c r="E52" i="37"/>
  <c r="F52" i="37" s="1"/>
  <c r="I52" i="37" s="1"/>
  <c r="G62" i="34" s="1"/>
  <c r="H62" i="34" s="1"/>
  <c r="E56" i="37"/>
  <c r="F56" i="37" s="1"/>
  <c r="I56" i="37" s="1"/>
  <c r="G66" i="34" s="1"/>
  <c r="H66" i="34" s="1"/>
  <c r="E60" i="37"/>
  <c r="F60" i="37" s="1"/>
  <c r="I60" i="37" s="1"/>
  <c r="G70" i="34" s="1"/>
  <c r="H70" i="34" s="1"/>
  <c r="E64" i="37"/>
  <c r="F64" i="37" s="1"/>
  <c r="I64" i="37" s="1"/>
  <c r="G74" i="34" s="1"/>
  <c r="H74" i="34" s="1"/>
  <c r="E68" i="37"/>
  <c r="F68" i="37" s="1"/>
  <c r="I68" i="37" s="1"/>
  <c r="G78" i="34" s="1"/>
  <c r="H78" i="34" s="1"/>
  <c r="E84" i="37"/>
  <c r="F84" i="37" s="1"/>
  <c r="I84" i="37" s="1"/>
  <c r="G94" i="34" s="1"/>
  <c r="H94" i="34" s="1"/>
  <c r="E86" i="37"/>
  <c r="F86" i="37" s="1"/>
  <c r="I86" i="37" s="1"/>
  <c r="G96" i="34" s="1"/>
  <c r="H96" i="34" s="1"/>
  <c r="E91" i="37"/>
  <c r="F91" i="37" s="1"/>
  <c r="I91" i="37" s="1"/>
  <c r="G101" i="34" s="1"/>
  <c r="H101" i="34" s="1"/>
  <c r="E93" i="37"/>
  <c r="F93" i="37" s="1"/>
  <c r="I93" i="37" s="1"/>
  <c r="G103" i="34" s="1"/>
  <c r="H103" i="34" s="1"/>
  <c r="E95" i="37"/>
  <c r="F95" i="37" s="1"/>
  <c r="I95" i="37" s="1"/>
  <c r="G105" i="34" s="1"/>
  <c r="H105" i="34" s="1"/>
  <c r="E97" i="37"/>
  <c r="F97" i="37" s="1"/>
  <c r="I97" i="37" s="1"/>
  <c r="G107" i="34" s="1"/>
  <c r="H107" i="34" s="1"/>
  <c r="E99" i="37"/>
  <c r="F99" i="37" s="1"/>
  <c r="I99" i="37" s="1"/>
  <c r="G109" i="34" s="1"/>
  <c r="H109" i="34" s="1"/>
  <c r="E101" i="37"/>
  <c r="F101" i="37" s="1"/>
  <c r="I101" i="37" s="1"/>
  <c r="G111" i="34" s="1"/>
  <c r="H111" i="34" s="1"/>
  <c r="E103" i="37"/>
  <c r="F103" i="37" s="1"/>
  <c r="I103" i="37" s="1"/>
  <c r="G113" i="34" s="1"/>
  <c r="H113" i="34" s="1"/>
  <c r="E105" i="37"/>
  <c r="F105" i="37" s="1"/>
  <c r="I105" i="37" s="1"/>
  <c r="G115" i="34" s="1"/>
  <c r="H115" i="34" s="1"/>
  <c r="E107" i="37"/>
  <c r="F107" i="37" s="1"/>
  <c r="I107" i="37" s="1"/>
  <c r="G117" i="34" s="1"/>
  <c r="H117" i="34" s="1"/>
  <c r="E109" i="37"/>
  <c r="F109" i="37" s="1"/>
  <c r="I109" i="37" s="1"/>
  <c r="G119" i="34" s="1"/>
  <c r="H119" i="34" s="1"/>
  <c r="E111" i="37"/>
  <c r="F111" i="37" s="1"/>
  <c r="I111" i="37" s="1"/>
  <c r="G121" i="34" s="1"/>
  <c r="H121" i="34" s="1"/>
  <c r="E113" i="37"/>
  <c r="F113" i="37" s="1"/>
  <c r="I113" i="37" s="1"/>
  <c r="G123" i="34" s="1"/>
  <c r="H123" i="34" s="1"/>
  <c r="E115" i="37"/>
  <c r="F115" i="37" s="1"/>
  <c r="I115" i="37" s="1"/>
  <c r="G125" i="34" s="1"/>
  <c r="H125" i="34" s="1"/>
  <c r="E117" i="37"/>
  <c r="F117" i="37" s="1"/>
  <c r="I117" i="37" s="1"/>
  <c r="G127" i="34" s="1"/>
  <c r="H127" i="34" s="1"/>
  <c r="E119" i="37"/>
  <c r="F119" i="37" s="1"/>
  <c r="I119" i="37" s="1"/>
  <c r="G129" i="34" s="1"/>
  <c r="H129" i="34" s="1"/>
  <c r="E121" i="37"/>
  <c r="F121" i="37" s="1"/>
  <c r="I121" i="37" s="1"/>
  <c r="G131" i="34" s="1"/>
  <c r="H131" i="34" s="1"/>
  <c r="E123" i="37"/>
  <c r="F123" i="37" s="1"/>
  <c r="I123" i="37" s="1"/>
  <c r="G133" i="34" s="1"/>
  <c r="H133" i="34" s="1"/>
  <c r="E125" i="37"/>
  <c r="F125" i="37" s="1"/>
  <c r="I125" i="37" s="1"/>
  <c r="G135" i="34" s="1"/>
  <c r="H135" i="34" s="1"/>
  <c r="E127" i="37"/>
  <c r="F127" i="37" s="1"/>
  <c r="I127" i="37" s="1"/>
  <c r="G137" i="34" s="1"/>
  <c r="H137" i="34" s="1"/>
  <c r="E129" i="37"/>
  <c r="F129" i="37" s="1"/>
  <c r="I129" i="37" s="1"/>
  <c r="G139" i="34" s="1"/>
  <c r="H139" i="34" s="1"/>
  <c r="E131" i="37"/>
  <c r="F131" i="37" s="1"/>
  <c r="I131" i="37" s="1"/>
  <c r="G141" i="34" s="1"/>
  <c r="H141" i="34" s="1"/>
  <c r="E133" i="37"/>
  <c r="F133" i="37" s="1"/>
  <c r="I133" i="37" s="1"/>
  <c r="G143" i="34" s="1"/>
  <c r="H143" i="34" s="1"/>
  <c r="E135" i="37"/>
  <c r="F135" i="37" s="1"/>
  <c r="I135" i="37" s="1"/>
  <c r="G145" i="34" s="1"/>
  <c r="H145" i="34" s="1"/>
  <c r="E137" i="37"/>
  <c r="F137" i="37" s="1"/>
  <c r="I137" i="37" s="1"/>
  <c r="G147" i="34" s="1"/>
  <c r="H147" i="34" s="1"/>
  <c r="E139" i="37"/>
  <c r="F139" i="37" s="1"/>
  <c r="I139" i="37" s="1"/>
  <c r="G149" i="34" s="1"/>
  <c r="H149" i="34" s="1"/>
  <c r="E141" i="37"/>
  <c r="F141" i="37" s="1"/>
  <c r="I141" i="37" s="1"/>
  <c r="G151" i="34" s="1"/>
  <c r="H151" i="34" s="1"/>
  <c r="E143" i="37"/>
  <c r="F143" i="37" s="1"/>
  <c r="I143" i="37" s="1"/>
  <c r="G153" i="34" s="1"/>
  <c r="H153" i="34" s="1"/>
  <c r="E145" i="37"/>
  <c r="F145" i="37" s="1"/>
  <c r="I145" i="37" s="1"/>
  <c r="G155" i="34" s="1"/>
  <c r="H155" i="34" s="1"/>
  <c r="E147" i="37"/>
  <c r="F147" i="37" s="1"/>
  <c r="I147" i="37" s="1"/>
  <c r="G157" i="34" s="1"/>
  <c r="H157" i="34" s="1"/>
  <c r="E149" i="37"/>
  <c r="F149" i="37" s="1"/>
  <c r="I149" i="37" s="1"/>
  <c r="G159" i="34" s="1"/>
  <c r="H159" i="34" s="1"/>
  <c r="E151" i="37"/>
  <c r="F151" i="37" s="1"/>
  <c r="I151" i="37" s="1"/>
  <c r="G161" i="34" s="1"/>
  <c r="H161" i="34" s="1"/>
  <c r="E153" i="37"/>
  <c r="F153" i="37" s="1"/>
  <c r="I153" i="37" s="1"/>
  <c r="G163" i="34" s="1"/>
  <c r="H163" i="34" s="1"/>
  <c r="E162" i="37"/>
  <c r="F162" i="37" s="1"/>
  <c r="I162" i="37" s="1"/>
  <c r="G172" i="34" s="1"/>
  <c r="H172" i="34" s="1"/>
  <c r="E167" i="37"/>
  <c r="F167" i="37" s="1"/>
  <c r="I167" i="37" s="1"/>
  <c r="G177" i="34" s="1"/>
  <c r="H177" i="34" s="1"/>
  <c r="E172" i="37"/>
  <c r="F172" i="37" s="1"/>
  <c r="I172" i="37" s="1"/>
  <c r="G182" i="34" s="1"/>
  <c r="H182" i="34" s="1"/>
  <c r="E178" i="37"/>
  <c r="F178" i="37" s="1"/>
  <c r="I178" i="37" s="1"/>
  <c r="G188" i="34" s="1"/>
  <c r="H188" i="34" s="1"/>
  <c r="E186" i="37"/>
  <c r="F186" i="37" s="1"/>
  <c r="I186" i="37" s="1"/>
  <c r="G196" i="34" s="1"/>
  <c r="H196" i="34" s="1"/>
  <c r="E194" i="37"/>
  <c r="F194" i="37" s="1"/>
  <c r="I194" i="37" s="1"/>
  <c r="G204" i="34" s="1"/>
  <c r="H204" i="34" s="1"/>
  <c r="E202" i="37"/>
  <c r="F202" i="37" s="1"/>
  <c r="I202" i="37" s="1"/>
  <c r="G212" i="34" s="1"/>
  <c r="H212" i="34" s="1"/>
  <c r="E209" i="37"/>
  <c r="F209" i="37" s="1"/>
  <c r="I209" i="37" s="1"/>
  <c r="G219" i="34" s="1"/>
  <c r="H219" i="34" s="1"/>
  <c r="E212" i="37"/>
  <c r="F212" i="37" s="1"/>
  <c r="I212" i="37" s="1"/>
  <c r="G222" i="34" s="1"/>
  <c r="H222" i="34" s="1"/>
  <c r="E222" i="37"/>
  <c r="F222" i="37" s="1"/>
  <c r="I222" i="37" s="1"/>
  <c r="G232" i="34" s="1"/>
  <c r="H232" i="34" s="1"/>
  <c r="E224" i="37"/>
  <c r="F224" i="37" s="1"/>
  <c r="I224" i="37" s="1"/>
  <c r="G234" i="34" s="1"/>
  <c r="H234" i="34" s="1"/>
  <c r="E229" i="37"/>
  <c r="F229" i="37" s="1"/>
  <c r="I229" i="37" s="1"/>
  <c r="G239" i="34" s="1"/>
  <c r="H239" i="34" s="1"/>
  <c r="E234" i="37"/>
  <c r="F234" i="37" s="1"/>
  <c r="I234" i="37" s="1"/>
  <c r="G244" i="34" s="1"/>
  <c r="H244" i="34" s="1"/>
  <c r="E241" i="37"/>
  <c r="F241" i="37" s="1"/>
  <c r="I241" i="37" s="1"/>
  <c r="G251" i="34" s="1"/>
  <c r="H251" i="34" s="1"/>
  <c r="E248" i="37"/>
  <c r="F248" i="37" s="1"/>
  <c r="I248" i="37" s="1"/>
  <c r="G258" i="34" s="1"/>
  <c r="H258" i="34" s="1"/>
  <c r="E253" i="37"/>
  <c r="F253" i="37" s="1"/>
  <c r="I253" i="37" s="1"/>
  <c r="G263" i="34" s="1"/>
  <c r="H263" i="34" s="1"/>
  <c r="E255" i="37"/>
  <c r="F255" i="37" s="1"/>
  <c r="I255" i="37" s="1"/>
  <c r="G265" i="34" s="1"/>
  <c r="H265" i="34" s="1"/>
  <c r="E264" i="37"/>
  <c r="F264" i="37" s="1"/>
  <c r="I264" i="37" s="1"/>
  <c r="G274" i="34" s="1"/>
  <c r="H274" i="34" s="1"/>
  <c r="E10" i="37"/>
  <c r="F10" i="37" s="1"/>
  <c r="I10" i="37" s="1"/>
  <c r="G20" i="34" s="1"/>
  <c r="H20" i="34" s="1"/>
  <c r="E14" i="37"/>
  <c r="F14" i="37" s="1"/>
  <c r="I14" i="37" s="1"/>
  <c r="G24" i="34" s="1"/>
  <c r="H24" i="34" s="1"/>
  <c r="E17" i="37"/>
  <c r="F17" i="37" s="1"/>
  <c r="I17" i="37" s="1"/>
  <c r="G27" i="34" s="1"/>
  <c r="H27" i="34" s="1"/>
  <c r="E180" i="37"/>
  <c r="F180" i="37" s="1"/>
  <c r="I180" i="37" s="1"/>
  <c r="G190" i="34" s="1"/>
  <c r="H190" i="34" s="1"/>
  <c r="E182" i="37"/>
  <c r="F182" i="37" s="1"/>
  <c r="I182" i="37" s="1"/>
  <c r="G192" i="34" s="1"/>
  <c r="H192" i="34" s="1"/>
  <c r="E196" i="37"/>
  <c r="F196" i="37" s="1"/>
  <c r="I196" i="37" s="1"/>
  <c r="G206" i="34" s="1"/>
  <c r="H206" i="34" s="1"/>
  <c r="E198" i="37"/>
  <c r="F198" i="37" s="1"/>
  <c r="I198" i="37" s="1"/>
  <c r="G208" i="34" s="1"/>
  <c r="H208" i="34" s="1"/>
  <c r="E208" i="37"/>
  <c r="F208" i="37" s="1"/>
  <c r="I208" i="37" s="1"/>
  <c r="G218" i="34" s="1"/>
  <c r="H218" i="34" s="1"/>
  <c r="E88" i="37"/>
  <c r="F88" i="37" s="1"/>
  <c r="I88" i="37" s="1"/>
  <c r="G98" i="34" s="1"/>
  <c r="H98" i="34" s="1"/>
  <c r="E161" i="37"/>
  <c r="F161" i="37" s="1"/>
  <c r="I161" i="37" s="1"/>
  <c r="G171" i="34" s="1"/>
  <c r="H171" i="34" s="1"/>
  <c r="E168" i="37"/>
  <c r="F168" i="37" s="1"/>
  <c r="I168" i="37" s="1"/>
  <c r="G178" i="34" s="1"/>
  <c r="H178" i="34" s="1"/>
  <c r="E171" i="37"/>
  <c r="F171" i="37" s="1"/>
  <c r="I171" i="37" s="1"/>
  <c r="G181" i="34" s="1"/>
  <c r="H181" i="34" s="1"/>
  <c r="E177" i="37"/>
  <c r="F177" i="37" s="1"/>
  <c r="I177" i="37" s="1"/>
  <c r="G187" i="34" s="1"/>
  <c r="H187" i="34" s="1"/>
  <c r="E193" i="37"/>
  <c r="F193" i="37" s="1"/>
  <c r="I193" i="37" s="1"/>
  <c r="G203" i="34" s="1"/>
  <c r="H203" i="34" s="1"/>
  <c r="E90" i="37"/>
  <c r="F90" i="37" s="1"/>
  <c r="I90" i="37" s="1"/>
  <c r="G100" i="34" s="1"/>
  <c r="H100" i="34" s="1"/>
  <c r="E72" i="37"/>
  <c r="F72" i="37" s="1"/>
  <c r="I72" i="37" s="1"/>
  <c r="G82" i="34" s="1"/>
  <c r="H82" i="34" s="1"/>
  <c r="E157" i="37"/>
  <c r="F157" i="37" s="1"/>
  <c r="I157" i="37" s="1"/>
  <c r="G167" i="34" s="1"/>
  <c r="H167" i="34" s="1"/>
  <c r="E185" i="37"/>
  <c r="F185" i="37" s="1"/>
  <c r="I185" i="37" s="1"/>
  <c r="G195" i="34" s="1"/>
  <c r="H195" i="34" s="1"/>
  <c r="E201" i="37"/>
  <c r="F201" i="37" s="1"/>
  <c r="I201" i="37" s="1"/>
  <c r="G211" i="34" s="1"/>
  <c r="H211" i="34" s="1"/>
  <c r="E217" i="37"/>
  <c r="F217" i="37" s="1"/>
  <c r="I217" i="37" s="1"/>
  <c r="G227" i="34" s="1"/>
  <c r="H227" i="34" s="1"/>
  <c r="E228" i="37"/>
  <c r="F228" i="37" s="1"/>
  <c r="I228" i="37" s="1"/>
  <c r="G238" i="34" s="1"/>
  <c r="H238" i="34" s="1"/>
  <c r="E230" i="37"/>
  <c r="F230" i="37" s="1"/>
  <c r="I230" i="37" s="1"/>
  <c r="G240" i="34" s="1"/>
  <c r="H240" i="34" s="1"/>
  <c r="E232" i="37"/>
  <c r="F232" i="37" s="1"/>
  <c r="I232" i="37" s="1"/>
  <c r="G242" i="34" s="1"/>
  <c r="H242" i="34" s="1"/>
  <c r="E237" i="37"/>
  <c r="F237" i="37" s="1"/>
  <c r="I237" i="37" s="1"/>
  <c r="G247" i="34" s="1"/>
  <c r="H247" i="34" s="1"/>
  <c r="E245" i="37"/>
  <c r="F245" i="37" s="1"/>
  <c r="I245" i="37" s="1"/>
  <c r="G255" i="34" s="1"/>
  <c r="H255" i="34" s="1"/>
  <c r="E260" i="37"/>
  <c r="F260" i="37" s="1"/>
  <c r="I260" i="37" s="1"/>
  <c r="G270" i="34" s="1"/>
  <c r="H270" i="34" s="1"/>
  <c r="E272" i="37"/>
  <c r="F272" i="37" s="1"/>
  <c r="I272" i="37" s="1"/>
  <c r="G282" i="34" s="1"/>
  <c r="H282" i="34" s="1"/>
  <c r="E277" i="37"/>
  <c r="F277" i="37" s="1"/>
  <c r="I277" i="37" s="1"/>
  <c r="G287" i="34" s="1"/>
  <c r="H287" i="34" s="1"/>
  <c r="E279" i="37"/>
  <c r="F279" i="37" s="1"/>
  <c r="I279" i="37" s="1"/>
  <c r="G289" i="34" s="1"/>
  <c r="H289" i="34" s="1"/>
  <c r="E169" i="37"/>
  <c r="F169" i="37" s="1"/>
  <c r="I169" i="37" s="1"/>
  <c r="G179" i="34" s="1"/>
  <c r="H179" i="34" s="1"/>
  <c r="E188" i="37"/>
  <c r="F188" i="37" s="1"/>
  <c r="I188" i="37" s="1"/>
  <c r="G198" i="34" s="1"/>
  <c r="H198" i="34" s="1"/>
  <c r="E204" i="37"/>
  <c r="F204" i="37" s="1"/>
  <c r="I204" i="37" s="1"/>
  <c r="G214" i="34" s="1"/>
  <c r="H214" i="34" s="1"/>
  <c r="E233" i="37"/>
  <c r="F233" i="37" s="1"/>
  <c r="I233" i="37" s="1"/>
  <c r="G243" i="34" s="1"/>
  <c r="H243" i="34" s="1"/>
  <c r="E244" i="37"/>
  <c r="F244" i="37" s="1"/>
  <c r="I244" i="37" s="1"/>
  <c r="G254" i="34" s="1"/>
  <c r="H254" i="34" s="1"/>
  <c r="E263" i="37"/>
  <c r="F263" i="37" s="1"/>
  <c r="I263" i="37" s="1"/>
  <c r="G273" i="34" s="1"/>
  <c r="H273" i="34" s="1"/>
  <c r="E265" i="37"/>
  <c r="F265" i="37" s="1"/>
  <c r="I265" i="37" s="1"/>
  <c r="G275" i="34" s="1"/>
  <c r="H275" i="34" s="1"/>
  <c r="E267" i="37"/>
  <c r="F267" i="37" s="1"/>
  <c r="I267" i="37" s="1"/>
  <c r="G277" i="34" s="1"/>
  <c r="H277" i="34" s="1"/>
  <c r="E276" i="37"/>
  <c r="F276" i="37" s="1"/>
  <c r="I276" i="37" s="1"/>
  <c r="G286" i="34" s="1"/>
  <c r="H286" i="34" s="1"/>
  <c r="E281" i="37"/>
  <c r="F281" i="37" s="1"/>
  <c r="I281" i="37" s="1"/>
  <c r="G291" i="34" s="1"/>
  <c r="H291" i="34" s="1"/>
  <c r="E283" i="37"/>
  <c r="F283" i="37" s="1"/>
  <c r="I283" i="37" s="1"/>
  <c r="G293" i="34" s="1"/>
  <c r="H293" i="34" s="1"/>
  <c r="E174" i="37"/>
  <c r="F174" i="37" s="1"/>
  <c r="I174" i="37" s="1"/>
  <c r="G184" i="34" s="1"/>
  <c r="H184" i="34" s="1"/>
  <c r="E190" i="37"/>
  <c r="F190" i="37" s="1"/>
  <c r="I190" i="37" s="1"/>
  <c r="G200" i="34" s="1"/>
  <c r="H200" i="34" s="1"/>
  <c r="E206" i="37"/>
  <c r="F206" i="37" s="1"/>
  <c r="I206" i="37" s="1"/>
  <c r="G216" i="34" s="1"/>
  <c r="H216" i="34" s="1"/>
  <c r="E213" i="37"/>
  <c r="F213" i="37" s="1"/>
  <c r="I213" i="37" s="1"/>
  <c r="G223" i="34" s="1"/>
  <c r="H223" i="34" s="1"/>
  <c r="E216" i="37"/>
  <c r="F216" i="37" s="1"/>
  <c r="I216" i="37" s="1"/>
  <c r="G226" i="34" s="1"/>
  <c r="H226" i="34" s="1"/>
  <c r="E220" i="37"/>
  <c r="F220" i="37" s="1"/>
  <c r="I220" i="37" s="1"/>
  <c r="G230" i="34" s="1"/>
  <c r="H230" i="34" s="1"/>
  <c r="E225" i="37"/>
  <c r="F225" i="37" s="1"/>
  <c r="I225" i="37" s="1"/>
  <c r="G235" i="34" s="1"/>
  <c r="H235" i="34" s="1"/>
  <c r="E236" i="37"/>
  <c r="F236" i="37" s="1"/>
  <c r="I236" i="37" s="1"/>
  <c r="G246" i="34" s="1"/>
  <c r="H246" i="34" s="1"/>
  <c r="E247" i="37"/>
  <c r="F247" i="37" s="1"/>
  <c r="I247" i="37" s="1"/>
  <c r="G257" i="34" s="1"/>
  <c r="H257" i="34" s="1"/>
  <c r="E249" i="37"/>
  <c r="F249" i="37" s="1"/>
  <c r="I249" i="37" s="1"/>
  <c r="G259" i="34" s="1"/>
  <c r="H259" i="34" s="1"/>
  <c r="E251" i="37"/>
  <c r="F251" i="37" s="1"/>
  <c r="I251" i="37" s="1"/>
  <c r="G261" i="34" s="1"/>
  <c r="H261" i="34" s="1"/>
  <c r="E256" i="37"/>
  <c r="F256" i="37" s="1"/>
  <c r="I256" i="37" s="1"/>
  <c r="G266" i="34" s="1"/>
  <c r="H266" i="34" s="1"/>
  <c r="E259" i="37"/>
  <c r="F259" i="37" s="1"/>
  <c r="I259" i="37" s="1"/>
  <c r="G269" i="34" s="1"/>
  <c r="H269" i="34" s="1"/>
  <c r="E269" i="37"/>
  <c r="F269" i="37" s="1"/>
  <c r="I269" i="37" s="1"/>
  <c r="G279" i="34" s="1"/>
  <c r="H279" i="34" s="1"/>
  <c r="E271" i="37"/>
  <c r="F271" i="37" s="1"/>
  <c r="I271" i="37" s="1"/>
  <c r="G281" i="34" s="1"/>
  <c r="H281" i="34" s="1"/>
  <c r="E280" i="37"/>
  <c r="F280" i="37" s="1"/>
  <c r="I280" i="37" s="1"/>
  <c r="G290" i="34" s="1"/>
  <c r="H290" i="34" s="1"/>
  <c r="E285" i="37"/>
  <c r="F285" i="37" s="1"/>
  <c r="I285" i="37" s="1"/>
  <c r="G295" i="34" s="1"/>
  <c r="H295" i="34" s="1"/>
  <c r="E290" i="37"/>
  <c r="F290" i="37" s="1"/>
  <c r="I290" i="37" s="1"/>
  <c r="G300" i="34" s="1"/>
  <c r="H300" i="34" s="1"/>
  <c r="E292" i="37"/>
  <c r="F292" i="37" s="1"/>
  <c r="I292" i="37" s="1"/>
  <c r="G302" i="34" s="1"/>
  <c r="H302" i="34" s="1"/>
  <c r="E294" i="37"/>
  <c r="F294" i="37" s="1"/>
  <c r="I294" i="37" s="1"/>
  <c r="G304" i="34" s="1"/>
  <c r="H304" i="34" s="1"/>
  <c r="E296" i="37"/>
  <c r="F296" i="37" s="1"/>
  <c r="I296" i="37" s="1"/>
  <c r="G306" i="34" s="1"/>
  <c r="H306" i="34" s="1"/>
  <c r="E298" i="37"/>
  <c r="F298" i="37" s="1"/>
  <c r="I298" i="37" s="1"/>
  <c r="G308" i="34" s="1"/>
  <c r="H308" i="34" s="1"/>
  <c r="E300" i="37"/>
  <c r="F300" i="37" s="1"/>
  <c r="I300" i="37" s="1"/>
  <c r="G310" i="34" s="1"/>
  <c r="H310" i="34" s="1"/>
  <c r="E302" i="37"/>
  <c r="F302" i="37" s="1"/>
  <c r="I302" i="37" s="1"/>
  <c r="G312" i="34" s="1"/>
  <c r="H312" i="34" s="1"/>
  <c r="E304" i="37"/>
  <c r="F304" i="37" s="1"/>
  <c r="I304" i="37" s="1"/>
  <c r="G314" i="34" s="1"/>
  <c r="H314" i="34" s="1"/>
  <c r="E306" i="37"/>
  <c r="F306" i="37" s="1"/>
  <c r="I306" i="37" s="1"/>
  <c r="G316" i="34" s="1"/>
  <c r="H316" i="34" s="1"/>
  <c r="E308" i="37"/>
  <c r="F308" i="37" s="1"/>
  <c r="I308" i="37" s="1"/>
  <c r="G318" i="34" s="1"/>
  <c r="H318" i="34" s="1"/>
  <c r="E310" i="37"/>
  <c r="F310" i="37" s="1"/>
  <c r="I310" i="37" s="1"/>
  <c r="G320" i="34" s="1"/>
  <c r="H320" i="34" s="1"/>
  <c r="E312" i="37"/>
  <c r="F312" i="37" s="1"/>
  <c r="I312" i="37" s="1"/>
  <c r="G322" i="34" s="1"/>
  <c r="H322" i="34" s="1"/>
  <c r="E214" i="37"/>
  <c r="F214" i="37" s="1"/>
  <c r="I214" i="37" s="1"/>
  <c r="G224" i="34" s="1"/>
  <c r="H224" i="34" s="1"/>
  <c r="E218" i="37"/>
  <c r="F218" i="37" s="1"/>
  <c r="I218" i="37" s="1"/>
  <c r="G228" i="34" s="1"/>
  <c r="H228" i="34" s="1"/>
  <c r="E221" i="37"/>
  <c r="F221" i="37" s="1"/>
  <c r="I221" i="37" s="1"/>
  <c r="G231" i="34" s="1"/>
  <c r="H231" i="34" s="1"/>
  <c r="E226" i="37"/>
  <c r="F226" i="37" s="1"/>
  <c r="I226" i="37" s="1"/>
  <c r="G236" i="34" s="1"/>
  <c r="H236" i="34" s="1"/>
  <c r="E240" i="37"/>
  <c r="F240" i="37" s="1"/>
  <c r="I240" i="37" s="1"/>
  <c r="G250" i="34" s="1"/>
  <c r="H250" i="34" s="1"/>
  <c r="E243" i="37"/>
  <c r="F243" i="37" s="1"/>
  <c r="I243" i="37" s="1"/>
  <c r="G253" i="34" s="1"/>
  <c r="H253" i="34" s="1"/>
  <c r="E252" i="37"/>
  <c r="F252" i="37" s="1"/>
  <c r="I252" i="37" s="1"/>
  <c r="G262" i="34" s="1"/>
  <c r="H262" i="34" s="1"/>
  <c r="E257" i="37"/>
  <c r="F257" i="37" s="1"/>
  <c r="I257" i="37" s="1"/>
  <c r="G267" i="34" s="1"/>
  <c r="H267" i="34" s="1"/>
  <c r="E261" i="37"/>
  <c r="F261" i="37" s="1"/>
  <c r="I261" i="37" s="1"/>
  <c r="G271" i="34" s="1"/>
  <c r="H271" i="34" s="1"/>
  <c r="E268" i="37"/>
  <c r="F268" i="37" s="1"/>
  <c r="I268" i="37" s="1"/>
  <c r="G278" i="34" s="1"/>
  <c r="H278" i="34" s="1"/>
  <c r="E273" i="37"/>
  <c r="F273" i="37" s="1"/>
  <c r="I273" i="37" s="1"/>
  <c r="G283" i="34" s="1"/>
  <c r="H283" i="34" s="1"/>
  <c r="E275" i="37"/>
  <c r="F275" i="37" s="1"/>
  <c r="I275" i="37" s="1"/>
  <c r="G285" i="34" s="1"/>
  <c r="H285" i="34" s="1"/>
  <c r="E284" i="37"/>
  <c r="F284" i="37" s="1"/>
  <c r="I284" i="37" s="1"/>
  <c r="G294" i="34" s="1"/>
  <c r="H294" i="34" s="1"/>
  <c r="E287" i="37"/>
  <c r="F287" i="37" s="1"/>
  <c r="I287" i="37" s="1"/>
  <c r="G297" i="34" s="1"/>
  <c r="H297" i="34" s="1"/>
  <c r="E289" i="37"/>
  <c r="F289" i="37" s="1"/>
  <c r="I289" i="37" s="1"/>
  <c r="G299" i="34" s="1"/>
  <c r="H299" i="34" s="1"/>
  <c r="E43" i="37"/>
  <c r="F43" i="37" s="1"/>
  <c r="I43" i="37" s="1"/>
  <c r="G53" i="34" s="1"/>
  <c r="H53" i="34" s="1"/>
  <c r="E270" i="37"/>
  <c r="F270" i="37" s="1"/>
  <c r="I270" i="37" s="1"/>
  <c r="G280" i="34" s="1"/>
  <c r="H280" i="34" s="1"/>
  <c r="E199" i="37"/>
  <c r="F199" i="37" s="1"/>
  <c r="I199" i="37" s="1"/>
  <c r="G209" i="34" s="1"/>
  <c r="H209" i="34" s="1"/>
  <c r="E295" i="37"/>
  <c r="F295" i="37" s="1"/>
  <c r="I295" i="37" s="1"/>
  <c r="G305" i="34" s="1"/>
  <c r="H305" i="34" s="1"/>
  <c r="E258" i="37"/>
  <c r="F258" i="37" s="1"/>
  <c r="I258" i="37" s="1"/>
  <c r="G268" i="34" s="1"/>
  <c r="H268" i="34" s="1"/>
  <c r="E140" i="37"/>
  <c r="F140" i="37" s="1"/>
  <c r="I140" i="37" s="1"/>
  <c r="G150" i="34" s="1"/>
  <c r="H150" i="34" s="1"/>
  <c r="E79" i="37"/>
  <c r="F79" i="37" s="1"/>
  <c r="I79" i="37" s="1"/>
  <c r="G89" i="34" s="1"/>
  <c r="H89" i="34" s="1"/>
  <c r="E164" i="37"/>
  <c r="F164" i="37" s="1"/>
  <c r="I164" i="37" s="1"/>
  <c r="G174" i="34" s="1"/>
  <c r="H174" i="34" s="1"/>
  <c r="E118" i="37"/>
  <c r="F118" i="37" s="1"/>
  <c r="I118" i="37" s="1"/>
  <c r="G128" i="34" s="1"/>
  <c r="H128" i="34" s="1"/>
  <c r="E239" i="37"/>
  <c r="F239" i="37" s="1"/>
  <c r="I239" i="37" s="1"/>
  <c r="G249" i="34" s="1"/>
  <c r="H249" i="34" s="1"/>
  <c r="E38" i="37"/>
  <c r="F38" i="37" s="1"/>
  <c r="I38" i="37" s="1"/>
  <c r="G48" i="34" s="1"/>
  <c r="H48" i="34" s="1"/>
  <c r="E195" i="37"/>
  <c r="F195" i="37" s="1"/>
  <c r="I195" i="37" s="1"/>
  <c r="G205" i="34" s="1"/>
  <c r="H205" i="34" s="1"/>
  <c r="E159" i="37"/>
  <c r="F159" i="37" s="1"/>
  <c r="I159" i="37" s="1"/>
  <c r="G169" i="34" s="1"/>
  <c r="H169" i="34" s="1"/>
  <c r="E136" i="37"/>
  <c r="F136" i="37" s="1"/>
  <c r="I136" i="37" s="1"/>
  <c r="G146" i="34" s="1"/>
  <c r="H146" i="34" s="1"/>
  <c r="E71" i="37"/>
  <c r="F71" i="37" s="1"/>
  <c r="I71" i="37" s="1"/>
  <c r="G81" i="34" s="1"/>
  <c r="H81" i="34" s="1"/>
  <c r="E120" i="37"/>
  <c r="F120" i="37" s="1"/>
  <c r="I120" i="37" s="1"/>
  <c r="G130" i="34" s="1"/>
  <c r="H130" i="34" s="1"/>
  <c r="E215" i="37"/>
  <c r="F215" i="37" s="1"/>
  <c r="I215" i="37" s="1"/>
  <c r="G225" i="34" s="1"/>
  <c r="H225" i="34" s="1"/>
  <c r="E75" i="37"/>
  <c r="F75" i="37" s="1"/>
  <c r="I75" i="37" s="1"/>
  <c r="G85" i="34" s="1"/>
  <c r="H85" i="34" s="1"/>
  <c r="E110" i="37"/>
  <c r="F110" i="37" s="1"/>
  <c r="I110" i="37" s="1"/>
  <c r="G120" i="34" s="1"/>
  <c r="H120" i="34" s="1"/>
  <c r="E122" i="37"/>
  <c r="F122" i="37" s="1"/>
  <c r="I122" i="37" s="1"/>
  <c r="G132" i="34" s="1"/>
  <c r="H132" i="34" s="1"/>
  <c r="E286" i="37"/>
  <c r="F286" i="37" s="1"/>
  <c r="I286" i="37" s="1"/>
  <c r="G296" i="34" s="1"/>
  <c r="H296" i="34" s="1"/>
  <c r="E27" i="37"/>
  <c r="F27" i="37" s="1"/>
  <c r="I27" i="37" s="1"/>
  <c r="G37" i="34" s="1"/>
  <c r="H37" i="34" s="1"/>
  <c r="E19" i="37"/>
  <c r="F19" i="37" s="1"/>
  <c r="I19" i="37" s="1"/>
  <c r="G29" i="34" s="1"/>
  <c r="H29" i="34" s="1"/>
  <c r="E50" i="37"/>
  <c r="F50" i="37" s="1"/>
  <c r="I50" i="37" s="1"/>
  <c r="G60" i="34" s="1"/>
  <c r="H60" i="34" s="1"/>
  <c r="E231" i="37"/>
  <c r="F231" i="37" s="1"/>
  <c r="I231" i="37" s="1"/>
  <c r="G241" i="34" s="1"/>
  <c r="H241" i="34" s="1"/>
  <c r="E94" i="37"/>
  <c r="F94" i="37" s="1"/>
  <c r="I94" i="37" s="1"/>
  <c r="G104" i="34" s="1"/>
  <c r="H104" i="34" s="1"/>
  <c r="E39" i="37"/>
  <c r="F39" i="37" s="1"/>
  <c r="I39" i="37" s="1"/>
  <c r="G49" i="34" s="1"/>
  <c r="H49" i="34" s="1"/>
  <c r="E126" i="37"/>
  <c r="F126" i="37" s="1"/>
  <c r="I126" i="37" s="1"/>
  <c r="G136" i="34" s="1"/>
  <c r="H136" i="34" s="1"/>
  <c r="E262" i="37"/>
  <c r="F262" i="37" s="1"/>
  <c r="I262" i="37" s="1"/>
  <c r="G272" i="34" s="1"/>
  <c r="H272" i="34" s="1"/>
  <c r="E238" i="37"/>
  <c r="F238" i="37" s="1"/>
  <c r="I238" i="37" s="1"/>
  <c r="G248" i="34" s="1"/>
  <c r="H248" i="34" s="1"/>
  <c r="E102" i="37"/>
  <c r="F102" i="37" s="1"/>
  <c r="I102" i="37" s="1"/>
  <c r="G112" i="34" s="1"/>
  <c r="H112" i="34" s="1"/>
  <c r="E278" i="37"/>
  <c r="F278" i="37" s="1"/>
  <c r="I278" i="37" s="1"/>
  <c r="G288" i="34" s="1"/>
  <c r="H288" i="34" s="1"/>
  <c r="E227" i="37"/>
  <c r="F227" i="37" s="1"/>
  <c r="I227" i="37" s="1"/>
  <c r="G237" i="34" s="1"/>
  <c r="H237" i="34" s="1"/>
  <c r="E305" i="37"/>
  <c r="F305" i="37" s="1"/>
  <c r="I305" i="37" s="1"/>
  <c r="G315" i="34" s="1"/>
  <c r="H315" i="34" s="1"/>
  <c r="E62" i="37"/>
  <c r="F62" i="37" s="1"/>
  <c r="I62" i="37" s="1"/>
  <c r="G72" i="34" s="1"/>
  <c r="H72" i="34" s="1"/>
  <c r="E219" i="37"/>
  <c r="F219" i="37" s="1"/>
  <c r="I219" i="37" s="1"/>
  <c r="G229" i="34" s="1"/>
  <c r="H229" i="34" s="1"/>
  <c r="E11" i="37"/>
  <c r="F11" i="37" s="1"/>
  <c r="I11" i="37" s="1"/>
  <c r="G21" i="34" s="1"/>
  <c r="H21" i="34" s="1"/>
  <c r="E179" i="37"/>
  <c r="F179" i="37" s="1"/>
  <c r="I179" i="37" s="1"/>
  <c r="G189" i="34" s="1"/>
  <c r="H189" i="34" s="1"/>
  <c r="E311" i="37"/>
  <c r="F311" i="37" s="1"/>
  <c r="I311" i="37" s="1"/>
  <c r="G321" i="34" s="1"/>
  <c r="H321" i="34" s="1"/>
  <c r="E142" i="37"/>
  <c r="F142" i="37" s="1"/>
  <c r="I142" i="37" s="1"/>
  <c r="G152" i="34" s="1"/>
  <c r="H152" i="34" s="1"/>
  <c r="E63" i="37"/>
  <c r="F63" i="37" s="1"/>
  <c r="I63" i="37" s="1"/>
  <c r="G73" i="34" s="1"/>
  <c r="H73" i="34" s="1"/>
  <c r="E183" i="37"/>
  <c r="F183" i="37" s="1"/>
  <c r="I183" i="37" s="1"/>
  <c r="G193" i="34" s="1"/>
  <c r="H193" i="34" s="1"/>
  <c r="E70" i="37"/>
  <c r="F70" i="37" s="1"/>
  <c r="I70" i="37" s="1"/>
  <c r="G80" i="34" s="1"/>
  <c r="H80" i="34" s="1"/>
  <c r="E156" i="37"/>
  <c r="F156" i="37" s="1"/>
  <c r="I156" i="37" s="1"/>
  <c r="G166" i="34" s="1"/>
  <c r="H166" i="34" s="1"/>
  <c r="E152" i="37"/>
  <c r="F152" i="37" s="1"/>
  <c r="I152" i="37" s="1"/>
  <c r="G162" i="34" s="1"/>
  <c r="H162" i="34" s="1"/>
  <c r="E313" i="37"/>
  <c r="F313" i="37" s="1"/>
  <c r="I313" i="37" s="1"/>
  <c r="G323" i="34" s="1"/>
  <c r="H323" i="34" s="1"/>
  <c r="E83" i="37"/>
  <c r="F83" i="37" s="1"/>
  <c r="I83" i="37" s="1"/>
  <c r="G93" i="34" s="1"/>
  <c r="H93" i="34" s="1"/>
  <c r="E12" i="37"/>
  <c r="F12" i="37" s="1"/>
  <c r="I12" i="37" s="1"/>
  <c r="G22" i="34" s="1"/>
  <c r="H22" i="34" s="1"/>
  <c r="E34" i="37"/>
  <c r="F34" i="37" s="1"/>
  <c r="I34" i="37" s="1"/>
  <c r="G44" i="34" s="1"/>
  <c r="H44" i="34" s="1"/>
  <c r="E132" i="37"/>
  <c r="F132" i="37" s="1"/>
  <c r="I132" i="37" s="1"/>
  <c r="G142" i="34" s="1"/>
  <c r="H142" i="34" s="1"/>
  <c r="E128" i="37"/>
  <c r="F128" i="37" s="1"/>
  <c r="I128" i="37" s="1"/>
  <c r="G138" i="34" s="1"/>
  <c r="H138" i="34" s="1"/>
  <c r="E266" i="37"/>
  <c r="F266" i="37" s="1"/>
  <c r="I266" i="37" s="1"/>
  <c r="G276" i="34" s="1"/>
  <c r="H276" i="34" s="1"/>
  <c r="E42" i="37"/>
  <c r="F42" i="37" s="1"/>
  <c r="I42" i="37" s="1"/>
  <c r="G52" i="34" s="1"/>
  <c r="H52" i="34" s="1"/>
  <c r="E77" i="37"/>
  <c r="F77" i="37" s="1"/>
  <c r="I77" i="37" s="1"/>
  <c r="G87" i="34" s="1"/>
  <c r="H87" i="34" s="1"/>
  <c r="E288" i="37"/>
  <c r="F288" i="37" s="1"/>
  <c r="I288" i="37" s="1"/>
  <c r="G298" i="34" s="1"/>
  <c r="H298" i="34" s="1"/>
  <c r="E148" i="37"/>
  <c r="F148" i="37" s="1"/>
  <c r="I148" i="37" s="1"/>
  <c r="G158" i="34" s="1"/>
  <c r="H158" i="34" s="1"/>
  <c r="E144" i="37"/>
  <c r="F144" i="37" s="1"/>
  <c r="I144" i="37" s="1"/>
  <c r="G154" i="34" s="1"/>
  <c r="H154" i="34" s="1"/>
  <c r="E7" i="37"/>
  <c r="F7" i="37" s="1"/>
  <c r="I7" i="37" s="1"/>
  <c r="G17" i="34" s="1"/>
  <c r="H17" i="34" s="1"/>
  <c r="E16" i="37"/>
  <c r="F16" i="37" s="1"/>
  <c r="I16" i="37" s="1"/>
  <c r="G26" i="34" s="1"/>
  <c r="H26" i="34" s="1"/>
  <c r="E15" i="37"/>
  <c r="F15" i="37" s="1"/>
  <c r="I15" i="37" s="1"/>
  <c r="G25" i="34" s="1"/>
  <c r="H25" i="34" s="1"/>
  <c r="E191" i="37"/>
  <c r="F191" i="37" s="1"/>
  <c r="I191" i="37" s="1"/>
  <c r="G201" i="34" s="1"/>
  <c r="H201" i="34" s="1"/>
  <c r="E207" i="37"/>
  <c r="F207" i="37" s="1"/>
  <c r="I207" i="37" s="1"/>
  <c r="G217" i="34" s="1"/>
  <c r="H217" i="34" s="1"/>
  <c r="E23" i="37"/>
  <c r="F23" i="37" s="1"/>
  <c r="I23" i="37" s="1"/>
  <c r="G33" i="34" s="1"/>
  <c r="H33" i="34" s="1"/>
  <c r="E163" i="37"/>
  <c r="F163" i="37" s="1"/>
  <c r="I163" i="37" s="1"/>
  <c r="G173" i="34" s="1"/>
  <c r="H173" i="34" s="1"/>
  <c r="E211" i="37"/>
  <c r="F211" i="37" s="1"/>
  <c r="I211" i="37" s="1"/>
  <c r="G221" i="34" s="1"/>
  <c r="H221" i="34" s="1"/>
  <c r="E116" i="37"/>
  <c r="F116" i="37" s="1"/>
  <c r="I116" i="37" s="1"/>
  <c r="G126" i="34" s="1"/>
  <c r="H126" i="34" s="1"/>
  <c r="E301" i="37"/>
  <c r="F301" i="37" s="1"/>
  <c r="I301" i="37" s="1"/>
  <c r="G311" i="34" s="1"/>
  <c r="H311" i="34" s="1"/>
  <c r="E54" i="37"/>
  <c r="F54" i="37" s="1"/>
  <c r="I54" i="37" s="1"/>
  <c r="G64" i="34" s="1"/>
  <c r="H64" i="34" s="1"/>
  <c r="E24" i="37"/>
  <c r="F24" i="37" s="1"/>
  <c r="I24" i="37" s="1"/>
  <c r="G34" i="34" s="1"/>
  <c r="H34" i="34" s="1"/>
  <c r="E223" i="37"/>
  <c r="F223" i="37" s="1"/>
  <c r="I223" i="37" s="1"/>
  <c r="G233" i="34" s="1"/>
  <c r="H233" i="34" s="1"/>
  <c r="E85" i="37"/>
  <c r="F85" i="37" s="1"/>
  <c r="I85" i="37" s="1"/>
  <c r="G95" i="34" s="1"/>
  <c r="H95" i="34" s="1"/>
  <c r="E124" i="37"/>
  <c r="F124" i="37" s="1"/>
  <c r="I124" i="37" s="1"/>
  <c r="G134" i="34" s="1"/>
  <c r="H134" i="34" s="1"/>
  <c r="E303" i="37"/>
  <c r="F303" i="37" s="1"/>
  <c r="I303" i="37" s="1"/>
  <c r="G313" i="34" s="1"/>
  <c r="H313" i="34" s="1"/>
  <c r="E170" i="37"/>
  <c r="F170" i="37" s="1"/>
  <c r="I170" i="37" s="1"/>
  <c r="G180" i="34" s="1"/>
  <c r="H180" i="34" s="1"/>
  <c r="E89" i="37"/>
  <c r="F89" i="37" s="1"/>
  <c r="I89" i="37" s="1"/>
  <c r="G99" i="34" s="1"/>
  <c r="H99" i="34" s="1"/>
  <c r="E299" i="37"/>
  <c r="F299" i="37" s="1"/>
  <c r="I299" i="37" s="1"/>
  <c r="G309" i="34" s="1"/>
  <c r="H309" i="34" s="1"/>
  <c r="E46" i="37"/>
  <c r="F46" i="37" s="1"/>
  <c r="I46" i="37" s="1"/>
  <c r="G56" i="34" s="1"/>
  <c r="H56" i="34" s="1"/>
  <c r="E309" i="37"/>
  <c r="F309" i="37" s="1"/>
  <c r="I309" i="37" s="1"/>
  <c r="G319" i="34" s="1"/>
  <c r="H319" i="34" s="1"/>
  <c r="E203" i="37"/>
  <c r="F203" i="37" s="1"/>
  <c r="I203" i="37" s="1"/>
  <c r="G213" i="34" s="1"/>
  <c r="H213" i="34" s="1"/>
  <c r="E55" i="37"/>
  <c r="F55" i="37" s="1"/>
  <c r="I55" i="37" s="1"/>
  <c r="G65" i="34" s="1"/>
  <c r="H65" i="34" s="1"/>
  <c r="E293" i="37"/>
  <c r="F293" i="37" s="1"/>
  <c r="I293" i="37" s="1"/>
  <c r="G303" i="34" s="1"/>
  <c r="H303" i="34" s="1"/>
  <c r="E67" i="37"/>
  <c r="F67" i="37" s="1"/>
  <c r="I67" i="37" s="1"/>
  <c r="G77" i="34" s="1"/>
  <c r="H77" i="34" s="1"/>
  <c r="E114" i="37"/>
  <c r="F114" i="37" s="1"/>
  <c r="I114" i="37" s="1"/>
  <c r="G124" i="34" s="1"/>
  <c r="H124" i="34" s="1"/>
  <c r="E28" i="37"/>
  <c r="F28" i="37" s="1"/>
  <c r="I28" i="37" s="1"/>
  <c r="G38" i="34" s="1"/>
  <c r="H38" i="34" s="1"/>
  <c r="E254" i="37"/>
  <c r="F254" i="37" s="1"/>
  <c r="I254" i="37" s="1"/>
  <c r="G264" i="34" s="1"/>
  <c r="H264" i="34" s="1"/>
  <c r="E98" i="37"/>
  <c r="F98" i="37" s="1"/>
  <c r="I98" i="37" s="1"/>
  <c r="G108" i="34" s="1"/>
  <c r="H108" i="34" s="1"/>
  <c r="E274" i="37"/>
  <c r="F274" i="37" s="1"/>
  <c r="I274" i="37" s="1"/>
  <c r="G284" i="34" s="1"/>
  <c r="H284" i="34" s="1"/>
  <c r="E307" i="37"/>
  <c r="F307" i="37" s="1"/>
  <c r="I307" i="37" s="1"/>
  <c r="G317" i="34" s="1"/>
  <c r="H317" i="34" s="1"/>
  <c r="E187" i="37"/>
  <c r="F187" i="37" s="1"/>
  <c r="I187" i="37" s="1"/>
  <c r="G197" i="34" s="1"/>
  <c r="H197" i="34" s="1"/>
  <c r="E58" i="37"/>
  <c r="F58" i="37" s="1"/>
  <c r="I58" i="37" s="1"/>
  <c r="G68" i="34" s="1"/>
  <c r="H68" i="34" s="1"/>
  <c r="E66" i="37"/>
  <c r="F66" i="37" s="1"/>
  <c r="I66" i="37" s="1"/>
  <c r="G76" i="34" s="1"/>
  <c r="H76" i="34" s="1"/>
  <c r="E92" i="37"/>
  <c r="F92" i="37" s="1"/>
  <c r="I92" i="37" s="1"/>
  <c r="G102" i="34" s="1"/>
  <c r="H102" i="34" s="1"/>
  <c r="E250" i="37"/>
  <c r="F250" i="37" s="1"/>
  <c r="I250" i="37" s="1"/>
  <c r="G260" i="34" s="1"/>
  <c r="H260" i="34" s="1"/>
  <c r="E146" i="37"/>
  <c r="F146" i="37" s="1"/>
  <c r="I146" i="37" s="1"/>
  <c r="G156" i="34" s="1"/>
  <c r="H156" i="34" s="1"/>
  <c r="E242" i="37"/>
  <c r="F242" i="37" s="1"/>
  <c r="I242" i="37" s="1"/>
  <c r="G252" i="34" s="1"/>
  <c r="H252" i="34" s="1"/>
  <c r="E160" i="37"/>
  <c r="F160" i="37" s="1"/>
  <c r="I160" i="37" s="1"/>
  <c r="G170" i="34" s="1"/>
  <c r="H170" i="34" s="1"/>
  <c r="E246" i="37"/>
  <c r="F246" i="37" s="1"/>
  <c r="I246" i="37" s="1"/>
  <c r="G256" i="34" s="1"/>
  <c r="H256" i="34" s="1"/>
  <c r="E47" i="37"/>
  <c r="F47" i="37" s="1"/>
  <c r="I47" i="37" s="1"/>
  <c r="G57" i="34" s="1"/>
  <c r="H57" i="34" s="1"/>
  <c r="E59" i="37"/>
  <c r="F59" i="37" s="1"/>
  <c r="I59" i="37" s="1"/>
  <c r="G69" i="34" s="1"/>
  <c r="H69" i="34" s="1"/>
  <c r="E8" i="37"/>
  <c r="F8" i="37" s="1"/>
  <c r="I8" i="37" s="1"/>
  <c r="G18" i="34" s="1"/>
  <c r="H18" i="34" s="1"/>
  <c r="E108" i="37"/>
  <c r="F108" i="37" s="1"/>
  <c r="I108" i="37" s="1"/>
  <c r="G118" i="34" s="1"/>
  <c r="H118" i="34" s="1"/>
  <c r="E81" i="37"/>
  <c r="F81" i="37" s="1"/>
  <c r="I81" i="37" s="1"/>
  <c r="G91" i="34" s="1"/>
  <c r="H91" i="34" s="1"/>
  <c r="E297" i="37"/>
  <c r="F297" i="37" s="1"/>
  <c r="I297" i="37" s="1"/>
  <c r="G307" i="34" s="1"/>
  <c r="H307" i="34" s="1"/>
  <c r="E87" i="37"/>
  <c r="F87" i="37" s="1"/>
  <c r="I87" i="37" s="1"/>
  <c r="G97" i="34" s="1"/>
  <c r="H97" i="34" s="1"/>
  <c r="E155" i="37"/>
  <c r="F155" i="37" s="1"/>
  <c r="I155" i="37" s="1"/>
  <c r="G165" i="34" s="1"/>
  <c r="H165" i="34" s="1"/>
  <c r="E106" i="37"/>
  <c r="F106" i="37" s="1"/>
  <c r="I106" i="37" s="1"/>
  <c r="G116" i="34" s="1"/>
  <c r="H116" i="34" s="1"/>
  <c r="E166" i="37"/>
  <c r="F166" i="37" s="1"/>
  <c r="I166" i="37" s="1"/>
  <c r="G176" i="34" s="1"/>
  <c r="H176" i="34" s="1"/>
  <c r="E31" i="37"/>
  <c r="F31" i="37" s="1"/>
  <c r="I31" i="37" s="1"/>
  <c r="G41" i="34" s="1"/>
  <c r="H41" i="34" s="1"/>
  <c r="E150" i="37"/>
  <c r="F150" i="37" s="1"/>
  <c r="I150" i="37" s="1"/>
  <c r="G160" i="34" s="1"/>
  <c r="H160" i="34" s="1"/>
  <c r="E235" i="37"/>
  <c r="F235" i="37" s="1"/>
  <c r="I235" i="37" s="1"/>
  <c r="G245" i="34" s="1"/>
  <c r="H245" i="34" s="1"/>
  <c r="E130" i="37"/>
  <c r="F130" i="37" s="1"/>
  <c r="I130" i="37" s="1"/>
  <c r="G140" i="34" s="1"/>
  <c r="H140" i="34" s="1"/>
  <c r="E100" i="37"/>
  <c r="F100" i="37" s="1"/>
  <c r="I100" i="37" s="1"/>
  <c r="G110" i="34" s="1"/>
  <c r="H110" i="34" s="1"/>
  <c r="E112" i="37"/>
  <c r="F112" i="37" s="1"/>
  <c r="I112" i="37" s="1"/>
  <c r="G122" i="34" s="1"/>
  <c r="H122" i="34" s="1"/>
  <c r="E20" i="37"/>
  <c r="F20" i="37" s="1"/>
  <c r="I20" i="37" s="1"/>
  <c r="G30" i="34" s="1"/>
  <c r="H30" i="34" s="1"/>
  <c r="E291" i="37"/>
  <c r="F291" i="37" s="1"/>
  <c r="I291" i="37" s="1"/>
  <c r="G301" i="34" s="1"/>
  <c r="H301" i="34" s="1"/>
  <c r="E35" i="37"/>
  <c r="F35" i="37" s="1"/>
  <c r="I35" i="37" s="1"/>
  <c r="G45" i="34" s="1"/>
  <c r="H45" i="34" s="1"/>
  <c r="E175" i="37"/>
  <c r="F175" i="37" s="1"/>
  <c r="I175" i="37" s="1"/>
  <c r="G185" i="34" s="1"/>
  <c r="H185" i="34" s="1"/>
  <c r="E96" i="37"/>
  <c r="F96" i="37" s="1"/>
  <c r="I96" i="37" s="1"/>
  <c r="G106" i="34" s="1"/>
  <c r="H106" i="34" s="1"/>
  <c r="E74" i="37"/>
  <c r="F74" i="37" s="1"/>
  <c r="I74" i="37" s="1"/>
  <c r="G84" i="34" s="1"/>
  <c r="H84" i="34" s="1"/>
  <c r="E282" i="37"/>
  <c r="F282" i="37" s="1"/>
  <c r="I282" i="37" s="1"/>
  <c r="G292" i="34" s="1"/>
  <c r="H292" i="34" s="1"/>
  <c r="E134" i="37"/>
  <c r="F134" i="37" s="1"/>
  <c r="I134" i="37" s="1"/>
  <c r="G144" i="34" s="1"/>
  <c r="H144" i="34" s="1"/>
  <c r="E51" i="37"/>
  <c r="F51" i="37" s="1"/>
  <c r="I51" i="37" s="1"/>
  <c r="G61" i="34" s="1"/>
  <c r="H61" i="34" s="1"/>
  <c r="E104" i="37"/>
  <c r="F104" i="37" s="1"/>
  <c r="I104" i="37" s="1"/>
  <c r="G114" i="34" s="1"/>
  <c r="H114" i="34" s="1"/>
  <c r="E138" i="37"/>
  <c r="F138" i="37" s="1"/>
  <c r="I138" i="37" s="1"/>
  <c r="G148" i="34" s="1"/>
  <c r="H148" i="34" s="1"/>
  <c r="K6" i="54"/>
  <c r="K314" i="54" s="1"/>
  <c r="J314" i="54"/>
  <c r="N314" i="49"/>
  <c r="K29" i="33"/>
  <c r="K36" i="33"/>
  <c r="K24" i="33"/>
  <c r="K39" i="33"/>
  <c r="K12" i="33"/>
  <c r="K63" i="33"/>
  <c r="K66" i="33"/>
  <c r="K62" i="33"/>
  <c r="K94" i="33"/>
  <c r="K132" i="33"/>
  <c r="K131" i="33"/>
  <c r="K133" i="33"/>
  <c r="K137" i="33"/>
  <c r="K197" i="33"/>
  <c r="K205" i="33"/>
  <c r="K272" i="33"/>
  <c r="K295" i="33"/>
  <c r="K275" i="33"/>
  <c r="K313" i="33"/>
  <c r="K312" i="33"/>
  <c r="K287" i="33"/>
  <c r="K244" i="33"/>
  <c r="K243" i="33"/>
  <c r="K216" i="33"/>
  <c r="K215" i="33"/>
  <c r="K212" i="33"/>
  <c r="K306" i="33"/>
  <c r="K298" i="33"/>
  <c r="K290" i="33"/>
  <c r="K266" i="33"/>
  <c r="K240" i="33"/>
  <c r="K238" i="33"/>
  <c r="K246" i="33"/>
  <c r="K224" i="33"/>
  <c r="K223" i="33"/>
  <c r="K242" i="33"/>
  <c r="K220" i="33"/>
  <c r="K219" i="33"/>
  <c r="K191" i="33"/>
  <c r="K165" i="33"/>
  <c r="K265" i="33"/>
  <c r="K257" i="33"/>
  <c r="K249" i="33"/>
  <c r="K241" i="33"/>
  <c r="K229" i="33"/>
  <c r="K221" i="33"/>
  <c r="K213" i="33"/>
  <c r="K192" i="33"/>
  <c r="K299" i="33"/>
  <c r="K274" i="33"/>
  <c r="K311" i="33"/>
  <c r="K285" i="33"/>
  <c r="K284" i="33"/>
  <c r="K273" i="33"/>
  <c r="K291" i="33"/>
  <c r="K303" i="33"/>
  <c r="K281" i="33"/>
  <c r="K280" i="33"/>
  <c r="K279" i="33"/>
  <c r="K260" i="33"/>
  <c r="K259" i="33"/>
  <c r="K232" i="33"/>
  <c r="K231" i="33"/>
  <c r="K206" i="33"/>
  <c r="K278" i="33"/>
  <c r="K256" i="33"/>
  <c r="K255" i="33"/>
  <c r="K228" i="33"/>
  <c r="K227" i="33"/>
  <c r="K262" i="33"/>
  <c r="K258" i="33"/>
  <c r="K270" i="33"/>
  <c r="K181" i="33"/>
  <c r="K164" i="33"/>
  <c r="K153" i="33"/>
  <c r="K289" i="33"/>
  <c r="K288" i="33"/>
  <c r="K271" i="33"/>
  <c r="K301" i="33"/>
  <c r="K300" i="33"/>
  <c r="K277" i="33"/>
  <c r="K307" i="33"/>
  <c r="K293" i="33"/>
  <c r="K292" i="33"/>
  <c r="K283" i="33"/>
  <c r="K310" i="33"/>
  <c r="K302" i="33"/>
  <c r="K294" i="33"/>
  <c r="K286" i="33"/>
  <c r="K282" i="33"/>
  <c r="K210" i="33"/>
  <c r="K269" i="33"/>
  <c r="K252" i="33"/>
  <c r="K251" i="33"/>
  <c r="K237" i="33"/>
  <c r="K218" i="33"/>
  <c r="K248" i="33"/>
  <c r="K247" i="33"/>
  <c r="K214" i="33"/>
  <c r="K180" i="33"/>
  <c r="K152" i="33"/>
  <c r="K261" i="33"/>
  <c r="K253" i="33"/>
  <c r="K245" i="33"/>
  <c r="K233" i="33"/>
  <c r="K225" i="33"/>
  <c r="K217" i="33"/>
  <c r="K209" i="33"/>
  <c r="K203" i="33"/>
  <c r="K201" i="33"/>
  <c r="K199" i="33"/>
  <c r="K305" i="33"/>
  <c r="K304" i="33"/>
  <c r="K297" i="33"/>
  <c r="K296" i="33"/>
  <c r="K309" i="33"/>
  <c r="K308" i="33"/>
  <c r="K254" i="33"/>
  <c r="K226" i="33"/>
  <c r="K250" i="33"/>
  <c r="K222" i="33"/>
  <c r="K268" i="33"/>
  <c r="K267" i="33"/>
  <c r="K236" i="33"/>
  <c r="K234" i="33"/>
  <c r="K208" i="33"/>
  <c r="K264" i="33"/>
  <c r="K263" i="33"/>
  <c r="K230" i="33"/>
  <c r="K196" i="33"/>
  <c r="K175" i="33"/>
  <c r="K147" i="33"/>
  <c r="K171" i="33"/>
  <c r="K143" i="33"/>
  <c r="K136" i="33"/>
  <c r="K183" i="33"/>
  <c r="K144" i="33"/>
  <c r="K211" i="33"/>
  <c r="K179" i="33"/>
  <c r="K157" i="33"/>
  <c r="K140" i="33"/>
  <c r="K114" i="33"/>
  <c r="K116" i="33"/>
  <c r="K103" i="33"/>
  <c r="K111" i="33"/>
  <c r="K198" i="33"/>
  <c r="K182" i="33"/>
  <c r="K166" i="33"/>
  <c r="K154" i="33"/>
  <c r="K138" i="33"/>
  <c r="K123" i="33"/>
  <c r="K99" i="33"/>
  <c r="K89" i="33"/>
  <c r="K67" i="33"/>
  <c r="K95" i="33"/>
  <c r="K76" i="33"/>
  <c r="K125" i="33"/>
  <c r="K109" i="33"/>
  <c r="K101" i="33"/>
  <c r="K80" i="33"/>
  <c r="K204" i="33"/>
  <c r="K187" i="33"/>
  <c r="K161" i="33"/>
  <c r="K173" i="33"/>
  <c r="K139" i="33"/>
  <c r="K207" i="33"/>
  <c r="K195" i="33"/>
  <c r="K169" i="33"/>
  <c r="K156" i="33"/>
  <c r="K115" i="33"/>
  <c r="K194" i="33"/>
  <c r="K178" i="33"/>
  <c r="K162" i="33"/>
  <c r="K150" i="33"/>
  <c r="K118" i="33"/>
  <c r="K83" i="33"/>
  <c r="K82" i="33"/>
  <c r="K98" i="33"/>
  <c r="K121" i="33"/>
  <c r="K75" i="33"/>
  <c r="K74" i="33"/>
  <c r="K77" i="33"/>
  <c r="K69" i="33"/>
  <c r="K193" i="33"/>
  <c r="K177" i="33"/>
  <c r="K160" i="33"/>
  <c r="K149" i="33"/>
  <c r="K200" i="33"/>
  <c r="K189" i="33"/>
  <c r="K172" i="33"/>
  <c r="K155" i="33"/>
  <c r="K239" i="33"/>
  <c r="K185" i="33"/>
  <c r="K168" i="33"/>
  <c r="K151" i="33"/>
  <c r="K120" i="33"/>
  <c r="K110" i="33"/>
  <c r="K159" i="33"/>
  <c r="K135" i="33"/>
  <c r="K124" i="33"/>
  <c r="K122" i="33"/>
  <c r="K190" i="33"/>
  <c r="K174" i="33"/>
  <c r="K146" i="33"/>
  <c r="K134" i="33"/>
  <c r="K108" i="33"/>
  <c r="K97" i="33"/>
  <c r="K96" i="33"/>
  <c r="K71" i="33"/>
  <c r="K70" i="33"/>
  <c r="K91" i="33"/>
  <c r="K90" i="33"/>
  <c r="K102" i="33"/>
  <c r="K87" i="33"/>
  <c r="K86" i="33"/>
  <c r="K117" i="33"/>
  <c r="K105" i="33"/>
  <c r="K72" i="33"/>
  <c r="K81" i="33"/>
  <c r="K59" i="33"/>
  <c r="K176" i="33"/>
  <c r="K148" i="33"/>
  <c r="K188" i="33"/>
  <c r="K167" i="33"/>
  <c r="K145" i="33"/>
  <c r="K235" i="33"/>
  <c r="K184" i="33"/>
  <c r="K163" i="33"/>
  <c r="K141" i="33"/>
  <c r="K119" i="33"/>
  <c r="K130" i="33"/>
  <c r="K128" i="33"/>
  <c r="K126" i="33"/>
  <c r="K104" i="33"/>
  <c r="K127" i="33"/>
  <c r="K112" i="33"/>
  <c r="K202" i="33"/>
  <c r="K186" i="33"/>
  <c r="K170" i="33"/>
  <c r="K158" i="33"/>
  <c r="K142" i="33"/>
  <c r="K107" i="33"/>
  <c r="K100" i="33"/>
  <c r="K68" i="33"/>
  <c r="K65" i="33"/>
  <c r="K106" i="33"/>
  <c r="K79" i="33"/>
  <c r="K78" i="33"/>
  <c r="K129" i="33"/>
  <c r="K113" i="33"/>
  <c r="K93" i="33"/>
  <c r="K85" i="33"/>
  <c r="K73" i="33"/>
  <c r="K53" i="33"/>
  <c r="K92" i="33"/>
  <c r="K61" i="33"/>
  <c r="K57" i="33"/>
  <c r="K56" i="33"/>
  <c r="K48" i="33"/>
  <c r="K18" i="33"/>
  <c r="K7" i="33"/>
  <c r="K34" i="33"/>
  <c r="K33" i="33"/>
  <c r="K22" i="33"/>
  <c r="K16" i="33"/>
  <c r="K64" i="33"/>
  <c r="K31" i="33"/>
  <c r="K88" i="33"/>
  <c r="K55" i="33"/>
  <c r="K40" i="33"/>
  <c r="K37" i="33"/>
  <c r="K30" i="33"/>
  <c r="K42" i="33"/>
  <c r="K26" i="33"/>
  <c r="K15" i="33"/>
  <c r="K9" i="33"/>
  <c r="K58" i="33"/>
  <c r="K54" i="33"/>
  <c r="K49" i="33"/>
  <c r="K51" i="33"/>
  <c r="K47" i="33"/>
  <c r="K60" i="33"/>
  <c r="K52" i="33"/>
  <c r="K44" i="33"/>
  <c r="K13" i="33"/>
  <c r="K20" i="33"/>
  <c r="K25" i="33"/>
  <c r="K84" i="33"/>
  <c r="K38" i="33"/>
  <c r="K32" i="33"/>
  <c r="K50" i="33"/>
  <c r="K45" i="33"/>
  <c r="K46" i="33"/>
  <c r="K23" i="33"/>
  <c r="K17" i="33"/>
  <c r="K14" i="33"/>
  <c r="K8" i="33"/>
  <c r="K27" i="33"/>
  <c r="K19" i="33"/>
  <c r="K10" i="33"/>
  <c r="K41" i="33"/>
  <c r="K21" i="33"/>
  <c r="K43" i="33"/>
  <c r="K35" i="33"/>
  <c r="K11" i="33"/>
  <c r="K276" i="33"/>
  <c r="K28" i="33"/>
  <c r="J9" i="33"/>
  <c r="J29" i="33"/>
  <c r="J36" i="33"/>
  <c r="J13" i="33"/>
  <c r="J17" i="33"/>
  <c r="J25" i="33"/>
  <c r="J32" i="33"/>
  <c r="J40" i="33"/>
  <c r="J44" i="33"/>
  <c r="J21" i="33"/>
  <c r="J26" i="33"/>
  <c r="J33" i="33"/>
  <c r="J63" i="33"/>
  <c r="J80" i="33"/>
  <c r="J84" i="33"/>
  <c r="J92" i="33"/>
  <c r="J64" i="33"/>
  <c r="J96" i="33"/>
  <c r="J101" i="33"/>
  <c r="J105" i="33"/>
  <c r="J132" i="33"/>
  <c r="J133" i="33"/>
  <c r="J137" i="33"/>
  <c r="J197" i="33"/>
  <c r="J134" i="33"/>
  <c r="J138" i="33"/>
  <c r="J142" i="33"/>
  <c r="J146" i="33"/>
  <c r="J154" i="33"/>
  <c r="J158" i="33"/>
  <c r="J162" i="33"/>
  <c r="J166" i="33"/>
  <c r="J270" i="33"/>
  <c r="J278" i="33"/>
  <c r="J282" i="33"/>
  <c r="J286" i="33"/>
  <c r="J289" i="33"/>
  <c r="J274" i="33"/>
  <c r="J301" i="33"/>
  <c r="J277" i="33"/>
  <c r="J273" i="33"/>
  <c r="J312" i="33"/>
  <c r="J307" i="33"/>
  <c r="J293" i="33"/>
  <c r="J243" i="33"/>
  <c r="J215" i="33"/>
  <c r="J283" i="33"/>
  <c r="J210" i="33"/>
  <c r="J310" i="33"/>
  <c r="J294" i="33"/>
  <c r="J269" i="33"/>
  <c r="J252" i="33"/>
  <c r="J237" i="33"/>
  <c r="J223" i="33"/>
  <c r="J218" i="33"/>
  <c r="J248" i="33"/>
  <c r="J219" i="33"/>
  <c r="J214" i="33"/>
  <c r="J235" i="33"/>
  <c r="J211" i="33"/>
  <c r="J180" i="33"/>
  <c r="J152" i="33"/>
  <c r="J203" i="33"/>
  <c r="J201" i="33"/>
  <c r="J199" i="33"/>
  <c r="J305" i="33"/>
  <c r="J284" i="33"/>
  <c r="J297" i="33"/>
  <c r="J309" i="33"/>
  <c r="J280" i="33"/>
  <c r="J259" i="33"/>
  <c r="J254" i="33"/>
  <c r="J231" i="33"/>
  <c r="J226" i="33"/>
  <c r="J255" i="33"/>
  <c r="J250" i="33"/>
  <c r="J227" i="33"/>
  <c r="J222" i="33"/>
  <c r="J306" i="33"/>
  <c r="J290" i="33"/>
  <c r="J268" i="33"/>
  <c r="J236" i="33"/>
  <c r="J234" i="33"/>
  <c r="J208" i="33"/>
  <c r="J264" i="33"/>
  <c r="J230" i="33"/>
  <c r="J196" i="33"/>
  <c r="J175" i="33"/>
  <c r="J147" i="33"/>
  <c r="J288" i="33"/>
  <c r="J300" i="33"/>
  <c r="J295" i="33"/>
  <c r="J275" i="33"/>
  <c r="J313" i="33"/>
  <c r="J292" i="33"/>
  <c r="J287" i="33"/>
  <c r="J244" i="33"/>
  <c r="J216" i="33"/>
  <c r="J212" i="33"/>
  <c r="J266" i="33"/>
  <c r="J240" i="33"/>
  <c r="J238" i="33"/>
  <c r="J302" i="33"/>
  <c r="J251" i="33"/>
  <c r="J246" i="33"/>
  <c r="J224" i="33"/>
  <c r="J247" i="33"/>
  <c r="J242" i="33"/>
  <c r="J220" i="33"/>
  <c r="J239" i="33"/>
  <c r="J191" i="33"/>
  <c r="J165" i="33"/>
  <c r="J192" i="33"/>
  <c r="J304" i="33"/>
  <c r="J299" i="33"/>
  <c r="J271" i="33"/>
  <c r="J311" i="33"/>
  <c r="J285" i="33"/>
  <c r="J296" i="33"/>
  <c r="J291" i="33"/>
  <c r="J308" i="33"/>
  <c r="J303" i="33"/>
  <c r="J281" i="33"/>
  <c r="J260" i="33"/>
  <c r="J232" i="33"/>
  <c r="J206" i="33"/>
  <c r="J279" i="33"/>
  <c r="J256" i="33"/>
  <c r="J228" i="33"/>
  <c r="J298" i="33"/>
  <c r="J267" i="33"/>
  <c r="J262" i="33"/>
  <c r="J272" i="33"/>
  <c r="J263" i="33"/>
  <c r="J258" i="33"/>
  <c r="J207" i="33"/>
  <c r="J181" i="33"/>
  <c r="J164" i="33"/>
  <c r="J153" i="33"/>
  <c r="J204" i="33"/>
  <c r="J177" i="33"/>
  <c r="J160" i="33"/>
  <c r="J149" i="33"/>
  <c r="J261" i="33"/>
  <c r="J245" i="33"/>
  <c r="J233" i="33"/>
  <c r="J217" i="33"/>
  <c r="J200" i="33"/>
  <c r="J189" i="33"/>
  <c r="J172" i="33"/>
  <c r="J155" i="33"/>
  <c r="J185" i="33"/>
  <c r="J168" i="33"/>
  <c r="J151" i="33"/>
  <c r="J202" i="33"/>
  <c r="J120" i="33"/>
  <c r="J110" i="33"/>
  <c r="J124" i="33"/>
  <c r="J122" i="33"/>
  <c r="J108" i="33"/>
  <c r="J129" i="33"/>
  <c r="J121" i="33"/>
  <c r="J113" i="33"/>
  <c r="J71" i="33"/>
  <c r="J91" i="33"/>
  <c r="J65" i="33"/>
  <c r="J87" i="33"/>
  <c r="J72" i="33"/>
  <c r="J59" i="33"/>
  <c r="J193" i="33"/>
  <c r="J176" i="33"/>
  <c r="J148" i="33"/>
  <c r="J257" i="33"/>
  <c r="J241" i="33"/>
  <c r="J229" i="33"/>
  <c r="J213" i="33"/>
  <c r="J205" i="33"/>
  <c r="J188" i="33"/>
  <c r="J167" i="33"/>
  <c r="J145" i="33"/>
  <c r="J184" i="33"/>
  <c r="J163" i="33"/>
  <c r="J141" i="33"/>
  <c r="J194" i="33"/>
  <c r="J186" i="33"/>
  <c r="J178" i="33"/>
  <c r="J170" i="33"/>
  <c r="J119" i="33"/>
  <c r="J130" i="33"/>
  <c r="J128" i="33"/>
  <c r="J126" i="33"/>
  <c r="J104" i="33"/>
  <c r="J127" i="33"/>
  <c r="J112" i="33"/>
  <c r="J135" i="33"/>
  <c r="J107" i="33"/>
  <c r="J100" i="33"/>
  <c r="J82" i="33"/>
  <c r="J68" i="33"/>
  <c r="J79" i="33"/>
  <c r="J106" i="33"/>
  <c r="J98" i="33"/>
  <c r="J93" i="33"/>
  <c r="J74" i="33"/>
  <c r="J171" i="33"/>
  <c r="J143" i="33"/>
  <c r="J136" i="33"/>
  <c r="J253" i="33"/>
  <c r="J225" i="33"/>
  <c r="J183" i="33"/>
  <c r="J144" i="33"/>
  <c r="J179" i="33"/>
  <c r="J157" i="33"/>
  <c r="J140" i="33"/>
  <c r="J198" i="33"/>
  <c r="J150" i="33"/>
  <c r="J131" i="33"/>
  <c r="J114" i="33"/>
  <c r="J116" i="33"/>
  <c r="J103" i="33"/>
  <c r="J111" i="33"/>
  <c r="J159" i="33"/>
  <c r="J123" i="33"/>
  <c r="J99" i="33"/>
  <c r="J125" i="33"/>
  <c r="J117" i="33"/>
  <c r="J109" i="33"/>
  <c r="J94" i="33"/>
  <c r="J89" i="33"/>
  <c r="J70" i="33"/>
  <c r="J90" i="33"/>
  <c r="J67" i="33"/>
  <c r="J86" i="33"/>
  <c r="J76" i="33"/>
  <c r="J81" i="33"/>
  <c r="J187" i="33"/>
  <c r="J161" i="33"/>
  <c r="J265" i="33"/>
  <c r="J249" i="33"/>
  <c r="J221" i="33"/>
  <c r="J209" i="33"/>
  <c r="J173" i="33"/>
  <c r="J139" i="33"/>
  <c r="J195" i="33"/>
  <c r="J169" i="33"/>
  <c r="J156" i="33"/>
  <c r="J190" i="33"/>
  <c r="J182" i="33"/>
  <c r="J174" i="33"/>
  <c r="J115" i="33"/>
  <c r="J118" i="33"/>
  <c r="J97" i="33"/>
  <c r="J83" i="33"/>
  <c r="J78" i="33"/>
  <c r="J102" i="33"/>
  <c r="J95" i="33"/>
  <c r="J75" i="33"/>
  <c r="J31" i="33"/>
  <c r="J54" i="33"/>
  <c r="J61" i="33"/>
  <c r="J51" i="33"/>
  <c r="J66" i="33"/>
  <c r="J62" i="33"/>
  <c r="J57" i="33"/>
  <c r="J47" i="33"/>
  <c r="J56" i="33"/>
  <c r="J48" i="33"/>
  <c r="J37" i="33"/>
  <c r="J58" i="33"/>
  <c r="J77" i="33"/>
  <c r="J69" i="33"/>
  <c r="J38" i="33"/>
  <c r="J50" i="33"/>
  <c r="J46" i="33"/>
  <c r="J23" i="33"/>
  <c r="J14" i="33"/>
  <c r="J8" i="33"/>
  <c r="J27" i="33"/>
  <c r="J19" i="33"/>
  <c r="J10" i="33"/>
  <c r="J53" i="33"/>
  <c r="J85" i="33"/>
  <c r="J49" i="33"/>
  <c r="J88" i="33"/>
  <c r="J18" i="33"/>
  <c r="J60" i="33"/>
  <c r="J52" i="33"/>
  <c r="J7" i="33"/>
  <c r="J34" i="33"/>
  <c r="J22" i="33"/>
  <c r="J12" i="33"/>
  <c r="J41" i="33"/>
  <c r="J73" i="33"/>
  <c r="J55" i="33"/>
  <c r="J45" i="33"/>
  <c r="J39" i="33"/>
  <c r="J24" i="33"/>
  <c r="J20" i="33"/>
  <c r="J42" i="33"/>
  <c r="J30" i="33"/>
  <c r="J16" i="33"/>
  <c r="J15" i="33"/>
  <c r="J35" i="33"/>
  <c r="J11" i="33"/>
  <c r="J276" i="33"/>
  <c r="J28" i="33"/>
  <c r="J43" i="33"/>
  <c r="G12" i="33"/>
  <c r="G29" i="33"/>
  <c r="G62" i="33"/>
  <c r="G63" i="33"/>
  <c r="G272" i="33"/>
  <c r="G299" i="33"/>
  <c r="G274" i="33"/>
  <c r="G311" i="33"/>
  <c r="G285" i="33"/>
  <c r="G284" i="33"/>
  <c r="G291" i="33"/>
  <c r="G303" i="33"/>
  <c r="G281" i="33"/>
  <c r="G280" i="33"/>
  <c r="G260" i="33"/>
  <c r="G259" i="33"/>
  <c r="G232" i="33"/>
  <c r="G231" i="33"/>
  <c r="G206" i="33"/>
  <c r="G256" i="33"/>
  <c r="G255" i="33"/>
  <c r="G228" i="33"/>
  <c r="G227" i="33"/>
  <c r="G262" i="33"/>
  <c r="G258" i="33"/>
  <c r="G181" i="33"/>
  <c r="G164" i="33"/>
  <c r="G153" i="33"/>
  <c r="G205" i="33"/>
  <c r="G204" i="33"/>
  <c r="G289" i="33"/>
  <c r="G288" i="33"/>
  <c r="G301" i="33"/>
  <c r="G300" i="33"/>
  <c r="G277" i="33"/>
  <c r="G275" i="33"/>
  <c r="G307" i="33"/>
  <c r="G293" i="33"/>
  <c r="G292" i="33"/>
  <c r="G239" i="33"/>
  <c r="G306" i="33"/>
  <c r="G298" i="33"/>
  <c r="G290" i="33"/>
  <c r="G235" i="33"/>
  <c r="G210" i="33"/>
  <c r="G269" i="33"/>
  <c r="G252" i="33"/>
  <c r="G251" i="33"/>
  <c r="G237" i="33"/>
  <c r="G218" i="33"/>
  <c r="G248" i="33"/>
  <c r="G247" i="33"/>
  <c r="G214" i="33"/>
  <c r="G180" i="33"/>
  <c r="G152" i="33"/>
  <c r="G265" i="33"/>
  <c r="G257" i="33"/>
  <c r="G249" i="33"/>
  <c r="G241" i="33"/>
  <c r="G229" i="33"/>
  <c r="G221" i="33"/>
  <c r="G305" i="33"/>
  <c r="G304" i="33"/>
  <c r="G282" i="33"/>
  <c r="G273" i="33"/>
  <c r="G297" i="33"/>
  <c r="G296" i="33"/>
  <c r="G309" i="33"/>
  <c r="G308" i="33"/>
  <c r="G278" i="33"/>
  <c r="G279" i="33"/>
  <c r="G254" i="33"/>
  <c r="G226" i="33"/>
  <c r="G250" i="33"/>
  <c r="G222" i="33"/>
  <c r="G268" i="33"/>
  <c r="G267" i="33"/>
  <c r="G236" i="33"/>
  <c r="G234" i="33"/>
  <c r="G208" i="33"/>
  <c r="G207" i="33"/>
  <c r="G264" i="33"/>
  <c r="G263" i="33"/>
  <c r="G230" i="33"/>
  <c r="G270" i="33"/>
  <c r="G202" i="33"/>
  <c r="G196" i="33"/>
  <c r="G175" i="33"/>
  <c r="G174" i="33"/>
  <c r="G147" i="33"/>
  <c r="G146" i="33"/>
  <c r="G193" i="33"/>
  <c r="G271" i="33"/>
  <c r="G295" i="33"/>
  <c r="G313" i="33"/>
  <c r="G312" i="33"/>
  <c r="G287" i="33"/>
  <c r="G283" i="33"/>
  <c r="G244" i="33"/>
  <c r="G243" i="33"/>
  <c r="G216" i="33"/>
  <c r="G215" i="33"/>
  <c r="G212" i="33"/>
  <c r="G211" i="33"/>
  <c r="G310" i="33"/>
  <c r="G302" i="33"/>
  <c r="G294" i="33"/>
  <c r="G286" i="33"/>
  <c r="G266" i="33"/>
  <c r="G240" i="33"/>
  <c r="G238" i="33"/>
  <c r="G246" i="33"/>
  <c r="G224" i="33"/>
  <c r="G223" i="33"/>
  <c r="G242" i="33"/>
  <c r="G220" i="33"/>
  <c r="G219" i="33"/>
  <c r="G191" i="33"/>
  <c r="G190" i="33"/>
  <c r="G165" i="33"/>
  <c r="G261" i="33"/>
  <c r="G253" i="33"/>
  <c r="G245" i="33"/>
  <c r="G233" i="33"/>
  <c r="G225" i="33"/>
  <c r="G217" i="33"/>
  <c r="G192" i="33"/>
  <c r="G187" i="33"/>
  <c r="G186" i="33"/>
  <c r="G161" i="33"/>
  <c r="G158" i="33"/>
  <c r="G173" i="33"/>
  <c r="G139" i="33"/>
  <c r="G138" i="33"/>
  <c r="G195" i="33"/>
  <c r="G194" i="33"/>
  <c r="G169" i="33"/>
  <c r="G156" i="33"/>
  <c r="G197" i="33"/>
  <c r="G133" i="33"/>
  <c r="G129" i="33"/>
  <c r="G115" i="33"/>
  <c r="G118" i="33"/>
  <c r="G117" i="33"/>
  <c r="G83" i="33"/>
  <c r="G82" i="33"/>
  <c r="G65" i="33"/>
  <c r="G106" i="33"/>
  <c r="G75" i="33"/>
  <c r="G74" i="33"/>
  <c r="G85" i="33"/>
  <c r="G73" i="33"/>
  <c r="G64" i="33"/>
  <c r="G31" i="33"/>
  <c r="G92" i="33"/>
  <c r="G213" i="33"/>
  <c r="G199" i="33"/>
  <c r="G177" i="33"/>
  <c r="G160" i="33"/>
  <c r="G149" i="33"/>
  <c r="G200" i="33"/>
  <c r="G189" i="33"/>
  <c r="G172" i="33"/>
  <c r="G155" i="33"/>
  <c r="G154" i="33"/>
  <c r="G185" i="33"/>
  <c r="G168" i="33"/>
  <c r="G151" i="33"/>
  <c r="G150" i="33"/>
  <c r="G120" i="33"/>
  <c r="G110" i="33"/>
  <c r="G109" i="33"/>
  <c r="G132" i="33"/>
  <c r="G124" i="33"/>
  <c r="G122" i="33"/>
  <c r="G121" i="33"/>
  <c r="G108" i="33"/>
  <c r="G105" i="33"/>
  <c r="G96" i="33"/>
  <c r="G71" i="33"/>
  <c r="G70" i="33"/>
  <c r="G95" i="33"/>
  <c r="G91" i="33"/>
  <c r="G90" i="33"/>
  <c r="G87" i="33"/>
  <c r="G86" i="33"/>
  <c r="G72" i="33"/>
  <c r="G209" i="33"/>
  <c r="G176" i="33"/>
  <c r="G148" i="33"/>
  <c r="G134" i="33"/>
  <c r="G188" i="33"/>
  <c r="G167" i="33"/>
  <c r="G166" i="33"/>
  <c r="G145" i="33"/>
  <c r="G184" i="33"/>
  <c r="G163" i="33"/>
  <c r="G162" i="33"/>
  <c r="G141" i="33"/>
  <c r="G119" i="33"/>
  <c r="G130" i="33"/>
  <c r="G128" i="33"/>
  <c r="G126" i="33"/>
  <c r="G125" i="33"/>
  <c r="G104" i="33"/>
  <c r="G101" i="33"/>
  <c r="G131" i="33"/>
  <c r="G127" i="33"/>
  <c r="G112" i="33"/>
  <c r="G107" i="33"/>
  <c r="G100" i="33"/>
  <c r="G80" i="33"/>
  <c r="G68" i="33"/>
  <c r="G94" i="33"/>
  <c r="G79" i="33"/>
  <c r="G78" i="33"/>
  <c r="G93" i="33"/>
  <c r="G77" i="33"/>
  <c r="G69" i="33"/>
  <c r="G58" i="33"/>
  <c r="G53" i="33"/>
  <c r="G88" i="33"/>
  <c r="G203" i="33"/>
  <c r="G201" i="33"/>
  <c r="G198" i="33"/>
  <c r="G171" i="33"/>
  <c r="G170" i="33"/>
  <c r="G143" i="33"/>
  <c r="G142" i="33"/>
  <c r="G136" i="33"/>
  <c r="G183" i="33"/>
  <c r="G182" i="33"/>
  <c r="G144" i="33"/>
  <c r="G179" i="33"/>
  <c r="G178" i="33"/>
  <c r="G157" i="33"/>
  <c r="G140" i="33"/>
  <c r="G137" i="33"/>
  <c r="G114" i="33"/>
  <c r="G113" i="33"/>
  <c r="G116" i="33"/>
  <c r="G103" i="33"/>
  <c r="G159" i="33"/>
  <c r="G135" i="33"/>
  <c r="G111" i="33"/>
  <c r="G123" i="33"/>
  <c r="G99" i="33"/>
  <c r="G97" i="33"/>
  <c r="G89" i="33"/>
  <c r="G98" i="33"/>
  <c r="G67" i="33"/>
  <c r="G102" i="33"/>
  <c r="G84" i="33"/>
  <c r="G76" i="33"/>
  <c r="G81" i="33"/>
  <c r="G55" i="33"/>
  <c r="G37" i="33"/>
  <c r="G30" i="33"/>
  <c r="G42" i="33"/>
  <c r="G25" i="33"/>
  <c r="G26" i="33"/>
  <c r="G24" i="33"/>
  <c r="G15" i="33"/>
  <c r="G54" i="33"/>
  <c r="G49" i="33"/>
  <c r="G51" i="33"/>
  <c r="G47" i="33"/>
  <c r="G56" i="33"/>
  <c r="G48" i="33"/>
  <c r="G13" i="33"/>
  <c r="G32" i="33"/>
  <c r="G38" i="33"/>
  <c r="G50" i="33"/>
  <c r="G45" i="33"/>
  <c r="G46" i="33"/>
  <c r="G23" i="33"/>
  <c r="G17" i="33"/>
  <c r="G14" i="33"/>
  <c r="G8" i="33"/>
  <c r="G40" i="33"/>
  <c r="G27" i="33"/>
  <c r="G19" i="33"/>
  <c r="G10" i="33"/>
  <c r="G41" i="33"/>
  <c r="G39" i="33"/>
  <c r="G21" i="33"/>
  <c r="G20" i="33"/>
  <c r="G59" i="33"/>
  <c r="G66" i="33"/>
  <c r="G61" i="33"/>
  <c r="G16" i="33"/>
  <c r="G57" i="33"/>
  <c r="G36" i="33"/>
  <c r="G60" i="33"/>
  <c r="G52" i="33"/>
  <c r="G44" i="33"/>
  <c r="G18" i="33"/>
  <c r="G7" i="33"/>
  <c r="G34" i="33"/>
  <c r="G33" i="33"/>
  <c r="G22" i="33"/>
  <c r="G9" i="33"/>
  <c r="G28" i="33"/>
  <c r="G43" i="33"/>
  <c r="G11" i="33"/>
  <c r="G35" i="33"/>
  <c r="G276" i="33"/>
  <c r="I9" i="33"/>
  <c r="I22" i="33"/>
  <c r="I44" i="33"/>
  <c r="I48" i="33"/>
  <c r="I52" i="33"/>
  <c r="I56" i="33"/>
  <c r="I60" i="33"/>
  <c r="I10" i="33"/>
  <c r="I26" i="33"/>
  <c r="I33" i="33"/>
  <c r="I41" i="33"/>
  <c r="I80" i="33"/>
  <c r="I84" i="33"/>
  <c r="I88" i="33"/>
  <c r="I92" i="33"/>
  <c r="I69" i="33"/>
  <c r="I73" i="33"/>
  <c r="I77" i="33"/>
  <c r="I81" i="33"/>
  <c r="I85" i="33"/>
  <c r="I63" i="33"/>
  <c r="I93" i="33"/>
  <c r="I101" i="33"/>
  <c r="I105" i="33"/>
  <c r="I109" i="33"/>
  <c r="I113" i="33"/>
  <c r="I117" i="33"/>
  <c r="I121" i="33"/>
  <c r="I125" i="33"/>
  <c r="I129" i="33"/>
  <c r="I95" i="33"/>
  <c r="I102" i="33"/>
  <c r="I106" i="33"/>
  <c r="I133" i="33"/>
  <c r="I137" i="33"/>
  <c r="I197" i="33"/>
  <c r="I134" i="33"/>
  <c r="I138" i="33"/>
  <c r="I142" i="33"/>
  <c r="I146" i="33"/>
  <c r="I150" i="33"/>
  <c r="I154" i="33"/>
  <c r="I158" i="33"/>
  <c r="I162" i="33"/>
  <c r="I166" i="33"/>
  <c r="I170" i="33"/>
  <c r="I174" i="33"/>
  <c r="I178" i="33"/>
  <c r="I182" i="33"/>
  <c r="I186" i="33"/>
  <c r="I190" i="33"/>
  <c r="I194" i="33"/>
  <c r="I198" i="33"/>
  <c r="I202" i="33"/>
  <c r="I135" i="33"/>
  <c r="I159" i="33"/>
  <c r="I205" i="33"/>
  <c r="I209" i="33"/>
  <c r="I213" i="33"/>
  <c r="I217" i="33"/>
  <c r="I221" i="33"/>
  <c r="I225" i="33"/>
  <c r="I229" i="33"/>
  <c r="I233" i="33"/>
  <c r="I241" i="33"/>
  <c r="I245" i="33"/>
  <c r="I249" i="33"/>
  <c r="I253" i="33"/>
  <c r="I257" i="33"/>
  <c r="I261" i="33"/>
  <c r="I265" i="33"/>
  <c r="I270" i="33"/>
  <c r="I207" i="33"/>
  <c r="I211" i="33"/>
  <c r="I235" i="33"/>
  <c r="I239" i="33"/>
  <c r="I278" i="33"/>
  <c r="I282" i="33"/>
  <c r="I286" i="33"/>
  <c r="I290" i="33"/>
  <c r="I294" i="33"/>
  <c r="I298" i="33"/>
  <c r="I302" i="33"/>
  <c r="I306" i="33"/>
  <c r="I310" i="33"/>
  <c r="I279" i="33"/>
  <c r="I283" i="33"/>
  <c r="I289" i="33"/>
  <c r="I288" i="33"/>
  <c r="I301" i="33"/>
  <c r="I300" i="33"/>
  <c r="I295" i="33"/>
  <c r="I277" i="33"/>
  <c r="I293" i="33"/>
  <c r="I292" i="33"/>
  <c r="I287" i="33"/>
  <c r="I272" i="33"/>
  <c r="I266" i="33"/>
  <c r="I238" i="33"/>
  <c r="I252" i="33"/>
  <c r="I251" i="33"/>
  <c r="I246" i="33"/>
  <c r="I248" i="33"/>
  <c r="I247" i="33"/>
  <c r="I242" i="33"/>
  <c r="I165" i="33"/>
  <c r="I203" i="33"/>
  <c r="I199" i="33"/>
  <c r="I192" i="33"/>
  <c r="I305" i="33"/>
  <c r="I304" i="33"/>
  <c r="I299" i="33"/>
  <c r="I271" i="33"/>
  <c r="I311" i="33"/>
  <c r="I297" i="33"/>
  <c r="I296" i="33"/>
  <c r="I291" i="33"/>
  <c r="I309" i="33"/>
  <c r="I308" i="33"/>
  <c r="I303" i="33"/>
  <c r="I206" i="33"/>
  <c r="I268" i="33"/>
  <c r="I267" i="33"/>
  <c r="I262" i="33"/>
  <c r="I236" i="33"/>
  <c r="I208" i="33"/>
  <c r="I264" i="33"/>
  <c r="I263" i="33"/>
  <c r="I258" i="33"/>
  <c r="I181" i="33"/>
  <c r="I175" i="33"/>
  <c r="I164" i="33"/>
  <c r="I153" i="33"/>
  <c r="I147" i="33"/>
  <c r="I313" i="33"/>
  <c r="I312" i="33"/>
  <c r="I307" i="33"/>
  <c r="I244" i="33"/>
  <c r="I243" i="33"/>
  <c r="I216" i="33"/>
  <c r="I215" i="33"/>
  <c r="I212" i="33"/>
  <c r="I240" i="33"/>
  <c r="I210" i="33"/>
  <c r="I269" i="33"/>
  <c r="I237" i="33"/>
  <c r="I224" i="33"/>
  <c r="I223" i="33"/>
  <c r="I218" i="33"/>
  <c r="I220" i="33"/>
  <c r="I219" i="33"/>
  <c r="I214" i="33"/>
  <c r="I191" i="33"/>
  <c r="I180" i="33"/>
  <c r="I152" i="33"/>
  <c r="I201" i="33"/>
  <c r="I274" i="33"/>
  <c r="I285" i="33"/>
  <c r="I284" i="33"/>
  <c r="I275" i="33"/>
  <c r="I273" i="33"/>
  <c r="I281" i="33"/>
  <c r="I280" i="33"/>
  <c r="I260" i="33"/>
  <c r="I259" i="33"/>
  <c r="I254" i="33"/>
  <c r="I232" i="33"/>
  <c r="I231" i="33"/>
  <c r="I226" i="33"/>
  <c r="I256" i="33"/>
  <c r="I255" i="33"/>
  <c r="I250" i="33"/>
  <c r="I228" i="33"/>
  <c r="I227" i="33"/>
  <c r="I222" i="33"/>
  <c r="I234" i="33"/>
  <c r="I230" i="33"/>
  <c r="I196" i="33"/>
  <c r="I193" i="33"/>
  <c r="I136" i="33"/>
  <c r="I155" i="33"/>
  <c r="I144" i="33"/>
  <c r="I157" i="33"/>
  <c r="I151" i="33"/>
  <c r="I140" i="33"/>
  <c r="I116" i="33"/>
  <c r="I110" i="33"/>
  <c r="I103" i="33"/>
  <c r="I122" i="33"/>
  <c r="I111" i="33"/>
  <c r="I123" i="33"/>
  <c r="I99" i="33"/>
  <c r="I98" i="33"/>
  <c r="I94" i="33"/>
  <c r="I89" i="33"/>
  <c r="I71" i="33"/>
  <c r="I70" i="33"/>
  <c r="I96" i="33"/>
  <c r="I91" i="33"/>
  <c r="I90" i="33"/>
  <c r="I87" i="33"/>
  <c r="I86" i="33"/>
  <c r="I76" i="33"/>
  <c r="I161" i="33"/>
  <c r="I173" i="33"/>
  <c r="I167" i="33"/>
  <c r="I169" i="33"/>
  <c r="I163" i="33"/>
  <c r="I156" i="33"/>
  <c r="I130" i="33"/>
  <c r="I126" i="33"/>
  <c r="I115" i="33"/>
  <c r="I97" i="33"/>
  <c r="I79" i="33"/>
  <c r="I78" i="33"/>
  <c r="I177" i="33"/>
  <c r="I171" i="33"/>
  <c r="I160" i="33"/>
  <c r="I149" i="33"/>
  <c r="I143" i="33"/>
  <c r="I200" i="33"/>
  <c r="I189" i="33"/>
  <c r="I183" i="33"/>
  <c r="I172" i="33"/>
  <c r="I185" i="33"/>
  <c r="I179" i="33"/>
  <c r="I168" i="33"/>
  <c r="I120" i="33"/>
  <c r="I114" i="33"/>
  <c r="I124" i="33"/>
  <c r="I108" i="33"/>
  <c r="I67" i="33"/>
  <c r="I65" i="33"/>
  <c r="I72" i="33"/>
  <c r="I59" i="33"/>
  <c r="I204" i="33"/>
  <c r="I187" i="33"/>
  <c r="I176" i="33"/>
  <c r="I148" i="33"/>
  <c r="I188" i="33"/>
  <c r="I145" i="33"/>
  <c r="I139" i="33"/>
  <c r="I195" i="33"/>
  <c r="I184" i="33"/>
  <c r="I141" i="33"/>
  <c r="I119" i="33"/>
  <c r="I131" i="33"/>
  <c r="I128" i="33"/>
  <c r="I104" i="33"/>
  <c r="I127" i="33"/>
  <c r="I112" i="33"/>
  <c r="I132" i="33"/>
  <c r="I118" i="33"/>
  <c r="I107" i="33"/>
  <c r="I100" i="33"/>
  <c r="I83" i="33"/>
  <c r="I82" i="33"/>
  <c r="I68" i="33"/>
  <c r="I75" i="33"/>
  <c r="I74" i="33"/>
  <c r="I66" i="33"/>
  <c r="I64" i="33"/>
  <c r="I54" i="33"/>
  <c r="I49" i="33"/>
  <c r="I27" i="33"/>
  <c r="I34" i="33"/>
  <c r="I40" i="33"/>
  <c r="I32" i="33"/>
  <c r="I25" i="33"/>
  <c r="I13" i="33"/>
  <c r="I7" i="33"/>
  <c r="I30" i="33"/>
  <c r="I12" i="33"/>
  <c r="I53" i="33"/>
  <c r="I55" i="33"/>
  <c r="I38" i="33"/>
  <c r="I14" i="33"/>
  <c r="I50" i="33"/>
  <c r="I45" i="33"/>
  <c r="I46" i="33"/>
  <c r="I23" i="33"/>
  <c r="I17" i="33"/>
  <c r="I39" i="33"/>
  <c r="I24" i="33"/>
  <c r="I20" i="33"/>
  <c r="I16" i="33"/>
  <c r="I36" i="33"/>
  <c r="I21" i="33"/>
  <c r="I15" i="33"/>
  <c r="I31" i="33"/>
  <c r="I61" i="33"/>
  <c r="I51" i="33"/>
  <c r="I62" i="33"/>
  <c r="I57" i="33"/>
  <c r="I47" i="33"/>
  <c r="I42" i="33"/>
  <c r="I29" i="33"/>
  <c r="I58" i="33"/>
  <c r="I8" i="33"/>
  <c r="I19" i="33"/>
  <c r="I37" i="33"/>
  <c r="I18" i="33"/>
  <c r="I28" i="33"/>
  <c r="I43" i="33"/>
  <c r="I276" i="33"/>
  <c r="I35" i="33"/>
  <c r="I11" i="33"/>
  <c r="H15" i="33"/>
  <c r="H27" i="33"/>
  <c r="H42" i="33"/>
  <c r="H64" i="33"/>
  <c r="H66" i="33"/>
  <c r="H93" i="33"/>
  <c r="H98" i="33"/>
  <c r="H132" i="33"/>
  <c r="H272" i="33"/>
  <c r="H305" i="33"/>
  <c r="H304" i="33"/>
  <c r="H299" i="33"/>
  <c r="H271" i="33"/>
  <c r="H311" i="33"/>
  <c r="H297" i="33"/>
  <c r="H296" i="33"/>
  <c r="H291" i="33"/>
  <c r="H309" i="33"/>
  <c r="H308" i="33"/>
  <c r="H303" i="33"/>
  <c r="H306" i="33"/>
  <c r="H290" i="33"/>
  <c r="H282" i="33"/>
  <c r="H206" i="33"/>
  <c r="H268" i="33"/>
  <c r="H267" i="33"/>
  <c r="H262" i="33"/>
  <c r="H236" i="33"/>
  <c r="H208" i="33"/>
  <c r="H264" i="33"/>
  <c r="H263" i="33"/>
  <c r="H258" i="33"/>
  <c r="H261" i="33"/>
  <c r="H245" i="33"/>
  <c r="H225" i="33"/>
  <c r="H196" i="33"/>
  <c r="H181" i="33"/>
  <c r="H175" i="33"/>
  <c r="H153" i="33"/>
  <c r="H147" i="33"/>
  <c r="H313" i="33"/>
  <c r="H312" i="33"/>
  <c r="H307" i="33"/>
  <c r="H302" i="33"/>
  <c r="H286" i="33"/>
  <c r="H270" i="33"/>
  <c r="H244" i="33"/>
  <c r="H243" i="33"/>
  <c r="H216" i="33"/>
  <c r="H215" i="33"/>
  <c r="H212" i="33"/>
  <c r="H240" i="33"/>
  <c r="H210" i="33"/>
  <c r="H224" i="33"/>
  <c r="H223" i="33"/>
  <c r="H218" i="33"/>
  <c r="H220" i="33"/>
  <c r="H219" i="33"/>
  <c r="H214" i="33"/>
  <c r="H257" i="33"/>
  <c r="H241" i="33"/>
  <c r="H221" i="33"/>
  <c r="H205" i="33"/>
  <c r="H191" i="33"/>
  <c r="H274" i="33"/>
  <c r="H285" i="33"/>
  <c r="H284" i="33"/>
  <c r="H275" i="33"/>
  <c r="H281" i="33"/>
  <c r="H280" i="33"/>
  <c r="H298" i="33"/>
  <c r="H260" i="33"/>
  <c r="H259" i="33"/>
  <c r="H254" i="33"/>
  <c r="H232" i="33"/>
  <c r="H231" i="33"/>
  <c r="H226" i="33"/>
  <c r="H256" i="33"/>
  <c r="H255" i="33"/>
  <c r="H250" i="33"/>
  <c r="H228" i="33"/>
  <c r="H227" i="33"/>
  <c r="H222" i="33"/>
  <c r="H234" i="33"/>
  <c r="H230" i="33"/>
  <c r="H253" i="33"/>
  <c r="H233" i="33"/>
  <c r="H217" i="33"/>
  <c r="H209" i="33"/>
  <c r="H164" i="33"/>
  <c r="H204" i="33"/>
  <c r="H193" i="33"/>
  <c r="H289" i="33"/>
  <c r="H288" i="33"/>
  <c r="H283" i="33"/>
  <c r="H301" i="33"/>
  <c r="H300" i="33"/>
  <c r="H295" i="33"/>
  <c r="H277" i="33"/>
  <c r="H273" i="33"/>
  <c r="H279" i="33"/>
  <c r="H293" i="33"/>
  <c r="H292" i="33"/>
  <c r="H287" i="33"/>
  <c r="H310" i="33"/>
  <c r="H294" i="33"/>
  <c r="H278" i="33"/>
  <c r="H266" i="33"/>
  <c r="H238" i="33"/>
  <c r="H269" i="33"/>
  <c r="H252" i="33"/>
  <c r="H251" i="33"/>
  <c r="H246" i="33"/>
  <c r="H237" i="33"/>
  <c r="H248" i="33"/>
  <c r="H247" i="33"/>
  <c r="H242" i="33"/>
  <c r="H265" i="33"/>
  <c r="H249" i="33"/>
  <c r="H229" i="33"/>
  <c r="H213" i="33"/>
  <c r="H180" i="33"/>
  <c r="H165" i="33"/>
  <c r="H152" i="33"/>
  <c r="H203" i="33"/>
  <c r="H176" i="33"/>
  <c r="H161" i="33"/>
  <c r="H148" i="33"/>
  <c r="H207" i="33"/>
  <c r="H197" i="33"/>
  <c r="H188" i="33"/>
  <c r="H173" i="33"/>
  <c r="H167" i="33"/>
  <c r="H184" i="33"/>
  <c r="H169" i="33"/>
  <c r="H163" i="33"/>
  <c r="H119" i="33"/>
  <c r="H130" i="33"/>
  <c r="H126" i="33"/>
  <c r="H198" i="33"/>
  <c r="H182" i="33"/>
  <c r="H166" i="33"/>
  <c r="H158" i="33"/>
  <c r="H142" i="33"/>
  <c r="H134" i="33"/>
  <c r="H127" i="33"/>
  <c r="H107" i="33"/>
  <c r="H97" i="33"/>
  <c r="H68" i="33"/>
  <c r="H77" i="33"/>
  <c r="H117" i="33"/>
  <c r="H101" i="33"/>
  <c r="H79" i="33"/>
  <c r="H78" i="33"/>
  <c r="H69" i="33"/>
  <c r="H80" i="33"/>
  <c r="H58" i="33"/>
  <c r="H53" i="33"/>
  <c r="H52" i="33"/>
  <c r="H201" i="33"/>
  <c r="H192" i="33"/>
  <c r="H177" i="33"/>
  <c r="H171" i="33"/>
  <c r="H149" i="33"/>
  <c r="H143" i="33"/>
  <c r="H136" i="33"/>
  <c r="H189" i="33"/>
  <c r="H183" i="33"/>
  <c r="H144" i="33"/>
  <c r="H133" i="33"/>
  <c r="H185" i="33"/>
  <c r="H179" i="33"/>
  <c r="H140" i="33"/>
  <c r="H120" i="33"/>
  <c r="H114" i="33"/>
  <c r="H159" i="33"/>
  <c r="H103" i="33"/>
  <c r="H194" i="33"/>
  <c r="H178" i="33"/>
  <c r="H162" i="33"/>
  <c r="H154" i="33"/>
  <c r="H138" i="33"/>
  <c r="H124" i="33"/>
  <c r="H111" i="33"/>
  <c r="H123" i="33"/>
  <c r="H108" i="33"/>
  <c r="H99" i="33"/>
  <c r="H106" i="33"/>
  <c r="H67" i="33"/>
  <c r="H65" i="33"/>
  <c r="H129" i="33"/>
  <c r="H113" i="33"/>
  <c r="H105" i="33"/>
  <c r="H76" i="33"/>
  <c r="H81" i="33"/>
  <c r="H92" i="33"/>
  <c r="H84" i="33"/>
  <c r="H199" i="33"/>
  <c r="H187" i="33"/>
  <c r="H239" i="33"/>
  <c r="H211" i="33"/>
  <c r="H145" i="33"/>
  <c r="H139" i="33"/>
  <c r="H195" i="33"/>
  <c r="H156" i="33"/>
  <c r="H141" i="33"/>
  <c r="H137" i="33"/>
  <c r="H135" i="33"/>
  <c r="H128" i="33"/>
  <c r="H115" i="33"/>
  <c r="H104" i="33"/>
  <c r="H190" i="33"/>
  <c r="H174" i="33"/>
  <c r="H150" i="33"/>
  <c r="H112" i="33"/>
  <c r="H118" i="33"/>
  <c r="H100" i="33"/>
  <c r="H83" i="33"/>
  <c r="H82" i="33"/>
  <c r="H102" i="33"/>
  <c r="H94" i="33"/>
  <c r="H125" i="33"/>
  <c r="H109" i="33"/>
  <c r="H73" i="33"/>
  <c r="H75" i="33"/>
  <c r="H74" i="33"/>
  <c r="H88" i="33"/>
  <c r="H31" i="33"/>
  <c r="H19" i="33"/>
  <c r="H160" i="33"/>
  <c r="H235" i="33"/>
  <c r="H200" i="33"/>
  <c r="H172" i="33"/>
  <c r="H155" i="33"/>
  <c r="H168" i="33"/>
  <c r="H157" i="33"/>
  <c r="H151" i="33"/>
  <c r="H131" i="33"/>
  <c r="H116" i="33"/>
  <c r="H110" i="33"/>
  <c r="H202" i="33"/>
  <c r="H186" i="33"/>
  <c r="H170" i="33"/>
  <c r="H146" i="33"/>
  <c r="H122" i="33"/>
  <c r="H95" i="33"/>
  <c r="H89" i="33"/>
  <c r="H71" i="33"/>
  <c r="H70" i="33"/>
  <c r="H91" i="33"/>
  <c r="H90" i="33"/>
  <c r="H85" i="33"/>
  <c r="H121" i="33"/>
  <c r="H96" i="33"/>
  <c r="H87" i="33"/>
  <c r="H86" i="33"/>
  <c r="H72" i="33"/>
  <c r="H59" i="33"/>
  <c r="H38" i="33"/>
  <c r="H50" i="33"/>
  <c r="H45" i="33"/>
  <c r="H44" i="33"/>
  <c r="H46" i="33"/>
  <c r="H23" i="33"/>
  <c r="H17" i="33"/>
  <c r="H20" i="33"/>
  <c r="H14" i="33"/>
  <c r="H16" i="33"/>
  <c r="H10" i="33"/>
  <c r="H41" i="33"/>
  <c r="H36" i="33"/>
  <c r="H21" i="33"/>
  <c r="H9" i="33"/>
  <c r="H61" i="33"/>
  <c r="H60" i="33"/>
  <c r="H62" i="33"/>
  <c r="H57" i="33"/>
  <c r="H56" i="33"/>
  <c r="H18" i="33"/>
  <c r="H7" i="33"/>
  <c r="H24" i="33"/>
  <c r="H33" i="33"/>
  <c r="H29" i="33"/>
  <c r="H22" i="33"/>
  <c r="H55" i="33"/>
  <c r="H34" i="33"/>
  <c r="H63" i="33"/>
  <c r="H37" i="33"/>
  <c r="H30" i="33"/>
  <c r="H8" i="33"/>
  <c r="H26" i="33"/>
  <c r="H54" i="33"/>
  <c r="H49" i="33"/>
  <c r="H48" i="33"/>
  <c r="H51" i="33"/>
  <c r="H47" i="33"/>
  <c r="H40" i="33"/>
  <c r="H32" i="33"/>
  <c r="H25" i="33"/>
  <c r="H13" i="33"/>
  <c r="H39" i="33"/>
  <c r="H12" i="33"/>
  <c r="H276" i="33"/>
  <c r="H28" i="33"/>
  <c r="H43" i="33"/>
  <c r="H35" i="33"/>
  <c r="H11" i="33"/>
  <c r="M314" i="25"/>
  <c r="H6" i="33"/>
  <c r="J6" i="33"/>
  <c r="K6" i="33"/>
  <c r="G6" i="33"/>
  <c r="Q314" i="11"/>
  <c r="K37" i="40" s="1"/>
  <c r="K314" i="11"/>
  <c r="K36" i="40" s="1"/>
  <c r="E6" i="37"/>
  <c r="F6" i="37" s="1"/>
  <c r="I6" i="33"/>
  <c r="L276" i="33" l="1"/>
  <c r="M276" i="33" s="1"/>
  <c r="E282" i="9" s="1"/>
  <c r="L28" i="33"/>
  <c r="M28" i="33" s="1"/>
  <c r="E34" i="9" s="1"/>
  <c r="L33" i="33"/>
  <c r="M33" i="33" s="1"/>
  <c r="E39" i="9" s="1"/>
  <c r="L44" i="33"/>
  <c r="M44" i="33" s="1"/>
  <c r="E50" i="9" s="1"/>
  <c r="L57" i="33"/>
  <c r="M57" i="33" s="1"/>
  <c r="E63" i="9" s="1"/>
  <c r="L59" i="33"/>
  <c r="M59" i="33" s="1"/>
  <c r="E65" i="9" s="1"/>
  <c r="L41" i="33"/>
  <c r="M41" i="33" s="1"/>
  <c r="E47" i="9" s="1"/>
  <c r="L40" i="33"/>
  <c r="M40" i="33" s="1"/>
  <c r="E46" i="9" s="1"/>
  <c r="L23" i="33"/>
  <c r="M23" i="33" s="1"/>
  <c r="E29" i="9" s="1"/>
  <c r="L38" i="33"/>
  <c r="M38" i="33" s="1"/>
  <c r="E44" i="9" s="1"/>
  <c r="L56" i="33"/>
  <c r="M56" i="33" s="1"/>
  <c r="E62" i="9" s="1"/>
  <c r="L54" i="33"/>
  <c r="M54" i="33" s="1"/>
  <c r="E60" i="9" s="1"/>
  <c r="L25" i="33"/>
  <c r="M25" i="33" s="1"/>
  <c r="E31" i="9" s="1"/>
  <c r="L55" i="33"/>
  <c r="M55" i="33" s="1"/>
  <c r="E61" i="9" s="1"/>
  <c r="L102" i="33"/>
  <c r="M102" i="33" s="1"/>
  <c r="E108" i="9" s="1"/>
  <c r="L97" i="33"/>
  <c r="M97" i="33" s="1"/>
  <c r="E103" i="9" s="1"/>
  <c r="L135" i="33"/>
  <c r="M135" i="33" s="1"/>
  <c r="E141" i="9" s="1"/>
  <c r="L113" i="33"/>
  <c r="M113" i="33" s="1"/>
  <c r="E119" i="9" s="1"/>
  <c r="L157" i="33"/>
  <c r="M157" i="33" s="1"/>
  <c r="E163" i="9" s="1"/>
  <c r="L182" i="33"/>
  <c r="M182" i="33" s="1"/>
  <c r="E188" i="9" s="1"/>
  <c r="L143" i="33"/>
  <c r="M143" i="33" s="1"/>
  <c r="E149" i="9" s="1"/>
  <c r="L201" i="33"/>
  <c r="M201" i="33" s="1"/>
  <c r="E207" i="9" s="1"/>
  <c r="L58" i="33"/>
  <c r="M58" i="33" s="1"/>
  <c r="E64" i="9" s="1"/>
  <c r="L78" i="33"/>
  <c r="M78" i="33" s="1"/>
  <c r="E84" i="9" s="1"/>
  <c r="L80" i="33"/>
  <c r="M80" i="33" s="1"/>
  <c r="E86" i="9" s="1"/>
  <c r="L127" i="33"/>
  <c r="M127" i="33" s="1"/>
  <c r="E133" i="9" s="1"/>
  <c r="L125" i="33"/>
  <c r="M125" i="33" s="1"/>
  <c r="E131" i="9" s="1"/>
  <c r="L119" i="33"/>
  <c r="M119" i="33" s="1"/>
  <c r="E125" i="9" s="1"/>
  <c r="L184" i="33"/>
  <c r="M184" i="33" s="1"/>
  <c r="E190" i="9" s="1"/>
  <c r="L188" i="33"/>
  <c r="M188" i="33" s="1"/>
  <c r="E194" i="9" s="1"/>
  <c r="L209" i="33"/>
  <c r="M209" i="33" s="1"/>
  <c r="E215" i="9" s="1"/>
  <c r="L90" i="33"/>
  <c r="M90" i="33" s="1"/>
  <c r="E96" i="9" s="1"/>
  <c r="L71" i="33"/>
  <c r="M71" i="33" s="1"/>
  <c r="E77" i="9" s="1"/>
  <c r="L121" i="33"/>
  <c r="M121" i="33" s="1"/>
  <c r="E127" i="9" s="1"/>
  <c r="L109" i="33"/>
  <c r="M109" i="33" s="1"/>
  <c r="E115" i="9" s="1"/>
  <c r="L151" i="33"/>
  <c r="M151" i="33" s="1"/>
  <c r="E157" i="9" s="1"/>
  <c r="L155" i="33"/>
  <c r="M155" i="33" s="1"/>
  <c r="E161" i="9" s="1"/>
  <c r="L149" i="33"/>
  <c r="M149" i="33" s="1"/>
  <c r="E155" i="9" s="1"/>
  <c r="L213" i="33"/>
  <c r="M213" i="33" s="1"/>
  <c r="E219" i="9" s="1"/>
  <c r="L73" i="33"/>
  <c r="M73" i="33" s="1"/>
  <c r="E79" i="9" s="1"/>
  <c r="L106" i="33"/>
  <c r="M106" i="33" s="1"/>
  <c r="E112" i="9" s="1"/>
  <c r="L117" i="33"/>
  <c r="M117" i="33" s="1"/>
  <c r="E123" i="9" s="1"/>
  <c r="L133" i="33"/>
  <c r="M133" i="33" s="1"/>
  <c r="E139" i="9" s="1"/>
  <c r="L194" i="33"/>
  <c r="M194" i="33" s="1"/>
  <c r="E200" i="9" s="1"/>
  <c r="L173" i="33"/>
  <c r="M173" i="33" s="1"/>
  <c r="E179" i="9" s="1"/>
  <c r="L187" i="33"/>
  <c r="M187" i="33" s="1"/>
  <c r="E193" i="9" s="1"/>
  <c r="L233" i="33"/>
  <c r="M233" i="33" s="1"/>
  <c r="E239" i="9" s="1"/>
  <c r="L165" i="33"/>
  <c r="M165" i="33" s="1"/>
  <c r="E171" i="9" s="1"/>
  <c r="L220" i="33"/>
  <c r="M220" i="33" s="1"/>
  <c r="E226" i="9" s="1"/>
  <c r="L246" i="33"/>
  <c r="M246" i="33" s="1"/>
  <c r="E252" i="9" s="1"/>
  <c r="L286" i="33"/>
  <c r="M286" i="33" s="1"/>
  <c r="E292" i="9" s="1"/>
  <c r="L211" i="33"/>
  <c r="M211" i="33" s="1"/>
  <c r="E217" i="9" s="1"/>
  <c r="L243" i="33"/>
  <c r="M243" i="33" s="1"/>
  <c r="E249" i="9" s="1"/>
  <c r="L312" i="33"/>
  <c r="M312" i="33" s="1"/>
  <c r="E318" i="9" s="1"/>
  <c r="L193" i="33"/>
  <c r="M193" i="33" s="1"/>
  <c r="E199" i="9" s="1"/>
  <c r="L175" i="33"/>
  <c r="M175" i="33" s="1"/>
  <c r="E181" i="9" s="1"/>
  <c r="L230" i="33"/>
  <c r="M230" i="33" s="1"/>
  <c r="E236" i="9" s="1"/>
  <c r="L208" i="33"/>
  <c r="M208" i="33" s="1"/>
  <c r="E214" i="9" s="1"/>
  <c r="L268" i="33"/>
  <c r="M268" i="33" s="1"/>
  <c r="E274" i="9" s="1"/>
  <c r="L254" i="33"/>
  <c r="M254" i="33" s="1"/>
  <c r="E260" i="9" s="1"/>
  <c r="L309" i="33"/>
  <c r="M309" i="33" s="1"/>
  <c r="E315" i="9" s="1"/>
  <c r="L282" i="33"/>
  <c r="M282" i="33" s="1"/>
  <c r="E288" i="9" s="1"/>
  <c r="L229" i="33"/>
  <c r="M229" i="33" s="1"/>
  <c r="E235" i="9" s="1"/>
  <c r="L265" i="33"/>
  <c r="M265" i="33" s="1"/>
  <c r="E271" i="9" s="1"/>
  <c r="L247" i="33"/>
  <c r="M247" i="33" s="1"/>
  <c r="E253" i="9" s="1"/>
  <c r="L251" i="33"/>
  <c r="M251" i="33" s="1"/>
  <c r="E257" i="9" s="1"/>
  <c r="L235" i="33"/>
  <c r="M235" i="33" s="1"/>
  <c r="E241" i="9" s="1"/>
  <c r="L239" i="33"/>
  <c r="M239" i="33" s="1"/>
  <c r="E245" i="9" s="1"/>
  <c r="L275" i="33"/>
  <c r="M275" i="33" s="1"/>
  <c r="E281" i="9" s="1"/>
  <c r="L288" i="33"/>
  <c r="M288" i="33" s="1"/>
  <c r="E294" i="9" s="1"/>
  <c r="L153" i="33"/>
  <c r="M153" i="33" s="1"/>
  <c r="E159" i="9" s="1"/>
  <c r="L262" i="33"/>
  <c r="M262" i="33" s="1"/>
  <c r="E268" i="9" s="1"/>
  <c r="L256" i="33"/>
  <c r="M256" i="33" s="1"/>
  <c r="E262" i="9" s="1"/>
  <c r="L259" i="33"/>
  <c r="M259" i="33" s="1"/>
  <c r="E265" i="9" s="1"/>
  <c r="L303" i="33"/>
  <c r="M303" i="33" s="1"/>
  <c r="E309" i="9" s="1"/>
  <c r="L311" i="33"/>
  <c r="M311" i="33" s="1"/>
  <c r="E317" i="9" s="1"/>
  <c r="L63" i="33"/>
  <c r="M63" i="33" s="1"/>
  <c r="E69" i="9" s="1"/>
  <c r="L35" i="33"/>
  <c r="M35" i="33" s="1"/>
  <c r="E41" i="9" s="1"/>
  <c r="L9" i="33"/>
  <c r="M9" i="33" s="1"/>
  <c r="E15" i="9" s="1"/>
  <c r="L34" i="33"/>
  <c r="M34" i="33" s="1"/>
  <c r="E40" i="9" s="1"/>
  <c r="L52" i="33"/>
  <c r="M52" i="33" s="1"/>
  <c r="E58" i="9" s="1"/>
  <c r="L16" i="33"/>
  <c r="M16" i="33" s="1"/>
  <c r="E22" i="9" s="1"/>
  <c r="L20" i="33"/>
  <c r="M20" i="33" s="1"/>
  <c r="E26" i="9" s="1"/>
  <c r="L10" i="33"/>
  <c r="M10" i="33" s="1"/>
  <c r="E16" i="9" s="1"/>
  <c r="L8" i="33"/>
  <c r="M8" i="33" s="1"/>
  <c r="E14" i="9" s="1"/>
  <c r="L46" i="33"/>
  <c r="M46" i="33" s="1"/>
  <c r="E52" i="9" s="1"/>
  <c r="L32" i="33"/>
  <c r="M32" i="33" s="1"/>
  <c r="E38" i="9" s="1"/>
  <c r="L47" i="33"/>
  <c r="M47" i="33" s="1"/>
  <c r="E53" i="9" s="1"/>
  <c r="L15" i="33"/>
  <c r="M15" i="33" s="1"/>
  <c r="E21" i="9" s="1"/>
  <c r="L42" i="33"/>
  <c r="M42" i="33" s="1"/>
  <c r="E48" i="9" s="1"/>
  <c r="L81" i="33"/>
  <c r="M81" i="33" s="1"/>
  <c r="E87" i="9" s="1"/>
  <c r="L67" i="33"/>
  <c r="M67" i="33" s="1"/>
  <c r="E73" i="9" s="1"/>
  <c r="L99" i="33"/>
  <c r="M99" i="33" s="1"/>
  <c r="E105" i="9" s="1"/>
  <c r="L159" i="33"/>
  <c r="M159" i="33" s="1"/>
  <c r="E165" i="9" s="1"/>
  <c r="L114" i="33"/>
  <c r="M114" i="33" s="1"/>
  <c r="E120" i="9" s="1"/>
  <c r="L178" i="33"/>
  <c r="M178" i="33" s="1"/>
  <c r="E184" i="9" s="1"/>
  <c r="L183" i="33"/>
  <c r="M183" i="33" s="1"/>
  <c r="E189" i="9" s="1"/>
  <c r="L170" i="33"/>
  <c r="M170" i="33" s="1"/>
  <c r="E176" i="9" s="1"/>
  <c r="L203" i="33"/>
  <c r="M203" i="33" s="1"/>
  <c r="E209" i="9" s="1"/>
  <c r="L69" i="33"/>
  <c r="M69" i="33" s="1"/>
  <c r="E75" i="9" s="1"/>
  <c r="L79" i="33"/>
  <c r="M79" i="33" s="1"/>
  <c r="E85" i="9" s="1"/>
  <c r="L100" i="33"/>
  <c r="M100" i="33" s="1"/>
  <c r="E106" i="9" s="1"/>
  <c r="L131" i="33"/>
  <c r="M131" i="33" s="1"/>
  <c r="E137" i="9" s="1"/>
  <c r="L126" i="33"/>
  <c r="M126" i="33" s="1"/>
  <c r="E132" i="9" s="1"/>
  <c r="L141" i="33"/>
  <c r="M141" i="33" s="1"/>
  <c r="E147" i="9" s="1"/>
  <c r="L145" i="33"/>
  <c r="M145" i="33" s="1"/>
  <c r="E151" i="9" s="1"/>
  <c r="L134" i="33"/>
  <c r="M134" i="33" s="1"/>
  <c r="E140" i="9" s="1"/>
  <c r="L72" i="33"/>
  <c r="M72" i="33" s="1"/>
  <c r="E78" i="9" s="1"/>
  <c r="L91" i="33"/>
  <c r="M91" i="33" s="1"/>
  <c r="E97" i="9" s="1"/>
  <c r="L96" i="33"/>
  <c r="M96" i="33" s="1"/>
  <c r="E102" i="9" s="1"/>
  <c r="L122" i="33"/>
  <c r="M122" i="33" s="1"/>
  <c r="E128" i="9" s="1"/>
  <c r="L110" i="33"/>
  <c r="M110" i="33" s="1"/>
  <c r="E116" i="9" s="1"/>
  <c r="L168" i="33"/>
  <c r="M168" i="33" s="1"/>
  <c r="E174" i="9" s="1"/>
  <c r="L172" i="33"/>
  <c r="M172" i="33" s="1"/>
  <c r="E178" i="9" s="1"/>
  <c r="L160" i="33"/>
  <c r="M160" i="33" s="1"/>
  <c r="E166" i="9" s="1"/>
  <c r="L92" i="33"/>
  <c r="M92" i="33" s="1"/>
  <c r="E98" i="9" s="1"/>
  <c r="L85" i="33"/>
  <c r="M85" i="33" s="1"/>
  <c r="E91" i="9" s="1"/>
  <c r="L65" i="33"/>
  <c r="M65" i="33" s="1"/>
  <c r="E71" i="9" s="1"/>
  <c r="L118" i="33"/>
  <c r="M118" i="33" s="1"/>
  <c r="E124" i="9" s="1"/>
  <c r="L197" i="33"/>
  <c r="M197" i="33" s="1"/>
  <c r="E203" i="9" s="1"/>
  <c r="L195" i="33"/>
  <c r="M195" i="33" s="1"/>
  <c r="E201" i="9" s="1"/>
  <c r="L158" i="33"/>
  <c r="M158" i="33" s="1"/>
  <c r="E164" i="9" s="1"/>
  <c r="L192" i="33"/>
  <c r="M192" i="33" s="1"/>
  <c r="E198" i="9" s="1"/>
  <c r="L245" i="33"/>
  <c r="M245" i="33" s="1"/>
  <c r="E251" i="9" s="1"/>
  <c r="L190" i="33"/>
  <c r="M190" i="33" s="1"/>
  <c r="E196" i="9" s="1"/>
  <c r="L242" i="33"/>
  <c r="M242" i="33" s="1"/>
  <c r="E248" i="9" s="1"/>
  <c r="L238" i="33"/>
  <c r="M238" i="33" s="1"/>
  <c r="E244" i="9" s="1"/>
  <c r="L294" i="33"/>
  <c r="M294" i="33" s="1"/>
  <c r="E300" i="9" s="1"/>
  <c r="L212" i="33"/>
  <c r="M212" i="33" s="1"/>
  <c r="E218" i="9" s="1"/>
  <c r="L244" i="33"/>
  <c r="M244" i="33" s="1"/>
  <c r="E250" i="9" s="1"/>
  <c r="L313" i="33"/>
  <c r="M313" i="33" s="1"/>
  <c r="E319" i="9" s="1"/>
  <c r="L146" i="33"/>
  <c r="M146" i="33" s="1"/>
  <c r="E152" i="9" s="1"/>
  <c r="L196" i="33"/>
  <c r="M196" i="33" s="1"/>
  <c r="E202" i="9" s="1"/>
  <c r="L263" i="33"/>
  <c r="M263" i="33" s="1"/>
  <c r="E269" i="9" s="1"/>
  <c r="L234" i="33"/>
  <c r="M234" i="33" s="1"/>
  <c r="E240" i="9" s="1"/>
  <c r="L222" i="33"/>
  <c r="M222" i="33" s="1"/>
  <c r="E228" i="9" s="1"/>
  <c r="L279" i="33"/>
  <c r="M279" i="33" s="1"/>
  <c r="E285" i="9" s="1"/>
  <c r="L296" i="33"/>
  <c r="M296" i="33" s="1"/>
  <c r="E302" i="9" s="1"/>
  <c r="L304" i="33"/>
  <c r="M304" i="33" s="1"/>
  <c r="E310" i="9" s="1"/>
  <c r="L241" i="33"/>
  <c r="M241" i="33" s="1"/>
  <c r="E247" i="9" s="1"/>
  <c r="L152" i="33"/>
  <c r="M152" i="33" s="1"/>
  <c r="E158" i="9" s="1"/>
  <c r="L248" i="33"/>
  <c r="M248" i="33" s="1"/>
  <c r="E254" i="9" s="1"/>
  <c r="L252" i="33"/>
  <c r="M252" i="33" s="1"/>
  <c r="E258" i="9" s="1"/>
  <c r="L290" i="33"/>
  <c r="M290" i="33" s="1"/>
  <c r="E296" i="9" s="1"/>
  <c r="L292" i="33"/>
  <c r="M292" i="33" s="1"/>
  <c r="E298" i="9" s="1"/>
  <c r="L277" i="33"/>
  <c r="M277" i="33" s="1"/>
  <c r="E283" i="9" s="1"/>
  <c r="L289" i="33"/>
  <c r="M289" i="33" s="1"/>
  <c r="E295" i="9" s="1"/>
  <c r="L164" i="33"/>
  <c r="M164" i="33" s="1"/>
  <c r="E170" i="9" s="1"/>
  <c r="L227" i="33"/>
  <c r="M227" i="33" s="1"/>
  <c r="E233" i="9" s="1"/>
  <c r="L206" i="33"/>
  <c r="M206" i="33" s="1"/>
  <c r="E212" i="9" s="1"/>
  <c r="L260" i="33"/>
  <c r="M260" i="33" s="1"/>
  <c r="E266" i="9" s="1"/>
  <c r="L291" i="33"/>
  <c r="M291" i="33" s="1"/>
  <c r="E297" i="9" s="1"/>
  <c r="L274" i="33"/>
  <c r="M274" i="33" s="1"/>
  <c r="E280" i="9" s="1"/>
  <c r="L62" i="33"/>
  <c r="M62" i="33" s="1"/>
  <c r="E68" i="9" s="1"/>
  <c r="L11" i="33"/>
  <c r="M11" i="33" s="1"/>
  <c r="E17" i="9" s="1"/>
  <c r="L22" i="33"/>
  <c r="M22" i="33" s="1"/>
  <c r="E28" i="9" s="1"/>
  <c r="L7" i="33"/>
  <c r="M7" i="33" s="1"/>
  <c r="E13" i="9" s="1"/>
  <c r="L60" i="33"/>
  <c r="M60" i="33" s="1"/>
  <c r="E66" i="9" s="1"/>
  <c r="L61" i="33"/>
  <c r="M61" i="33" s="1"/>
  <c r="E67" i="9" s="1"/>
  <c r="L21" i="33"/>
  <c r="M21" i="33" s="1"/>
  <c r="E27" i="9" s="1"/>
  <c r="L19" i="33"/>
  <c r="M19" i="33" s="1"/>
  <c r="E25" i="9" s="1"/>
  <c r="L14" i="33"/>
  <c r="M14" i="33" s="1"/>
  <c r="E20" i="9" s="1"/>
  <c r="L45" i="33"/>
  <c r="M45" i="33" s="1"/>
  <c r="E51" i="9" s="1"/>
  <c r="L13" i="33"/>
  <c r="M13" i="33" s="1"/>
  <c r="E19" i="9" s="1"/>
  <c r="L51" i="33"/>
  <c r="M51" i="33" s="1"/>
  <c r="E57" i="9" s="1"/>
  <c r="L24" i="33"/>
  <c r="M24" i="33" s="1"/>
  <c r="E30" i="9" s="1"/>
  <c r="L30" i="33"/>
  <c r="M30" i="33" s="1"/>
  <c r="E36" i="9" s="1"/>
  <c r="L76" i="33"/>
  <c r="M76" i="33" s="1"/>
  <c r="E82" i="9" s="1"/>
  <c r="L98" i="33"/>
  <c r="M98" i="33" s="1"/>
  <c r="E104" i="9" s="1"/>
  <c r="L123" i="33"/>
  <c r="M123" i="33" s="1"/>
  <c r="E129" i="9" s="1"/>
  <c r="L103" i="33"/>
  <c r="M103" i="33" s="1"/>
  <c r="E109" i="9" s="1"/>
  <c r="L137" i="33"/>
  <c r="M137" i="33" s="1"/>
  <c r="E143" i="9" s="1"/>
  <c r="L179" i="33"/>
  <c r="M179" i="33" s="1"/>
  <c r="E185" i="9" s="1"/>
  <c r="L136" i="33"/>
  <c r="M136" i="33" s="1"/>
  <c r="E142" i="9" s="1"/>
  <c r="L171" i="33"/>
  <c r="M171" i="33" s="1"/>
  <c r="E177" i="9" s="1"/>
  <c r="L88" i="33"/>
  <c r="M88" i="33" s="1"/>
  <c r="E94" i="9" s="1"/>
  <c r="L77" i="33"/>
  <c r="M77" i="33" s="1"/>
  <c r="E83" i="9" s="1"/>
  <c r="L94" i="33"/>
  <c r="M94" i="33" s="1"/>
  <c r="E100" i="9" s="1"/>
  <c r="L107" i="33"/>
  <c r="M107" i="33" s="1"/>
  <c r="E113" i="9" s="1"/>
  <c r="L101" i="33"/>
  <c r="M101" i="33" s="1"/>
  <c r="E107" i="9" s="1"/>
  <c r="L128" i="33"/>
  <c r="M128" i="33" s="1"/>
  <c r="E134" i="9" s="1"/>
  <c r="L162" i="33"/>
  <c r="M162" i="33" s="1"/>
  <c r="E168" i="9" s="1"/>
  <c r="L166" i="33"/>
  <c r="M166" i="33" s="1"/>
  <c r="E172" i="9" s="1"/>
  <c r="L148" i="33"/>
  <c r="M148" i="33" s="1"/>
  <c r="E154" i="9" s="1"/>
  <c r="L86" i="33"/>
  <c r="M86" i="33" s="1"/>
  <c r="E92" i="9" s="1"/>
  <c r="L95" i="33"/>
  <c r="M95" i="33" s="1"/>
  <c r="E101" i="9" s="1"/>
  <c r="L105" i="33"/>
  <c r="M105" i="33" s="1"/>
  <c r="E111" i="9" s="1"/>
  <c r="L124" i="33"/>
  <c r="M124" i="33" s="1"/>
  <c r="E130" i="9" s="1"/>
  <c r="L120" i="33"/>
  <c r="M120" i="33" s="1"/>
  <c r="E126" i="9" s="1"/>
  <c r="L185" i="33"/>
  <c r="M185" i="33" s="1"/>
  <c r="E191" i="9" s="1"/>
  <c r="L189" i="33"/>
  <c r="M189" i="33" s="1"/>
  <c r="E195" i="9" s="1"/>
  <c r="L177" i="33"/>
  <c r="M177" i="33" s="1"/>
  <c r="E183" i="9" s="1"/>
  <c r="L31" i="33"/>
  <c r="M31" i="33" s="1"/>
  <c r="E37" i="9" s="1"/>
  <c r="L74" i="33"/>
  <c r="M74" i="33" s="1"/>
  <c r="E80" i="9" s="1"/>
  <c r="L82" i="33"/>
  <c r="M82" i="33" s="1"/>
  <c r="E88" i="9" s="1"/>
  <c r="L115" i="33"/>
  <c r="M115" i="33" s="1"/>
  <c r="E121" i="9" s="1"/>
  <c r="L156" i="33"/>
  <c r="M156" i="33" s="1"/>
  <c r="E162" i="9" s="1"/>
  <c r="L138" i="33"/>
  <c r="M138" i="33" s="1"/>
  <c r="E144" i="9" s="1"/>
  <c r="L161" i="33"/>
  <c r="M161" i="33" s="1"/>
  <c r="E167" i="9" s="1"/>
  <c r="L217" i="33"/>
  <c r="M217" i="33" s="1"/>
  <c r="E223" i="9" s="1"/>
  <c r="L253" i="33"/>
  <c r="M253" i="33" s="1"/>
  <c r="E259" i="9" s="1"/>
  <c r="L191" i="33"/>
  <c r="M191" i="33" s="1"/>
  <c r="E197" i="9" s="1"/>
  <c r="L223" i="33"/>
  <c r="M223" i="33" s="1"/>
  <c r="E229" i="9" s="1"/>
  <c r="L240" i="33"/>
  <c r="M240" i="33" s="1"/>
  <c r="E246" i="9" s="1"/>
  <c r="L302" i="33"/>
  <c r="M302" i="33" s="1"/>
  <c r="E308" i="9" s="1"/>
  <c r="L215" i="33"/>
  <c r="M215" i="33" s="1"/>
  <c r="E221" i="9" s="1"/>
  <c r="L283" i="33"/>
  <c r="M283" i="33" s="1"/>
  <c r="E289" i="9" s="1"/>
  <c r="L295" i="33"/>
  <c r="M295" i="33" s="1"/>
  <c r="E301" i="9" s="1"/>
  <c r="L147" i="33"/>
  <c r="M147" i="33" s="1"/>
  <c r="E153" i="9" s="1"/>
  <c r="L202" i="33"/>
  <c r="M202" i="33" s="1"/>
  <c r="E208" i="9" s="1"/>
  <c r="L264" i="33"/>
  <c r="M264" i="33" s="1"/>
  <c r="E270" i="9" s="1"/>
  <c r="L236" i="33"/>
  <c r="M236" i="33" s="1"/>
  <c r="E242" i="9" s="1"/>
  <c r="L250" i="33"/>
  <c r="M250" i="33" s="1"/>
  <c r="E256" i="9" s="1"/>
  <c r="L278" i="33"/>
  <c r="M278" i="33" s="1"/>
  <c r="E284" i="9" s="1"/>
  <c r="L297" i="33"/>
  <c r="M297" i="33" s="1"/>
  <c r="E303" i="9" s="1"/>
  <c r="L305" i="33"/>
  <c r="M305" i="33" s="1"/>
  <c r="E311" i="9" s="1"/>
  <c r="L249" i="33"/>
  <c r="M249" i="33" s="1"/>
  <c r="E255" i="9" s="1"/>
  <c r="L180" i="33"/>
  <c r="M180" i="33" s="1"/>
  <c r="E186" i="9" s="1"/>
  <c r="L218" i="33"/>
  <c r="M218" i="33" s="1"/>
  <c r="E224" i="9" s="1"/>
  <c r="L269" i="33"/>
  <c r="M269" i="33" s="1"/>
  <c r="E275" i="9" s="1"/>
  <c r="L298" i="33"/>
  <c r="M298" i="33" s="1"/>
  <c r="E304" i="9" s="1"/>
  <c r="L293" i="33"/>
  <c r="M293" i="33" s="1"/>
  <c r="E299" i="9" s="1"/>
  <c r="L300" i="33"/>
  <c r="M300" i="33" s="1"/>
  <c r="E306" i="9" s="1"/>
  <c r="L204" i="33"/>
  <c r="M204" i="33" s="1"/>
  <c r="E210" i="9" s="1"/>
  <c r="L181" i="33"/>
  <c r="M181" i="33" s="1"/>
  <c r="E187" i="9" s="1"/>
  <c r="L228" i="33"/>
  <c r="M228" i="33" s="1"/>
  <c r="E234" i="9" s="1"/>
  <c r="L231" i="33"/>
  <c r="M231" i="33" s="1"/>
  <c r="E237" i="9" s="1"/>
  <c r="L280" i="33"/>
  <c r="M280" i="33" s="1"/>
  <c r="E286" i="9" s="1"/>
  <c r="L284" i="33"/>
  <c r="M284" i="33" s="1"/>
  <c r="E290" i="9" s="1"/>
  <c r="L299" i="33"/>
  <c r="M299" i="33" s="1"/>
  <c r="E305" i="9" s="1"/>
  <c r="L29" i="33"/>
  <c r="M29" i="33" s="1"/>
  <c r="E35" i="9" s="1"/>
  <c r="L43" i="33"/>
  <c r="M43" i="33" s="1"/>
  <c r="E49" i="9" s="1"/>
  <c r="L18" i="33"/>
  <c r="M18" i="33" s="1"/>
  <c r="E24" i="9" s="1"/>
  <c r="L36" i="33"/>
  <c r="M36" i="33" s="1"/>
  <c r="E42" i="9" s="1"/>
  <c r="L66" i="33"/>
  <c r="M66" i="33" s="1"/>
  <c r="E72" i="9" s="1"/>
  <c r="L39" i="33"/>
  <c r="M39" i="33" s="1"/>
  <c r="E45" i="9" s="1"/>
  <c r="L27" i="33"/>
  <c r="M27" i="33" s="1"/>
  <c r="E33" i="9" s="1"/>
  <c r="L17" i="33"/>
  <c r="M17" i="33" s="1"/>
  <c r="E23" i="9" s="1"/>
  <c r="L50" i="33"/>
  <c r="M50" i="33" s="1"/>
  <c r="E56" i="9" s="1"/>
  <c r="L48" i="33"/>
  <c r="M48" i="33" s="1"/>
  <c r="E54" i="9" s="1"/>
  <c r="L49" i="33"/>
  <c r="M49" i="33" s="1"/>
  <c r="E55" i="9" s="1"/>
  <c r="L26" i="33"/>
  <c r="M26" i="33" s="1"/>
  <c r="E32" i="9" s="1"/>
  <c r="L37" i="33"/>
  <c r="M37" i="33" s="1"/>
  <c r="E43" i="9" s="1"/>
  <c r="L84" i="33"/>
  <c r="M84" i="33" s="1"/>
  <c r="E90" i="9" s="1"/>
  <c r="L89" i="33"/>
  <c r="M89" i="33" s="1"/>
  <c r="E95" i="9" s="1"/>
  <c r="L111" i="33"/>
  <c r="M111" i="33" s="1"/>
  <c r="E117" i="9" s="1"/>
  <c r="L116" i="33"/>
  <c r="M116" i="33" s="1"/>
  <c r="E122" i="9" s="1"/>
  <c r="L140" i="33"/>
  <c r="M140" i="33" s="1"/>
  <c r="E146" i="9" s="1"/>
  <c r="L144" i="33"/>
  <c r="M144" i="33" s="1"/>
  <c r="E150" i="9" s="1"/>
  <c r="L142" i="33"/>
  <c r="M142" i="33" s="1"/>
  <c r="E148" i="9" s="1"/>
  <c r="L198" i="33"/>
  <c r="M198" i="33" s="1"/>
  <c r="E204" i="9" s="1"/>
  <c r="L53" i="33"/>
  <c r="M53" i="33" s="1"/>
  <c r="E59" i="9" s="1"/>
  <c r="L93" i="33"/>
  <c r="M93" i="33" s="1"/>
  <c r="E99" i="9" s="1"/>
  <c r="L68" i="33"/>
  <c r="M68" i="33" s="1"/>
  <c r="E74" i="9" s="1"/>
  <c r="L112" i="33"/>
  <c r="M112" i="33" s="1"/>
  <c r="E118" i="9" s="1"/>
  <c r="L104" i="33"/>
  <c r="M104" i="33" s="1"/>
  <c r="E110" i="9" s="1"/>
  <c r="L130" i="33"/>
  <c r="M130" i="33" s="1"/>
  <c r="E136" i="9" s="1"/>
  <c r="L163" i="33"/>
  <c r="M163" i="33" s="1"/>
  <c r="E169" i="9" s="1"/>
  <c r="L167" i="33"/>
  <c r="M167" i="33" s="1"/>
  <c r="E173" i="9" s="1"/>
  <c r="L176" i="33"/>
  <c r="M176" i="33" s="1"/>
  <c r="E182" i="9" s="1"/>
  <c r="L87" i="33"/>
  <c r="M87" i="33" s="1"/>
  <c r="E93" i="9" s="1"/>
  <c r="L70" i="33"/>
  <c r="M70" i="33" s="1"/>
  <c r="E76" i="9" s="1"/>
  <c r="L108" i="33"/>
  <c r="M108" i="33" s="1"/>
  <c r="E114" i="9" s="1"/>
  <c r="L132" i="33"/>
  <c r="M132" i="33" s="1"/>
  <c r="E138" i="9" s="1"/>
  <c r="L150" i="33"/>
  <c r="M150" i="33" s="1"/>
  <c r="E156" i="9" s="1"/>
  <c r="L154" i="33"/>
  <c r="M154" i="33" s="1"/>
  <c r="E160" i="9" s="1"/>
  <c r="L200" i="33"/>
  <c r="M200" i="33" s="1"/>
  <c r="E206" i="9" s="1"/>
  <c r="L199" i="33"/>
  <c r="M199" i="33" s="1"/>
  <c r="E205" i="9" s="1"/>
  <c r="L64" i="33"/>
  <c r="M64" i="33" s="1"/>
  <c r="E70" i="9" s="1"/>
  <c r="L75" i="33"/>
  <c r="M75" i="33" s="1"/>
  <c r="E81" i="9" s="1"/>
  <c r="L83" i="33"/>
  <c r="M83" i="33" s="1"/>
  <c r="E89" i="9" s="1"/>
  <c r="L129" i="33"/>
  <c r="M129" i="33" s="1"/>
  <c r="E135" i="9" s="1"/>
  <c r="L169" i="33"/>
  <c r="M169" i="33" s="1"/>
  <c r="E175" i="9" s="1"/>
  <c r="L139" i="33"/>
  <c r="M139" i="33" s="1"/>
  <c r="E145" i="9" s="1"/>
  <c r="L186" i="33"/>
  <c r="M186" i="33" s="1"/>
  <c r="E192" i="9" s="1"/>
  <c r="L225" i="33"/>
  <c r="M225" i="33" s="1"/>
  <c r="E231" i="9" s="1"/>
  <c r="L261" i="33"/>
  <c r="M261" i="33" s="1"/>
  <c r="E267" i="9" s="1"/>
  <c r="L219" i="33"/>
  <c r="M219" i="33" s="1"/>
  <c r="E225" i="9" s="1"/>
  <c r="L224" i="33"/>
  <c r="M224" i="33" s="1"/>
  <c r="E230" i="9" s="1"/>
  <c r="L266" i="33"/>
  <c r="M266" i="33" s="1"/>
  <c r="E272" i="9" s="1"/>
  <c r="L310" i="33"/>
  <c r="M310" i="33" s="1"/>
  <c r="E316" i="9" s="1"/>
  <c r="L216" i="33"/>
  <c r="M216" i="33" s="1"/>
  <c r="E222" i="9" s="1"/>
  <c r="L287" i="33"/>
  <c r="M287" i="33" s="1"/>
  <c r="E293" i="9" s="1"/>
  <c r="L271" i="33"/>
  <c r="M271" i="33" s="1"/>
  <c r="E277" i="9" s="1"/>
  <c r="L174" i="33"/>
  <c r="M174" i="33" s="1"/>
  <c r="E180" i="9" s="1"/>
  <c r="L270" i="33"/>
  <c r="M270" i="33" s="1"/>
  <c r="E276" i="9" s="1"/>
  <c r="L207" i="33"/>
  <c r="M207" i="33" s="1"/>
  <c r="E213" i="9" s="1"/>
  <c r="L267" i="33"/>
  <c r="M267" i="33" s="1"/>
  <c r="E273" i="9" s="1"/>
  <c r="L226" i="33"/>
  <c r="M226" i="33" s="1"/>
  <c r="E232" i="9" s="1"/>
  <c r="L308" i="33"/>
  <c r="M308" i="33" s="1"/>
  <c r="E314" i="9" s="1"/>
  <c r="L273" i="33"/>
  <c r="M273" i="33" s="1"/>
  <c r="E279" i="9" s="1"/>
  <c r="L221" i="33"/>
  <c r="M221" i="33" s="1"/>
  <c r="E227" i="9" s="1"/>
  <c r="L257" i="33"/>
  <c r="M257" i="33" s="1"/>
  <c r="E263" i="9" s="1"/>
  <c r="L214" i="33"/>
  <c r="M214" i="33" s="1"/>
  <c r="E220" i="9" s="1"/>
  <c r="L237" i="33"/>
  <c r="M237" i="33" s="1"/>
  <c r="E243" i="9" s="1"/>
  <c r="L210" i="33"/>
  <c r="M210" i="33" s="1"/>
  <c r="E216" i="9" s="1"/>
  <c r="L306" i="33"/>
  <c r="M306" i="33" s="1"/>
  <c r="E312" i="9" s="1"/>
  <c r="L307" i="33"/>
  <c r="M307" i="33" s="1"/>
  <c r="E313" i="9" s="1"/>
  <c r="L301" i="33"/>
  <c r="M301" i="33" s="1"/>
  <c r="E307" i="9" s="1"/>
  <c r="L205" i="33"/>
  <c r="M205" i="33" s="1"/>
  <c r="E211" i="9" s="1"/>
  <c r="L258" i="33"/>
  <c r="M258" i="33" s="1"/>
  <c r="E264" i="9" s="1"/>
  <c r="L255" i="33"/>
  <c r="M255" i="33" s="1"/>
  <c r="E261" i="9" s="1"/>
  <c r="L232" i="33"/>
  <c r="M232" i="33" s="1"/>
  <c r="E238" i="9" s="1"/>
  <c r="L281" i="33"/>
  <c r="M281" i="33" s="1"/>
  <c r="E287" i="9" s="1"/>
  <c r="L285" i="33"/>
  <c r="M285" i="33" s="1"/>
  <c r="E291" i="9" s="1"/>
  <c r="L272" i="33"/>
  <c r="M272" i="33" s="1"/>
  <c r="E278" i="9" s="1"/>
  <c r="L12" i="33"/>
  <c r="M12" i="33" s="1"/>
  <c r="E18" i="9" s="1"/>
  <c r="K38" i="40"/>
  <c r="H38" i="40" s="1"/>
  <c r="C38" i="40" s="1"/>
  <c r="R5" i="11" s="1"/>
  <c r="F30" i="48"/>
  <c r="L6" i="33"/>
  <c r="M6" i="33" s="1"/>
  <c r="I6" i="37"/>
  <c r="F314" i="37"/>
  <c r="C37" i="40" l="1"/>
  <c r="L5" i="11" s="1"/>
  <c r="L224" i="11" s="1"/>
  <c r="D18" i="48"/>
  <c r="R54" i="11"/>
  <c r="R17" i="11"/>
  <c r="R223" i="11"/>
  <c r="R284" i="11"/>
  <c r="R106" i="11"/>
  <c r="R110" i="11"/>
  <c r="R44" i="11"/>
  <c r="R204" i="11"/>
  <c r="R102" i="11"/>
  <c r="R99" i="11"/>
  <c r="R164" i="11"/>
  <c r="R275" i="11"/>
  <c r="R72" i="11"/>
  <c r="R192" i="11"/>
  <c r="R30" i="11"/>
  <c r="R178" i="11"/>
  <c r="R69" i="11"/>
  <c r="R173" i="11"/>
  <c r="R236" i="11"/>
  <c r="R242" i="11"/>
  <c r="R232" i="11"/>
  <c r="R29" i="11"/>
  <c r="R172" i="11"/>
  <c r="R119" i="11"/>
  <c r="R231" i="11"/>
  <c r="R25" i="11"/>
  <c r="R220" i="11"/>
  <c r="R251" i="11"/>
  <c r="R154" i="11"/>
  <c r="R46" i="11"/>
  <c r="R70" i="11"/>
  <c r="R105" i="11"/>
  <c r="R24" i="11"/>
  <c r="R202" i="11"/>
  <c r="R212" i="11"/>
  <c r="R67" i="11"/>
  <c r="R274" i="11"/>
  <c r="R157" i="11"/>
  <c r="R33" i="11"/>
  <c r="R41" i="11"/>
  <c r="R125" i="11"/>
  <c r="R228" i="11"/>
  <c r="R52" i="11"/>
  <c r="R151" i="11"/>
  <c r="R135" i="11"/>
  <c r="R31" i="11"/>
  <c r="R234" i="11"/>
  <c r="R304" i="11"/>
  <c r="R21" i="11"/>
  <c r="R132" i="11"/>
  <c r="R203" i="11"/>
  <c r="R300" i="11"/>
  <c r="R168" i="11"/>
  <c r="R285" i="11"/>
  <c r="R207" i="11"/>
  <c r="R155" i="11"/>
  <c r="R221" i="11"/>
  <c r="R179" i="11"/>
  <c r="R49" i="11"/>
  <c r="R11" i="11"/>
  <c r="R276" i="11"/>
  <c r="R244" i="11"/>
  <c r="R149" i="11"/>
  <c r="R293" i="11"/>
  <c r="R112" i="11"/>
  <c r="R219" i="11"/>
  <c r="R174" i="11"/>
  <c r="R268" i="11"/>
  <c r="R278" i="11"/>
  <c r="R233" i="11"/>
  <c r="R269" i="11"/>
  <c r="R209" i="11"/>
  <c r="R177" i="11"/>
  <c r="R156" i="11"/>
  <c r="R241" i="11"/>
  <c r="R309" i="11"/>
  <c r="R107" i="11"/>
  <c r="R96" i="11"/>
  <c r="R84" i="11"/>
  <c r="R14" i="11"/>
  <c r="R200" i="11"/>
  <c r="R310" i="11"/>
  <c r="R113" i="11"/>
  <c r="R184" i="11"/>
  <c r="R59" i="11"/>
  <c r="R235" i="11"/>
  <c r="R182" i="11"/>
  <c r="R270" i="11"/>
  <c r="R217" i="11"/>
  <c r="R38" i="11"/>
  <c r="R8" i="11"/>
  <c r="R81" i="11"/>
  <c r="R195" i="11"/>
  <c r="R312" i="11"/>
  <c r="R68" i="11"/>
  <c r="R257" i="11"/>
  <c r="R20" i="11"/>
  <c r="R23" i="11"/>
  <c r="R48" i="11"/>
  <c r="R12" i="11"/>
  <c r="R239" i="11"/>
  <c r="R51" i="11"/>
  <c r="R80" i="11"/>
  <c r="R121" i="11"/>
  <c r="R104" i="11"/>
  <c r="R130" i="11"/>
  <c r="R53" i="11"/>
  <c r="R283" i="11"/>
  <c r="R128" i="11"/>
  <c r="R58" i="11"/>
  <c r="R287" i="11"/>
  <c r="R101" i="11"/>
  <c r="R158" i="11"/>
  <c r="R111" i="11"/>
  <c r="R27" i="11"/>
  <c r="R15" i="11"/>
  <c r="R308" i="11"/>
  <c r="R116" i="11"/>
  <c r="R225" i="11"/>
  <c r="R175" i="11"/>
  <c r="R146" i="11"/>
  <c r="R100" i="11"/>
  <c r="R85" i="11"/>
  <c r="R136" i="11"/>
  <c r="R57" i="11"/>
  <c r="R301" i="11"/>
  <c r="R87" i="11"/>
  <c r="R295" i="11"/>
  <c r="R188" i="11"/>
  <c r="R249" i="11"/>
  <c r="R139" i="11"/>
  <c r="R191" i="11"/>
  <c r="R35" i="11"/>
  <c r="R43" i="11"/>
  <c r="R142" i="11"/>
  <c r="R246" i="11"/>
  <c r="R185" i="11"/>
  <c r="R42" i="11"/>
  <c r="R290" i="11"/>
  <c r="R245" i="11"/>
  <c r="R165" i="11"/>
  <c r="R240" i="11"/>
  <c r="R306" i="11"/>
  <c r="R297" i="11"/>
  <c r="R263" i="11"/>
  <c r="R56" i="11"/>
  <c r="R271" i="11"/>
  <c r="R266" i="11"/>
  <c r="R166" i="11"/>
  <c r="R226" i="11"/>
  <c r="R160" i="11"/>
  <c r="R7" i="11"/>
  <c r="R218" i="11"/>
  <c r="R194" i="11"/>
  <c r="R292" i="11"/>
  <c r="R19" i="11"/>
  <c r="R148" i="11"/>
  <c r="R247" i="11"/>
  <c r="R122" i="11"/>
  <c r="R95" i="11"/>
  <c r="R108" i="11"/>
  <c r="R34" i="11"/>
  <c r="R152" i="11"/>
  <c r="R210" i="11"/>
  <c r="R147" i="11"/>
  <c r="R145" i="11"/>
  <c r="R36" i="11"/>
  <c r="R260" i="11"/>
  <c r="R16" i="11"/>
  <c r="R138" i="11"/>
  <c r="R280" i="11"/>
  <c r="R40" i="11"/>
  <c r="R299" i="11"/>
  <c r="R61" i="11"/>
  <c r="R39" i="11"/>
  <c r="R9" i="11"/>
  <c r="R163" i="11"/>
  <c r="R206" i="11"/>
  <c r="R171" i="11"/>
  <c r="R63" i="11"/>
  <c r="R65" i="11"/>
  <c r="R196" i="11"/>
  <c r="R224" i="11"/>
  <c r="R199" i="11"/>
  <c r="R144" i="11"/>
  <c r="R77" i="11"/>
  <c r="R243" i="11"/>
  <c r="R75" i="11"/>
  <c r="R237" i="11"/>
  <c r="R120" i="11"/>
  <c r="R66" i="11"/>
  <c r="R286" i="11"/>
  <c r="R254" i="11"/>
  <c r="R262" i="11"/>
  <c r="R62" i="11"/>
  <c r="R238" i="11"/>
  <c r="R124" i="11"/>
  <c r="R71" i="11"/>
  <c r="R153" i="11"/>
  <c r="R222" i="11"/>
  <c r="R86" i="11"/>
  <c r="R127" i="11"/>
  <c r="R129" i="11"/>
  <c r="R294" i="11"/>
  <c r="R169" i="11"/>
  <c r="R93" i="11"/>
  <c r="R26" i="11"/>
  <c r="R79" i="11"/>
  <c r="R115" i="11"/>
  <c r="R92" i="11"/>
  <c r="R227" i="11"/>
  <c r="R73" i="11"/>
  <c r="R187" i="11"/>
  <c r="R313" i="11"/>
  <c r="R47" i="11"/>
  <c r="R176" i="11"/>
  <c r="R60" i="11"/>
  <c r="R302" i="11"/>
  <c r="R250" i="11"/>
  <c r="R109" i="11"/>
  <c r="R288" i="11"/>
  <c r="R307" i="11"/>
  <c r="R281" i="11"/>
  <c r="R140" i="11"/>
  <c r="R189" i="11"/>
  <c r="R131" i="11"/>
  <c r="R143" i="11"/>
  <c r="R201" i="11"/>
  <c r="R215" i="11"/>
  <c r="R6" i="11"/>
  <c r="R159" i="11"/>
  <c r="R289" i="11"/>
  <c r="R279" i="11"/>
  <c r="R296" i="11"/>
  <c r="R180" i="11"/>
  <c r="R255" i="11"/>
  <c r="R137" i="11"/>
  <c r="R10" i="11"/>
  <c r="R98" i="11"/>
  <c r="R267" i="11"/>
  <c r="R261" i="11"/>
  <c r="R50" i="11"/>
  <c r="R298" i="11"/>
  <c r="R94" i="11"/>
  <c r="R259" i="11"/>
  <c r="R197" i="11"/>
  <c r="R193" i="11"/>
  <c r="R162" i="11"/>
  <c r="R229" i="11"/>
  <c r="R190" i="11"/>
  <c r="R18" i="11"/>
  <c r="R273" i="11"/>
  <c r="R13" i="11"/>
  <c r="R167" i="11"/>
  <c r="R264" i="11"/>
  <c r="R123" i="11"/>
  <c r="R126" i="11"/>
  <c r="R117" i="11"/>
  <c r="R141" i="11"/>
  <c r="R114" i="11"/>
  <c r="R170" i="11"/>
  <c r="R183" i="11"/>
  <c r="R277" i="11"/>
  <c r="R82" i="11"/>
  <c r="R32" i="11"/>
  <c r="R22" i="11"/>
  <c r="R248" i="11"/>
  <c r="R45" i="11"/>
  <c r="R303" i="11"/>
  <c r="R230" i="11"/>
  <c r="R90" i="11"/>
  <c r="R83" i="11"/>
  <c r="R64" i="11"/>
  <c r="R76" i="11"/>
  <c r="R133" i="11"/>
  <c r="R291" i="11"/>
  <c r="R216" i="11"/>
  <c r="R282" i="11"/>
  <c r="R198" i="11"/>
  <c r="R161" i="11"/>
  <c r="R211" i="11"/>
  <c r="R253" i="11"/>
  <c r="R265" i="11"/>
  <c r="R258" i="11"/>
  <c r="R186" i="11"/>
  <c r="R134" i="11"/>
  <c r="R205" i="11"/>
  <c r="R118" i="11"/>
  <c r="R150" i="11"/>
  <c r="R37" i="11"/>
  <c r="R181" i="11"/>
  <c r="R305" i="11"/>
  <c r="R97" i="11"/>
  <c r="R208" i="11"/>
  <c r="R213" i="11"/>
  <c r="R89" i="11"/>
  <c r="R103" i="11"/>
  <c r="R214" i="11"/>
  <c r="R91" i="11"/>
  <c r="R74" i="11"/>
  <c r="R55" i="11"/>
  <c r="R88" i="11"/>
  <c r="R252" i="11"/>
  <c r="R311" i="11"/>
  <c r="R78" i="11"/>
  <c r="R28" i="11"/>
  <c r="R256" i="11"/>
  <c r="R272" i="11"/>
  <c r="G16" i="34"/>
  <c r="I314" i="37"/>
  <c r="M314" i="33"/>
  <c r="C7" i="9" s="1"/>
  <c r="E12" i="9"/>
  <c r="L81" i="11" l="1"/>
  <c r="S81" i="11" s="1"/>
  <c r="T81" i="11" s="1"/>
  <c r="L119" i="11"/>
  <c r="S119" i="11" s="1"/>
  <c r="H119" i="25" s="1"/>
  <c r="L219" i="11"/>
  <c r="S219" i="11" s="1"/>
  <c r="L46" i="11"/>
  <c r="S46" i="11" s="1"/>
  <c r="L225" i="11"/>
  <c r="L272" i="11"/>
  <c r="S272" i="11" s="1"/>
  <c r="T272" i="11" s="1"/>
  <c r="L148" i="11"/>
  <c r="S148" i="11" s="1"/>
  <c r="H148" i="25" s="1"/>
  <c r="L268" i="11"/>
  <c r="L193" i="11"/>
  <c r="S193" i="11" s="1"/>
  <c r="L197" i="11"/>
  <c r="S197" i="11" s="1"/>
  <c r="H197" i="25" s="1"/>
  <c r="L79" i="11"/>
  <c r="S79" i="11" s="1"/>
  <c r="L34" i="11"/>
  <c r="S34" i="11" s="1"/>
  <c r="L56" i="11"/>
  <c r="S56" i="11" s="1"/>
  <c r="L16" i="11"/>
  <c r="S16" i="11" s="1"/>
  <c r="H16" i="25" s="1"/>
  <c r="L61" i="11"/>
  <c r="S61" i="11" s="1"/>
  <c r="T61" i="11" s="1"/>
  <c r="L215" i="11"/>
  <c r="S215" i="11" s="1"/>
  <c r="H215" i="25" s="1"/>
  <c r="L32" i="11"/>
  <c r="S32" i="11" s="1"/>
  <c r="T32" i="11" s="1"/>
  <c r="L93" i="11"/>
  <c r="S93" i="11" s="1"/>
  <c r="L242" i="11"/>
  <c r="S242" i="11" s="1"/>
  <c r="L262" i="11"/>
  <c r="S262" i="11" s="1"/>
  <c r="H262" i="25" s="1"/>
  <c r="L270" i="11"/>
  <c r="S270" i="11" s="1"/>
  <c r="L7" i="11"/>
  <c r="S7" i="11" s="1"/>
  <c r="L98" i="11"/>
  <c r="S98" i="11" s="1"/>
  <c r="L156" i="11"/>
  <c r="S156" i="11" s="1"/>
  <c r="L236" i="11"/>
  <c r="S236" i="11" s="1"/>
  <c r="H236" i="25" s="1"/>
  <c r="L168" i="11"/>
  <c r="S168" i="11" s="1"/>
  <c r="L247" i="11"/>
  <c r="S247" i="11" s="1"/>
  <c r="H247" i="25" s="1"/>
  <c r="L231" i="11"/>
  <c r="S231" i="11" s="1"/>
  <c r="L166" i="11"/>
  <c r="S166" i="11" s="1"/>
  <c r="T166" i="11" s="1"/>
  <c r="L105" i="11"/>
  <c r="S105" i="11" s="1"/>
  <c r="L65" i="11"/>
  <c r="S65" i="11" s="1"/>
  <c r="L278" i="11"/>
  <c r="S278" i="11" s="1"/>
  <c r="T278" i="11" s="1"/>
  <c r="L208" i="11"/>
  <c r="S208" i="11" s="1"/>
  <c r="T208" i="11" s="1"/>
  <c r="L211" i="11"/>
  <c r="S211" i="11" s="1"/>
  <c r="L258" i="11"/>
  <c r="S258" i="11" s="1"/>
  <c r="T258" i="11" s="1"/>
  <c r="L48" i="11"/>
  <c r="S48" i="11" s="1"/>
  <c r="T48" i="11" s="1"/>
  <c r="L31" i="11"/>
  <c r="S31" i="11" s="1"/>
  <c r="L41" i="11"/>
  <c r="S41" i="11" s="1"/>
  <c r="L271" i="11"/>
  <c r="S271" i="11" s="1"/>
  <c r="H271" i="25" s="1"/>
  <c r="L70" i="11"/>
  <c r="S70" i="11" s="1"/>
  <c r="H70" i="25" s="1"/>
  <c r="L21" i="11"/>
  <c r="S21" i="11" s="1"/>
  <c r="T21" i="11" s="1"/>
  <c r="L207" i="11"/>
  <c r="S207" i="11" s="1"/>
  <c r="T207" i="11" s="1"/>
  <c r="L18" i="11"/>
  <c r="S18" i="11" s="1"/>
  <c r="L171" i="11"/>
  <c r="S171" i="11" s="1"/>
  <c r="L117" i="11"/>
  <c r="S117" i="11" s="1"/>
  <c r="L182" i="11"/>
  <c r="S182" i="11" s="1"/>
  <c r="L226" i="11"/>
  <c r="S226" i="11" s="1"/>
  <c r="L244" i="11"/>
  <c r="S244" i="11" s="1"/>
  <c r="L121" i="11"/>
  <c r="S121" i="11" s="1"/>
  <c r="L40" i="11"/>
  <c r="S40" i="11" s="1"/>
  <c r="L30" i="11"/>
  <c r="S30" i="11" s="1"/>
  <c r="L199" i="11"/>
  <c r="S199" i="11" s="1"/>
  <c r="T199" i="11" s="1"/>
  <c r="L145" i="11"/>
  <c r="S145" i="11" s="1"/>
  <c r="L306" i="11"/>
  <c r="S306" i="11" s="1"/>
  <c r="L111" i="11"/>
  <c r="S111" i="11" s="1"/>
  <c r="L234" i="11"/>
  <c r="S234" i="11" s="1"/>
  <c r="L149" i="11"/>
  <c r="S149" i="11" s="1"/>
  <c r="L266" i="11"/>
  <c r="S266" i="11" s="1"/>
  <c r="L126" i="11"/>
  <c r="S126" i="11" s="1"/>
  <c r="L216" i="11"/>
  <c r="S216" i="11" s="1"/>
  <c r="H216" i="25" s="1"/>
  <c r="L307" i="11"/>
  <c r="S307" i="11" s="1"/>
  <c r="L131" i="11"/>
  <c r="S131" i="11" s="1"/>
  <c r="T131" i="11" s="1"/>
  <c r="L277" i="11"/>
  <c r="S277" i="11" s="1"/>
  <c r="T277" i="11" s="1"/>
  <c r="L94" i="11"/>
  <c r="S94" i="11" s="1"/>
  <c r="T94" i="11" s="1"/>
  <c r="L130" i="11"/>
  <c r="S130" i="11" s="1"/>
  <c r="L257" i="11"/>
  <c r="S257" i="11" s="1"/>
  <c r="T257" i="11" s="1"/>
  <c r="L229" i="11"/>
  <c r="S229" i="11" s="1"/>
  <c r="L154" i="11"/>
  <c r="S154" i="11" s="1"/>
  <c r="L265" i="11"/>
  <c r="S265" i="11" s="1"/>
  <c r="H265" i="25" s="1"/>
  <c r="L284" i="11"/>
  <c r="S284" i="11" s="1"/>
  <c r="T284" i="11" s="1"/>
  <c r="L84" i="11"/>
  <c r="S84" i="11" s="1"/>
  <c r="L209" i="11"/>
  <c r="S209" i="11" s="1"/>
  <c r="L39" i="11"/>
  <c r="S39" i="11" s="1"/>
  <c r="L170" i="11"/>
  <c r="S170" i="11" s="1"/>
  <c r="T170" i="11" s="1"/>
  <c r="L52" i="11"/>
  <c r="S52" i="11" s="1"/>
  <c r="H52" i="25" s="1"/>
  <c r="L214" i="11"/>
  <c r="S214" i="11" s="1"/>
  <c r="L232" i="11"/>
  <c r="S232" i="11" s="1"/>
  <c r="H232" i="25" s="1"/>
  <c r="L235" i="11"/>
  <c r="S235" i="11" s="1"/>
  <c r="L261" i="11"/>
  <c r="S261" i="11" s="1"/>
  <c r="H261" i="25" s="1"/>
  <c r="L97" i="11"/>
  <c r="S97" i="11" s="1"/>
  <c r="L146" i="11"/>
  <c r="S146" i="11" s="1"/>
  <c r="L109" i="11"/>
  <c r="S109" i="11" s="1"/>
  <c r="L187" i="11"/>
  <c r="S187" i="11" s="1"/>
  <c r="L206" i="11"/>
  <c r="S206" i="11" s="1"/>
  <c r="H206" i="25" s="1"/>
  <c r="L12" i="11"/>
  <c r="S12" i="11" s="1"/>
  <c r="L90" i="11"/>
  <c r="S90" i="11" s="1"/>
  <c r="L273" i="11"/>
  <c r="S273" i="11" s="1"/>
  <c r="T273" i="11" s="1"/>
  <c r="L71" i="11"/>
  <c r="S71" i="11" s="1"/>
  <c r="L169" i="11"/>
  <c r="S169" i="11" s="1"/>
  <c r="L287" i="11"/>
  <c r="S287" i="11" s="1"/>
  <c r="L285" i="11"/>
  <c r="S285" i="11" s="1"/>
  <c r="T285" i="11" s="1"/>
  <c r="L63" i="11"/>
  <c r="S63" i="11" s="1"/>
  <c r="S225" i="11"/>
  <c r="H225" i="25" s="1"/>
  <c r="L217" i="11"/>
  <c r="S217" i="11" s="1"/>
  <c r="L174" i="11"/>
  <c r="S174" i="11" s="1"/>
  <c r="H174" i="25" s="1"/>
  <c r="L227" i="11"/>
  <c r="S227" i="11" s="1"/>
  <c r="H227" i="25" s="1"/>
  <c r="L114" i="11"/>
  <c r="S114" i="11" s="1"/>
  <c r="T114" i="11" s="1"/>
  <c r="L102" i="11"/>
  <c r="S102" i="11" s="1"/>
  <c r="H102" i="25" s="1"/>
  <c r="L60" i="11"/>
  <c r="S60" i="11" s="1"/>
  <c r="L289" i="11"/>
  <c r="S289" i="11" s="1"/>
  <c r="L274" i="11"/>
  <c r="S274" i="11" s="1"/>
  <c r="L309" i="11"/>
  <c r="S309" i="11" s="1"/>
  <c r="L33" i="11"/>
  <c r="S33" i="11" s="1"/>
  <c r="L104" i="11"/>
  <c r="S104" i="11" s="1"/>
  <c r="L281" i="11"/>
  <c r="S281" i="11" s="1"/>
  <c r="H281" i="25" s="1"/>
  <c r="L17" i="11"/>
  <c r="S17" i="11" s="1"/>
  <c r="L19" i="11"/>
  <c r="S19" i="11" s="1"/>
  <c r="T19" i="11" s="1"/>
  <c r="L189" i="11"/>
  <c r="S189" i="11" s="1"/>
  <c r="L144" i="11"/>
  <c r="S144" i="11" s="1"/>
  <c r="L101" i="11"/>
  <c r="S101" i="11" s="1"/>
  <c r="E34" i="48" s="1"/>
  <c r="L298" i="11"/>
  <c r="S298" i="11" s="1"/>
  <c r="T298" i="11" s="1"/>
  <c r="L286" i="11"/>
  <c r="S286" i="11" s="1"/>
  <c r="L264" i="11"/>
  <c r="S264" i="11" s="1"/>
  <c r="L240" i="11"/>
  <c r="S240" i="11" s="1"/>
  <c r="L263" i="11"/>
  <c r="S263" i="11" s="1"/>
  <c r="T263" i="11" s="1"/>
  <c r="L245" i="11"/>
  <c r="S245" i="11" s="1"/>
  <c r="L180" i="11"/>
  <c r="S180" i="11" s="1"/>
  <c r="H180" i="25" s="1"/>
  <c r="L179" i="11"/>
  <c r="S179" i="11" s="1"/>
  <c r="L55" i="11"/>
  <c r="S55" i="11" s="1"/>
  <c r="L75" i="11"/>
  <c r="S75" i="11" s="1"/>
  <c r="L292" i="11"/>
  <c r="S292" i="11" s="1"/>
  <c r="L246" i="11"/>
  <c r="S246" i="11" s="1"/>
  <c r="H246" i="25" s="1"/>
  <c r="L92" i="11"/>
  <c r="S92" i="11" s="1"/>
  <c r="T92" i="11" s="1"/>
  <c r="L181" i="11"/>
  <c r="S181" i="11" s="1"/>
  <c r="L249" i="11"/>
  <c r="S249" i="11" s="1"/>
  <c r="L305" i="11"/>
  <c r="S305" i="11" s="1"/>
  <c r="L118" i="11"/>
  <c r="S118" i="11" s="1"/>
  <c r="L173" i="11"/>
  <c r="S173" i="11" s="1"/>
  <c r="L238" i="11"/>
  <c r="S238" i="11" s="1"/>
  <c r="H238" i="25" s="1"/>
  <c r="L8" i="11"/>
  <c r="S8" i="11" s="1"/>
  <c r="T8" i="11" s="1"/>
  <c r="L29" i="11"/>
  <c r="S29" i="11" s="1"/>
  <c r="T29" i="11" s="1"/>
  <c r="L310" i="11"/>
  <c r="S310" i="11" s="1"/>
  <c r="L177" i="11"/>
  <c r="S177" i="11" s="1"/>
  <c r="L58" i="11"/>
  <c r="S58" i="11" s="1"/>
  <c r="L237" i="11"/>
  <c r="S237" i="11" s="1"/>
  <c r="L107" i="11"/>
  <c r="S107" i="11" s="1"/>
  <c r="H107" i="25" s="1"/>
  <c r="L51" i="11"/>
  <c r="S51" i="11" s="1"/>
  <c r="L172" i="11"/>
  <c r="S172" i="11" s="1"/>
  <c r="T172" i="11" s="1"/>
  <c r="L136" i="11"/>
  <c r="S136" i="11" s="1"/>
  <c r="L175" i="11"/>
  <c r="S175" i="11" s="1"/>
  <c r="L54" i="11"/>
  <c r="S54" i="11" s="1"/>
  <c r="L96" i="11"/>
  <c r="S96" i="11" s="1"/>
  <c r="L191" i="11"/>
  <c r="S191" i="11" s="1"/>
  <c r="L14" i="11"/>
  <c r="S14" i="11" s="1"/>
  <c r="L89" i="11"/>
  <c r="S89" i="11" s="1"/>
  <c r="L20" i="11"/>
  <c r="S20" i="11" s="1"/>
  <c r="L74" i="11"/>
  <c r="S74" i="11" s="1"/>
  <c r="L312" i="11"/>
  <c r="S312" i="11" s="1"/>
  <c r="L11" i="11"/>
  <c r="S11" i="11" s="1"/>
  <c r="L143" i="11"/>
  <c r="S143" i="11" s="1"/>
  <c r="L255" i="11"/>
  <c r="S255" i="11" s="1"/>
  <c r="L293" i="11"/>
  <c r="S293" i="11" s="1"/>
  <c r="L137" i="11"/>
  <c r="S137" i="11" s="1"/>
  <c r="L228" i="11"/>
  <c r="S228" i="11" s="1"/>
  <c r="L76" i="11"/>
  <c r="S76" i="11" s="1"/>
  <c r="T76" i="11" s="1"/>
  <c r="L9" i="11"/>
  <c r="S9" i="11" s="1"/>
  <c r="H9" i="25" s="1"/>
  <c r="L220" i="11"/>
  <c r="S220" i="11" s="1"/>
  <c r="L66" i="11"/>
  <c r="S66" i="11" s="1"/>
  <c r="L185" i="11"/>
  <c r="S185" i="11" s="1"/>
  <c r="L296" i="11"/>
  <c r="S296" i="11" s="1"/>
  <c r="H296" i="25" s="1"/>
  <c r="L188" i="11"/>
  <c r="S188" i="11" s="1"/>
  <c r="L141" i="11"/>
  <c r="S141" i="11" s="1"/>
  <c r="L28" i="11"/>
  <c r="S28" i="11" s="1"/>
  <c r="T28" i="11" s="1"/>
  <c r="L190" i="11"/>
  <c r="S190" i="11" s="1"/>
  <c r="T190" i="11" s="1"/>
  <c r="L67" i="11"/>
  <c r="S67" i="11" s="1"/>
  <c r="L160" i="11"/>
  <c r="S160" i="11" s="1"/>
  <c r="L47" i="11"/>
  <c r="S47" i="11" s="1"/>
  <c r="L50" i="11"/>
  <c r="S50" i="11" s="1"/>
  <c r="H50" i="25" s="1"/>
  <c r="L69" i="11"/>
  <c r="S69" i="11" s="1"/>
  <c r="T69" i="11" s="1"/>
  <c r="L299" i="11"/>
  <c r="S299" i="11" s="1"/>
  <c r="L203" i="11"/>
  <c r="S203" i="11" s="1"/>
  <c r="T203" i="11" s="1"/>
  <c r="L260" i="11"/>
  <c r="S260" i="11" s="1"/>
  <c r="L82" i="11"/>
  <c r="S82" i="11" s="1"/>
  <c r="L59" i="11"/>
  <c r="S59" i="11" s="1"/>
  <c r="H59" i="25" s="1"/>
  <c r="L223" i="11"/>
  <c r="S223" i="11" s="1"/>
  <c r="L186" i="11"/>
  <c r="S186" i="11" s="1"/>
  <c r="L95" i="11"/>
  <c r="S95" i="11" s="1"/>
  <c r="T95" i="11" s="1"/>
  <c r="L167" i="11"/>
  <c r="S167" i="11" s="1"/>
  <c r="H167" i="25" s="1"/>
  <c r="L77" i="11"/>
  <c r="S77" i="11" s="1"/>
  <c r="L6" i="11"/>
  <c r="S6" i="11" s="1"/>
  <c r="L267" i="11"/>
  <c r="S267" i="11" s="1"/>
  <c r="L201" i="11"/>
  <c r="S201" i="11" s="1"/>
  <c r="L35" i="11"/>
  <c r="S35" i="11" s="1"/>
  <c r="L301" i="11"/>
  <c r="S301" i="11" s="1"/>
  <c r="H301" i="25" s="1"/>
  <c r="L230" i="11"/>
  <c r="S230" i="11" s="1"/>
  <c r="L140" i="11"/>
  <c r="S140" i="11" s="1"/>
  <c r="L252" i="11"/>
  <c r="S252" i="11" s="1"/>
  <c r="T252" i="11" s="1"/>
  <c r="L86" i="11"/>
  <c r="S86" i="11" s="1"/>
  <c r="L115" i="11"/>
  <c r="S115" i="11" s="1"/>
  <c r="L23" i="11"/>
  <c r="S23" i="11" s="1"/>
  <c r="L78" i="11"/>
  <c r="S78" i="11" s="1"/>
  <c r="L134" i="11"/>
  <c r="S134" i="11" s="1"/>
  <c r="L45" i="11"/>
  <c r="S45" i="11" s="1"/>
  <c r="T45" i="11" s="1"/>
  <c r="L124" i="11"/>
  <c r="S124" i="11" s="1"/>
  <c r="L24" i="11"/>
  <c r="S24" i="11" s="1"/>
  <c r="L150" i="11"/>
  <c r="S150" i="11" s="1"/>
  <c r="H150" i="25" s="1"/>
  <c r="L290" i="11"/>
  <c r="S290" i="11" s="1"/>
  <c r="T290" i="11" s="1"/>
  <c r="L205" i="11"/>
  <c r="S205" i="11" s="1"/>
  <c r="L53" i="11"/>
  <c r="S53" i="11" s="1"/>
  <c r="L27" i="11"/>
  <c r="S27" i="11" s="1"/>
  <c r="T27" i="11" s="1"/>
  <c r="L133" i="11"/>
  <c r="S133" i="11" s="1"/>
  <c r="L110" i="11"/>
  <c r="S110" i="11" s="1"/>
  <c r="T110" i="11" s="1"/>
  <c r="L38" i="11"/>
  <c r="S38" i="11" s="1"/>
  <c r="L99" i="11"/>
  <c r="S99" i="11" s="1"/>
  <c r="L26" i="11"/>
  <c r="S26" i="11" s="1"/>
  <c r="L112" i="11"/>
  <c r="S112" i="11" s="1"/>
  <c r="L25" i="11"/>
  <c r="S25" i="11" s="1"/>
  <c r="L132" i="11"/>
  <c r="S132" i="11" s="1"/>
  <c r="T132" i="11" s="1"/>
  <c r="L165" i="11"/>
  <c r="S165" i="11" s="1"/>
  <c r="H165" i="25" s="1"/>
  <c r="L73" i="11"/>
  <c r="S73" i="11" s="1"/>
  <c r="T73" i="11" s="1"/>
  <c r="L108" i="11"/>
  <c r="S108" i="11" s="1"/>
  <c r="L221" i="11"/>
  <c r="S221" i="11" s="1"/>
  <c r="T221" i="11" s="1"/>
  <c r="L253" i="11"/>
  <c r="S253" i="11" s="1"/>
  <c r="L64" i="11"/>
  <c r="S64" i="11" s="1"/>
  <c r="T64" i="11" s="1"/>
  <c r="L288" i="11"/>
  <c r="S288" i="11" s="1"/>
  <c r="L250" i="11"/>
  <c r="S250" i="11" s="1"/>
  <c r="L135" i="11"/>
  <c r="S135" i="11" s="1"/>
  <c r="H135" i="25" s="1"/>
  <c r="L37" i="11"/>
  <c r="S37" i="11" s="1"/>
  <c r="H37" i="25" s="1"/>
  <c r="L125" i="11"/>
  <c r="S125" i="11" s="1"/>
  <c r="L127" i="11"/>
  <c r="S127" i="11" s="1"/>
  <c r="L311" i="11"/>
  <c r="S311" i="11" s="1"/>
  <c r="T311" i="11" s="1"/>
  <c r="L297" i="11"/>
  <c r="S297" i="11" s="1"/>
  <c r="L44" i="11"/>
  <c r="S44" i="11" s="1"/>
  <c r="L116" i="11"/>
  <c r="S116" i="11" s="1"/>
  <c r="L36" i="11"/>
  <c r="S36" i="11" s="1"/>
  <c r="L164" i="11"/>
  <c r="S164" i="11" s="1"/>
  <c r="H164" i="25" s="1"/>
  <c r="L243" i="11"/>
  <c r="S243" i="11" s="1"/>
  <c r="L196" i="11"/>
  <c r="S196" i="11" s="1"/>
  <c r="L43" i="11"/>
  <c r="S43" i="11" s="1"/>
  <c r="L291" i="11"/>
  <c r="S291" i="11" s="1"/>
  <c r="H291" i="25" s="1"/>
  <c r="L269" i="11"/>
  <c r="S269" i="11" s="1"/>
  <c r="T269" i="11" s="1"/>
  <c r="L42" i="11"/>
  <c r="S42" i="11" s="1"/>
  <c r="T42" i="11" s="1"/>
  <c r="L87" i="11"/>
  <c r="S87" i="11" s="1"/>
  <c r="L152" i="11"/>
  <c r="S152" i="11" s="1"/>
  <c r="T152" i="11" s="1"/>
  <c r="L129" i="11"/>
  <c r="S129" i="11" s="1"/>
  <c r="L241" i="11"/>
  <c r="S241" i="11" s="1"/>
  <c r="T241" i="11" s="1"/>
  <c r="L183" i="11"/>
  <c r="S183" i="11" s="1"/>
  <c r="H183" i="25" s="1"/>
  <c r="L142" i="11"/>
  <c r="S142" i="11" s="1"/>
  <c r="L295" i="11"/>
  <c r="S295" i="11" s="1"/>
  <c r="L139" i="11"/>
  <c r="S139" i="11" s="1"/>
  <c r="H139" i="25" s="1"/>
  <c r="L128" i="11"/>
  <c r="S128" i="11" s="1"/>
  <c r="L10" i="11"/>
  <c r="S10" i="11" s="1"/>
  <c r="H10" i="25" s="1"/>
  <c r="L178" i="11"/>
  <c r="S178" i="11" s="1"/>
  <c r="H178" i="25" s="1"/>
  <c r="L100" i="11"/>
  <c r="S100" i="11" s="1"/>
  <c r="H100" i="25" s="1"/>
  <c r="L176" i="11"/>
  <c r="S176" i="11" s="1"/>
  <c r="L204" i="11"/>
  <c r="S204" i="11" s="1"/>
  <c r="H204" i="25" s="1"/>
  <c r="L138" i="11"/>
  <c r="S138" i="11" s="1"/>
  <c r="L22" i="11"/>
  <c r="S22" i="11" s="1"/>
  <c r="L103" i="11"/>
  <c r="S103" i="11" s="1"/>
  <c r="L91" i="11"/>
  <c r="S91" i="11" s="1"/>
  <c r="L279" i="11"/>
  <c r="S279" i="11" s="1"/>
  <c r="T279" i="11" s="1"/>
  <c r="L222" i="11"/>
  <c r="S222" i="11" s="1"/>
  <c r="L106" i="11"/>
  <c r="S106" i="11" s="1"/>
  <c r="L162" i="11"/>
  <c r="S162" i="11" s="1"/>
  <c r="L49" i="11"/>
  <c r="S49" i="11" s="1"/>
  <c r="H49" i="25" s="1"/>
  <c r="L218" i="11"/>
  <c r="S218" i="11" s="1"/>
  <c r="T218" i="11" s="1"/>
  <c r="L210" i="11"/>
  <c r="S210" i="11" s="1"/>
  <c r="H210" i="25" s="1"/>
  <c r="L200" i="11"/>
  <c r="S200" i="11" s="1"/>
  <c r="T200" i="11" s="1"/>
  <c r="L302" i="11"/>
  <c r="S302" i="11" s="1"/>
  <c r="L159" i="11"/>
  <c r="S159" i="11" s="1"/>
  <c r="H159" i="25" s="1"/>
  <c r="L113" i="11"/>
  <c r="S113" i="11" s="1"/>
  <c r="H113" i="25" s="1"/>
  <c r="L122" i="11"/>
  <c r="S122" i="11" s="1"/>
  <c r="L280" i="11"/>
  <c r="S280" i="11" s="1"/>
  <c r="L155" i="11"/>
  <c r="S155" i="11" s="1"/>
  <c r="L256" i="11"/>
  <c r="S256" i="11" s="1"/>
  <c r="L198" i="11"/>
  <c r="S198" i="11" s="1"/>
  <c r="L123" i="11"/>
  <c r="S123" i="11" s="1"/>
  <c r="T123" i="11" s="1"/>
  <c r="L202" i="11"/>
  <c r="S202" i="11" s="1"/>
  <c r="L254" i="11"/>
  <c r="S254" i="11" s="1"/>
  <c r="L184" i="11"/>
  <c r="S184" i="11" s="1"/>
  <c r="L62" i="11"/>
  <c r="S62" i="11" s="1"/>
  <c r="L308" i="11"/>
  <c r="S308" i="11" s="1"/>
  <c r="H308" i="25" s="1"/>
  <c r="L88" i="11"/>
  <c r="S88" i="11" s="1"/>
  <c r="L161" i="11"/>
  <c r="S161" i="11" s="1"/>
  <c r="L163" i="11"/>
  <c r="S163" i="11" s="1"/>
  <c r="L85" i="11"/>
  <c r="S85" i="11" s="1"/>
  <c r="L83" i="11"/>
  <c r="S83" i="11" s="1"/>
  <c r="T83" i="11" s="1"/>
  <c r="L239" i="11"/>
  <c r="S239" i="11" s="1"/>
  <c r="T239" i="11" s="1"/>
  <c r="L282" i="11"/>
  <c r="S282" i="11" s="1"/>
  <c r="L233" i="11"/>
  <c r="S233" i="11" s="1"/>
  <c r="H233" i="25" s="1"/>
  <c r="L147" i="11"/>
  <c r="S147" i="11" s="1"/>
  <c r="T147" i="11" s="1"/>
  <c r="L151" i="11"/>
  <c r="S151" i="11" s="1"/>
  <c r="L194" i="11"/>
  <c r="S194" i="11" s="1"/>
  <c r="L195" i="11"/>
  <c r="S195" i="11" s="1"/>
  <c r="H195" i="25" s="1"/>
  <c r="L57" i="11"/>
  <c r="S57" i="11" s="1"/>
  <c r="L275" i="11"/>
  <c r="S275" i="11" s="1"/>
  <c r="L248" i="11"/>
  <c r="S248" i="11" s="1"/>
  <c r="L251" i="11"/>
  <c r="S251" i="11" s="1"/>
  <c r="L283" i="11"/>
  <c r="S283" i="11" s="1"/>
  <c r="L158" i="11"/>
  <c r="S158" i="11" s="1"/>
  <c r="L72" i="11"/>
  <c r="S72" i="11" s="1"/>
  <c r="L276" i="11"/>
  <c r="S276" i="11" s="1"/>
  <c r="L15" i="11"/>
  <c r="S15" i="11" s="1"/>
  <c r="L304" i="11"/>
  <c r="S304" i="11" s="1"/>
  <c r="T304" i="11" s="1"/>
  <c r="L303" i="11"/>
  <c r="S303" i="11" s="1"/>
  <c r="L157" i="11"/>
  <c r="S157" i="11" s="1"/>
  <c r="L120" i="11"/>
  <c r="S120" i="11" s="1"/>
  <c r="T120" i="11" s="1"/>
  <c r="L294" i="11"/>
  <c r="S294" i="11" s="1"/>
  <c r="L313" i="11"/>
  <c r="S313" i="11" s="1"/>
  <c r="T313" i="11" s="1"/>
  <c r="L212" i="11"/>
  <c r="S212" i="11" s="1"/>
  <c r="H212" i="25" s="1"/>
  <c r="L259" i="11"/>
  <c r="S259" i="11" s="1"/>
  <c r="L300" i="11"/>
  <c r="S300" i="11" s="1"/>
  <c r="L153" i="11"/>
  <c r="S153" i="11" s="1"/>
  <c r="H153" i="25" s="1"/>
  <c r="L192" i="11"/>
  <c r="S192" i="11" s="1"/>
  <c r="H192" i="25" s="1"/>
  <c r="L13" i="11"/>
  <c r="S13" i="11" s="1"/>
  <c r="L80" i="11"/>
  <c r="S80" i="11" s="1"/>
  <c r="H80" i="25" s="1"/>
  <c r="L68" i="11"/>
  <c r="S68" i="11" s="1"/>
  <c r="L213" i="11"/>
  <c r="S213" i="11" s="1"/>
  <c r="E320" i="9"/>
  <c r="F18" i="48"/>
  <c r="S224" i="11"/>
  <c r="T224" i="11" s="1"/>
  <c r="G324" i="34"/>
  <c r="H16" i="34"/>
  <c r="R314" i="11"/>
  <c r="D7" i="9"/>
  <c r="C8" i="9"/>
  <c r="D8" i="9" s="1"/>
  <c r="S268" i="11" l="1"/>
  <c r="E33" i="48"/>
  <c r="F34" i="48" s="1"/>
  <c r="T193" i="11"/>
  <c r="H193" i="25"/>
  <c r="H98" i="25"/>
  <c r="T98" i="11"/>
  <c r="T197" i="11"/>
  <c r="T41" i="11"/>
  <c r="H41" i="25"/>
  <c r="T271" i="11"/>
  <c r="T262" i="11"/>
  <c r="T265" i="11"/>
  <c r="T70" i="11"/>
  <c r="T30" i="11"/>
  <c r="H30" i="25"/>
  <c r="H257" i="25"/>
  <c r="H209" i="25"/>
  <c r="T209" i="11"/>
  <c r="T234" i="11"/>
  <c r="H234" i="25"/>
  <c r="H306" i="25"/>
  <c r="T306" i="11"/>
  <c r="T182" i="11"/>
  <c r="H182" i="25"/>
  <c r="H117" i="25"/>
  <c r="T117" i="11"/>
  <c r="H284" i="25"/>
  <c r="T225" i="11"/>
  <c r="H287" i="25"/>
  <c r="T287" i="11"/>
  <c r="H71" i="25"/>
  <c r="T71" i="11"/>
  <c r="H277" i="25"/>
  <c r="H208" i="25"/>
  <c r="H51" i="25"/>
  <c r="T51" i="11"/>
  <c r="T185" i="11"/>
  <c r="H185" i="25"/>
  <c r="T74" i="11"/>
  <c r="H74" i="25"/>
  <c r="H255" i="25"/>
  <c r="T255" i="11"/>
  <c r="T144" i="11"/>
  <c r="H144" i="25"/>
  <c r="H237" i="25"/>
  <c r="T237" i="11"/>
  <c r="H35" i="25"/>
  <c r="T35" i="11"/>
  <c r="T55" i="11"/>
  <c r="H55" i="25"/>
  <c r="T60" i="11"/>
  <c r="H60" i="25"/>
  <c r="T140" i="11"/>
  <c r="H140" i="25"/>
  <c r="H201" i="25"/>
  <c r="T201" i="11"/>
  <c r="T299" i="11"/>
  <c r="H299" i="25"/>
  <c r="H20" i="25"/>
  <c r="T20" i="11"/>
  <c r="H58" i="25"/>
  <c r="T58" i="11"/>
  <c r="T179" i="11"/>
  <c r="H179" i="25"/>
  <c r="T240" i="11"/>
  <c r="H240" i="25"/>
  <c r="T17" i="11"/>
  <c r="H17" i="25"/>
  <c r="T267" i="11"/>
  <c r="H267" i="25"/>
  <c r="T82" i="11"/>
  <c r="H82" i="25"/>
  <c r="T188" i="11"/>
  <c r="H188" i="25"/>
  <c r="T89" i="11"/>
  <c r="H89" i="25"/>
  <c r="H249" i="25"/>
  <c r="T249" i="11"/>
  <c r="H310" i="25"/>
  <c r="T310" i="11"/>
  <c r="T189" i="11"/>
  <c r="H189" i="25"/>
  <c r="T59" i="11"/>
  <c r="H29" i="25"/>
  <c r="H23" i="25"/>
  <c r="T23" i="11"/>
  <c r="H134" i="25"/>
  <c r="T134" i="11"/>
  <c r="T26" i="11"/>
  <c r="H26" i="25"/>
  <c r="H108" i="25"/>
  <c r="T108" i="11"/>
  <c r="T127" i="11"/>
  <c r="H127" i="25"/>
  <c r="H44" i="25"/>
  <c r="T44" i="11"/>
  <c r="H128" i="25"/>
  <c r="T128" i="11"/>
  <c r="H176" i="25"/>
  <c r="T176" i="11"/>
  <c r="T159" i="11"/>
  <c r="T291" i="11"/>
  <c r="T210" i="11"/>
  <c r="T106" i="11"/>
  <c r="H106" i="25"/>
  <c r="H303" i="25"/>
  <c r="T303" i="11"/>
  <c r="H194" i="25"/>
  <c r="T194" i="11"/>
  <c r="T233" i="11"/>
  <c r="H88" i="25"/>
  <c r="T88" i="11"/>
  <c r="T85" i="11"/>
  <c r="H85" i="25"/>
  <c r="H157" i="25"/>
  <c r="T157" i="11"/>
  <c r="H282" i="25"/>
  <c r="T282" i="11"/>
  <c r="H280" i="25"/>
  <c r="T280" i="11"/>
  <c r="T294" i="11"/>
  <c r="H294" i="25"/>
  <c r="H313" i="25"/>
  <c r="T119" i="11"/>
  <c r="L314" i="11"/>
  <c r="H69" i="25"/>
  <c r="H131" i="25"/>
  <c r="T100" i="11"/>
  <c r="H64" i="25"/>
  <c r="H42" i="25"/>
  <c r="T253" i="11"/>
  <c r="T150" i="11"/>
  <c r="T37" i="11"/>
  <c r="H279" i="25"/>
  <c r="T138" i="11"/>
  <c r="T186" i="11"/>
  <c r="H138" i="25"/>
  <c r="H186" i="25"/>
  <c r="T288" i="11"/>
  <c r="T84" i="11"/>
  <c r="T214" i="11"/>
  <c r="H93" i="25"/>
  <c r="T109" i="11"/>
  <c r="T247" i="11"/>
  <c r="T222" i="11"/>
  <c r="H253" i="25"/>
  <c r="H109" i="25"/>
  <c r="H152" i="25"/>
  <c r="H214" i="25"/>
  <c r="H288" i="25"/>
  <c r="H32" i="25"/>
  <c r="H84" i="25"/>
  <c r="T206" i="11"/>
  <c r="H222" i="25"/>
  <c r="T93" i="11"/>
  <c r="H132" i="25"/>
  <c r="T43" i="11"/>
  <c r="T25" i="11"/>
  <c r="H48" i="25"/>
  <c r="T183" i="11"/>
  <c r="T139" i="11"/>
  <c r="T292" i="11"/>
  <c r="H25" i="25"/>
  <c r="H43" i="25"/>
  <c r="H187" i="25"/>
  <c r="H170" i="25"/>
  <c r="H149" i="25"/>
  <c r="H92" i="25"/>
  <c r="H22" i="25"/>
  <c r="T39" i="11"/>
  <c r="H39" i="25"/>
  <c r="T187" i="11"/>
  <c r="T149" i="11"/>
  <c r="T22" i="11"/>
  <c r="H112" i="25"/>
  <c r="H218" i="25"/>
  <c r="H94" i="25"/>
  <c r="T307" i="11"/>
  <c r="T10" i="11"/>
  <c r="T49" i="11"/>
  <c r="H200" i="25"/>
  <c r="H307" i="25"/>
  <c r="H229" i="25"/>
  <c r="H103" i="25"/>
  <c r="T68" i="11"/>
  <c r="T122" i="11"/>
  <c r="T103" i="11"/>
  <c r="H68" i="25"/>
  <c r="H122" i="25"/>
  <c r="H258" i="25"/>
  <c r="H285" i="25"/>
  <c r="T13" i="11"/>
  <c r="T52" i="11"/>
  <c r="T302" i="11"/>
  <c r="T215" i="11"/>
  <c r="H13" i="25"/>
  <c r="T216" i="11"/>
  <c r="T174" i="11"/>
  <c r="T261" i="11"/>
  <c r="T113" i="11"/>
  <c r="T80" i="11"/>
  <c r="H302" i="25"/>
  <c r="H162" i="25"/>
  <c r="H99" i="25"/>
  <c r="T99" i="11"/>
  <c r="H38" i="25"/>
  <c r="T162" i="11"/>
  <c r="T38" i="11"/>
  <c r="T229" i="11"/>
  <c r="H292" i="25"/>
  <c r="H172" i="25"/>
  <c r="H8" i="25"/>
  <c r="H79" i="25"/>
  <c r="T164" i="11"/>
  <c r="H120" i="25"/>
  <c r="T196" i="11"/>
  <c r="T173" i="11"/>
  <c r="T146" i="11"/>
  <c r="H125" i="25"/>
  <c r="H36" i="25"/>
  <c r="H272" i="25"/>
  <c r="H196" i="25"/>
  <c r="H173" i="25"/>
  <c r="T36" i="11"/>
  <c r="H146" i="25"/>
  <c r="T125" i="11"/>
  <c r="T212" i="11"/>
  <c r="T112" i="11"/>
  <c r="T301" i="11"/>
  <c r="T126" i="11"/>
  <c r="H221" i="25"/>
  <c r="T79" i="11"/>
  <c r="H126" i="25"/>
  <c r="H295" i="25"/>
  <c r="T135" i="11"/>
  <c r="H190" i="25"/>
  <c r="H27" i="25"/>
  <c r="H129" i="25"/>
  <c r="H166" i="25"/>
  <c r="H28" i="25"/>
  <c r="T295" i="11"/>
  <c r="T91" i="11"/>
  <c r="H207" i="25"/>
  <c r="H160" i="25"/>
  <c r="T129" i="11"/>
  <c r="H91" i="25"/>
  <c r="H203" i="25"/>
  <c r="T160" i="11"/>
  <c r="T205" i="11"/>
  <c r="T101" i="11"/>
  <c r="H81" i="25"/>
  <c r="T175" i="11"/>
  <c r="T305" i="11"/>
  <c r="H61" i="25"/>
  <c r="H224" i="25"/>
  <c r="H101" i="25"/>
  <c r="H205" i="25"/>
  <c r="H220" i="25"/>
  <c r="H175" i="25"/>
  <c r="T181" i="11"/>
  <c r="H24" i="25"/>
  <c r="T238" i="11"/>
  <c r="H304" i="25"/>
  <c r="T153" i="11"/>
  <c r="T180" i="11"/>
  <c r="H181" i="25"/>
  <c r="T24" i="11"/>
  <c r="T220" i="11"/>
  <c r="H53" i="25"/>
  <c r="H305" i="25"/>
  <c r="T195" i="11"/>
  <c r="H290" i="25"/>
  <c r="T50" i="11"/>
  <c r="H76" i="25"/>
  <c r="T53" i="11"/>
  <c r="H245" i="25"/>
  <c r="H31" i="25"/>
  <c r="T230" i="11"/>
  <c r="H223" i="25"/>
  <c r="H137" i="25"/>
  <c r="H241" i="25"/>
  <c r="T15" i="11"/>
  <c r="T260" i="11"/>
  <c r="H260" i="25"/>
  <c r="T248" i="11"/>
  <c r="H118" i="25"/>
  <c r="T142" i="11"/>
  <c r="H133" i="25"/>
  <c r="T118" i="11"/>
  <c r="T151" i="11"/>
  <c r="T281" i="11"/>
  <c r="H147" i="25"/>
  <c r="T72" i="11"/>
  <c r="T178" i="11"/>
  <c r="H151" i="25"/>
  <c r="H15" i="25"/>
  <c r="T245" i="11"/>
  <c r="T9" i="11"/>
  <c r="H248" i="25"/>
  <c r="T133" i="11"/>
  <c r="H230" i="25"/>
  <c r="H72" i="25"/>
  <c r="T107" i="11"/>
  <c r="H130" i="25"/>
  <c r="T137" i="11"/>
  <c r="T223" i="11"/>
  <c r="H142" i="25"/>
  <c r="T31" i="11"/>
  <c r="T130" i="11"/>
  <c r="T296" i="11"/>
  <c r="H95" i="25"/>
  <c r="H250" i="25"/>
  <c r="H87" i="25"/>
  <c r="T204" i="11"/>
  <c r="H77" i="25"/>
  <c r="T192" i="11"/>
  <c r="T87" i="11"/>
  <c r="T250" i="11"/>
  <c r="T167" i="11"/>
  <c r="H269" i="25"/>
  <c r="T77" i="11"/>
  <c r="H57" i="25"/>
  <c r="T283" i="11"/>
  <c r="T251" i="11"/>
  <c r="T264" i="11"/>
  <c r="T57" i="11"/>
  <c r="T54" i="11"/>
  <c r="H177" i="25"/>
  <c r="H283" i="25"/>
  <c r="T227" i="11"/>
  <c r="H45" i="25"/>
  <c r="H300" i="25"/>
  <c r="H275" i="25"/>
  <c r="H243" i="25"/>
  <c r="H298" i="25"/>
  <c r="H252" i="25"/>
  <c r="T158" i="11"/>
  <c r="H276" i="25"/>
  <c r="H251" i="25"/>
  <c r="T300" i="11"/>
  <c r="H136" i="25"/>
  <c r="T246" i="11"/>
  <c r="T243" i="11"/>
  <c r="H264" i="25"/>
  <c r="H158" i="25"/>
  <c r="H73" i="25"/>
  <c r="H54" i="25"/>
  <c r="T276" i="11"/>
  <c r="T177" i="11"/>
  <c r="H110" i="25"/>
  <c r="T275" i="11"/>
  <c r="T136" i="11"/>
  <c r="T309" i="11"/>
  <c r="H19" i="25"/>
  <c r="T232" i="11"/>
  <c r="T47" i="11"/>
  <c r="T148" i="11"/>
  <c r="H289" i="25"/>
  <c r="H47" i="25"/>
  <c r="T289" i="11"/>
  <c r="H311" i="25"/>
  <c r="H273" i="25"/>
  <c r="H114" i="25"/>
  <c r="T236" i="11"/>
  <c r="H309" i="25"/>
  <c r="H141" i="25"/>
  <c r="H21" i="25"/>
  <c r="T308" i="11"/>
  <c r="T141" i="11"/>
  <c r="T16" i="11"/>
  <c r="T66" i="11"/>
  <c r="H66" i="25"/>
  <c r="T104" i="11"/>
  <c r="T286" i="11"/>
  <c r="H263" i="25"/>
  <c r="H286" i="25"/>
  <c r="H104" i="25"/>
  <c r="T143" i="11"/>
  <c r="H75" i="25"/>
  <c r="T75" i="11"/>
  <c r="H33" i="25"/>
  <c r="H278" i="25"/>
  <c r="T33" i="11"/>
  <c r="H154" i="25"/>
  <c r="T154" i="11"/>
  <c r="T63" i="11"/>
  <c r="H274" i="25"/>
  <c r="H143" i="25"/>
  <c r="H63" i="25"/>
  <c r="H83" i="25"/>
  <c r="T274" i="11"/>
  <c r="H239" i="25"/>
  <c r="H199" i="25"/>
  <c r="T161" i="11"/>
  <c r="H161" i="25"/>
  <c r="H123" i="25"/>
  <c r="T102" i="11"/>
  <c r="T165" i="11"/>
  <c r="H242" i="25"/>
  <c r="T242" i="11"/>
  <c r="T11" i="11"/>
  <c r="H11" i="25"/>
  <c r="H191" i="25"/>
  <c r="T191" i="11"/>
  <c r="H40" i="25"/>
  <c r="T40" i="11"/>
  <c r="T90" i="11"/>
  <c r="H90" i="25"/>
  <c r="H46" i="25"/>
  <c r="T46" i="11"/>
  <c r="T219" i="11"/>
  <c r="H219" i="25"/>
  <c r="T312" i="11"/>
  <c r="H312" i="25"/>
  <c r="T226" i="11"/>
  <c r="H226" i="25"/>
  <c r="H65" i="25"/>
  <c r="T65" i="11"/>
  <c r="T169" i="11"/>
  <c r="H169" i="25"/>
  <c r="H97" i="25"/>
  <c r="T97" i="11"/>
  <c r="H105" i="25"/>
  <c r="T105" i="11"/>
  <c r="T293" i="11"/>
  <c r="H293" i="25"/>
  <c r="H270" i="25"/>
  <c r="T270" i="11"/>
  <c r="T297" i="11"/>
  <c r="H297" i="25"/>
  <c r="H171" i="25"/>
  <c r="T171" i="11"/>
  <c r="H198" i="25"/>
  <c r="T198" i="11"/>
  <c r="H217" i="25"/>
  <c r="T217" i="11"/>
  <c r="H202" i="25"/>
  <c r="T202" i="11"/>
  <c r="T156" i="11"/>
  <c r="H156" i="25"/>
  <c r="H111" i="25"/>
  <c r="T111" i="11"/>
  <c r="H34" i="25"/>
  <c r="T34" i="11"/>
  <c r="H254" i="25"/>
  <c r="T254" i="11"/>
  <c r="T115" i="11"/>
  <c r="H115" i="25"/>
  <c r="H78" i="25"/>
  <c r="T78" i="11"/>
  <c r="H184" i="25"/>
  <c r="T184" i="11"/>
  <c r="H67" i="25"/>
  <c r="T67" i="11"/>
  <c r="T213" i="11"/>
  <c r="H213" i="25"/>
  <c r="T228" i="11"/>
  <c r="H228" i="25"/>
  <c r="T96" i="11"/>
  <c r="H96" i="25"/>
  <c r="H116" i="25"/>
  <c r="T116" i="11"/>
  <c r="H145" i="25"/>
  <c r="T145" i="11"/>
  <c r="H124" i="25"/>
  <c r="T124" i="11"/>
  <c r="H259" i="25"/>
  <c r="T259" i="11"/>
  <c r="F11" i="9"/>
  <c r="B21" i="48"/>
  <c r="T168" i="11"/>
  <c r="H168" i="25"/>
  <c r="H12" i="25"/>
  <c r="T12" i="11"/>
  <c r="T266" i="11"/>
  <c r="H266" i="25"/>
  <c r="T62" i="11"/>
  <c r="H62" i="25"/>
  <c r="T155" i="11"/>
  <c r="H155" i="25"/>
  <c r="H14" i="25"/>
  <c r="T14" i="11"/>
  <c r="H121" i="25"/>
  <c r="T121" i="11"/>
  <c r="H7" i="25"/>
  <c r="T7" i="11"/>
  <c r="H18" i="25"/>
  <c r="T18" i="11"/>
  <c r="H256" i="25"/>
  <c r="T256" i="11"/>
  <c r="T231" i="11"/>
  <c r="H231" i="25"/>
  <c r="H6" i="25"/>
  <c r="T6" i="11"/>
  <c r="T244" i="11"/>
  <c r="H244" i="25"/>
  <c r="T235" i="11"/>
  <c r="H235" i="25"/>
  <c r="T56" i="11"/>
  <c r="H56" i="25"/>
  <c r="H163" i="25"/>
  <c r="T163" i="11"/>
  <c r="H86" i="25"/>
  <c r="T86" i="11"/>
  <c r="H211" i="25"/>
  <c r="T211" i="11"/>
  <c r="H324" i="34"/>
  <c r="G15" i="34"/>
  <c r="H268" i="25" l="1"/>
  <c r="T268" i="11"/>
  <c r="F13" i="9"/>
  <c r="G13" i="9" s="1"/>
  <c r="F15" i="9"/>
  <c r="G15" i="9" s="1"/>
  <c r="F17" i="9"/>
  <c r="G17" i="9" s="1"/>
  <c r="F22" i="9"/>
  <c r="G22" i="9" s="1"/>
  <c r="F24" i="9"/>
  <c r="G24" i="9" s="1"/>
  <c r="F29" i="9"/>
  <c r="G29" i="9" s="1"/>
  <c r="F31" i="9"/>
  <c r="G31" i="9" s="1"/>
  <c r="F33" i="9"/>
  <c r="G33" i="9" s="1"/>
  <c r="F39" i="9"/>
  <c r="G39" i="9" s="1"/>
  <c r="F44" i="9"/>
  <c r="G44" i="9" s="1"/>
  <c r="F46" i="9"/>
  <c r="G46" i="9" s="1"/>
  <c r="F55" i="9"/>
  <c r="G55" i="9" s="1"/>
  <c r="F60" i="9"/>
  <c r="G60" i="9" s="1"/>
  <c r="F62" i="9"/>
  <c r="G62" i="9" s="1"/>
  <c r="F71" i="9"/>
  <c r="G71" i="9" s="1"/>
  <c r="F76" i="9"/>
  <c r="G76" i="9" s="1"/>
  <c r="F78" i="9"/>
  <c r="G78" i="9" s="1"/>
  <c r="F87" i="9"/>
  <c r="G87" i="9" s="1"/>
  <c r="F92" i="9"/>
  <c r="G92" i="9" s="1"/>
  <c r="F94" i="9"/>
  <c r="G94" i="9" s="1"/>
  <c r="F103" i="9"/>
  <c r="G103" i="9" s="1"/>
  <c r="F108" i="9"/>
  <c r="G108" i="9" s="1"/>
  <c r="F110" i="9"/>
  <c r="G110" i="9" s="1"/>
  <c r="F119" i="9"/>
  <c r="G119" i="9" s="1"/>
  <c r="F124" i="9"/>
  <c r="G124" i="9" s="1"/>
  <c r="F126" i="9"/>
  <c r="G126" i="9" s="1"/>
  <c r="F135" i="9"/>
  <c r="G135" i="9" s="1"/>
  <c r="F140" i="9"/>
  <c r="G140" i="9" s="1"/>
  <c r="F142" i="9"/>
  <c r="G142" i="9" s="1"/>
  <c r="F151" i="9"/>
  <c r="G151" i="9" s="1"/>
  <c r="F156" i="9"/>
  <c r="G156" i="9" s="1"/>
  <c r="F158" i="9"/>
  <c r="G158" i="9" s="1"/>
  <c r="F167" i="9"/>
  <c r="G167" i="9" s="1"/>
  <c r="F172" i="9"/>
  <c r="G172" i="9" s="1"/>
  <c r="F174" i="9"/>
  <c r="G174" i="9" s="1"/>
  <c r="F183" i="9"/>
  <c r="G183" i="9" s="1"/>
  <c r="F188" i="9"/>
  <c r="G188" i="9" s="1"/>
  <c r="F190" i="9"/>
  <c r="G190" i="9" s="1"/>
  <c r="F199" i="9"/>
  <c r="G199" i="9" s="1"/>
  <c r="F204" i="9"/>
  <c r="G204" i="9" s="1"/>
  <c r="F206" i="9"/>
  <c r="G206" i="9" s="1"/>
  <c r="F215" i="9"/>
  <c r="G215" i="9" s="1"/>
  <c r="F220" i="9"/>
  <c r="G220" i="9" s="1"/>
  <c r="F222" i="9"/>
  <c r="G222" i="9" s="1"/>
  <c r="F231" i="9"/>
  <c r="G231" i="9" s="1"/>
  <c r="F236" i="9"/>
  <c r="G236" i="9" s="1"/>
  <c r="F238" i="9"/>
  <c r="G238" i="9" s="1"/>
  <c r="F247" i="9"/>
  <c r="G247" i="9" s="1"/>
  <c r="F252" i="9"/>
  <c r="G252" i="9" s="1"/>
  <c r="F254" i="9"/>
  <c r="G254" i="9" s="1"/>
  <c r="F263" i="9"/>
  <c r="G263" i="9" s="1"/>
  <c r="F268" i="9"/>
  <c r="G268" i="9" s="1"/>
  <c r="F270" i="9"/>
  <c r="G270" i="9" s="1"/>
  <c r="F279" i="9"/>
  <c r="G279" i="9" s="1"/>
  <c r="F284" i="9"/>
  <c r="G284" i="9" s="1"/>
  <c r="F286" i="9"/>
  <c r="G286" i="9" s="1"/>
  <c r="F295" i="9"/>
  <c r="G295" i="9" s="1"/>
  <c r="F300" i="9"/>
  <c r="G300" i="9" s="1"/>
  <c r="F302" i="9"/>
  <c r="G302" i="9" s="1"/>
  <c r="F311" i="9"/>
  <c r="G311" i="9" s="1"/>
  <c r="F316" i="9"/>
  <c r="G316" i="9" s="1"/>
  <c r="F318" i="9"/>
  <c r="G318" i="9" s="1"/>
  <c r="F19" i="9"/>
  <c r="G19" i="9" s="1"/>
  <c r="F26" i="9"/>
  <c r="G26" i="9" s="1"/>
  <c r="F28" i="9"/>
  <c r="G28" i="9" s="1"/>
  <c r="F35" i="9"/>
  <c r="G35" i="9" s="1"/>
  <c r="F41" i="9"/>
  <c r="G41" i="9" s="1"/>
  <c r="F43" i="9"/>
  <c r="G43" i="9" s="1"/>
  <c r="F48" i="9"/>
  <c r="G48" i="9" s="1"/>
  <c r="F50" i="9"/>
  <c r="G50" i="9" s="1"/>
  <c r="F52" i="9"/>
  <c r="G52" i="9" s="1"/>
  <c r="F57" i="9"/>
  <c r="G57" i="9" s="1"/>
  <c r="F59" i="9"/>
  <c r="G59" i="9" s="1"/>
  <c r="F64" i="9"/>
  <c r="G64" i="9" s="1"/>
  <c r="F66" i="9"/>
  <c r="G66" i="9" s="1"/>
  <c r="F68" i="9"/>
  <c r="G68" i="9" s="1"/>
  <c r="F73" i="9"/>
  <c r="G73" i="9" s="1"/>
  <c r="F75" i="9"/>
  <c r="G75" i="9" s="1"/>
  <c r="F80" i="9"/>
  <c r="G80" i="9" s="1"/>
  <c r="F82" i="9"/>
  <c r="G82" i="9" s="1"/>
  <c r="F84" i="9"/>
  <c r="G84" i="9" s="1"/>
  <c r="F89" i="9"/>
  <c r="G89" i="9" s="1"/>
  <c r="F91" i="9"/>
  <c r="G91" i="9" s="1"/>
  <c r="F96" i="9"/>
  <c r="G96" i="9" s="1"/>
  <c r="F98" i="9"/>
  <c r="G98" i="9" s="1"/>
  <c r="F100" i="9"/>
  <c r="G100" i="9" s="1"/>
  <c r="F105" i="9"/>
  <c r="G105" i="9" s="1"/>
  <c r="F107" i="9"/>
  <c r="G107" i="9" s="1"/>
  <c r="F112" i="9"/>
  <c r="G112" i="9" s="1"/>
  <c r="F114" i="9"/>
  <c r="G114" i="9" s="1"/>
  <c r="F116" i="9"/>
  <c r="G116" i="9" s="1"/>
  <c r="F121" i="9"/>
  <c r="G121" i="9" s="1"/>
  <c r="F123" i="9"/>
  <c r="G123" i="9" s="1"/>
  <c r="F128" i="9"/>
  <c r="G128" i="9" s="1"/>
  <c r="F130" i="9"/>
  <c r="G130" i="9" s="1"/>
  <c r="F132" i="9"/>
  <c r="G132" i="9" s="1"/>
  <c r="F137" i="9"/>
  <c r="G137" i="9" s="1"/>
  <c r="F139" i="9"/>
  <c r="G139" i="9" s="1"/>
  <c r="F144" i="9"/>
  <c r="G144" i="9" s="1"/>
  <c r="F146" i="9"/>
  <c r="G146" i="9" s="1"/>
  <c r="F148" i="9"/>
  <c r="G148" i="9" s="1"/>
  <c r="F153" i="9"/>
  <c r="G153" i="9" s="1"/>
  <c r="F155" i="9"/>
  <c r="G155" i="9" s="1"/>
  <c r="F160" i="9"/>
  <c r="G160" i="9" s="1"/>
  <c r="F162" i="9"/>
  <c r="G162" i="9" s="1"/>
  <c r="F164" i="9"/>
  <c r="G164" i="9" s="1"/>
  <c r="F169" i="9"/>
  <c r="G169" i="9" s="1"/>
  <c r="F171" i="9"/>
  <c r="G171" i="9" s="1"/>
  <c r="F176" i="9"/>
  <c r="G176" i="9" s="1"/>
  <c r="F178" i="9"/>
  <c r="G178" i="9" s="1"/>
  <c r="F180" i="9"/>
  <c r="G180" i="9" s="1"/>
  <c r="F185" i="9"/>
  <c r="G185" i="9" s="1"/>
  <c r="F187" i="9"/>
  <c r="G187" i="9" s="1"/>
  <c r="F192" i="9"/>
  <c r="G192" i="9" s="1"/>
  <c r="F194" i="9"/>
  <c r="G194" i="9" s="1"/>
  <c r="F196" i="9"/>
  <c r="G196" i="9" s="1"/>
  <c r="F201" i="9"/>
  <c r="G201" i="9" s="1"/>
  <c r="F203" i="9"/>
  <c r="G203" i="9" s="1"/>
  <c r="F208" i="9"/>
  <c r="G208" i="9" s="1"/>
  <c r="F210" i="9"/>
  <c r="G210" i="9" s="1"/>
  <c r="F212" i="9"/>
  <c r="G212" i="9" s="1"/>
  <c r="F217" i="9"/>
  <c r="G217" i="9" s="1"/>
  <c r="F219" i="9"/>
  <c r="G219" i="9" s="1"/>
  <c r="F224" i="9"/>
  <c r="G224" i="9" s="1"/>
  <c r="F226" i="9"/>
  <c r="G226" i="9" s="1"/>
  <c r="F228" i="9"/>
  <c r="G228" i="9" s="1"/>
  <c r="F233" i="9"/>
  <c r="G233" i="9" s="1"/>
  <c r="F235" i="9"/>
  <c r="G235" i="9" s="1"/>
  <c r="F240" i="9"/>
  <c r="G240" i="9" s="1"/>
  <c r="F242" i="9"/>
  <c r="G242" i="9" s="1"/>
  <c r="F244" i="9"/>
  <c r="G244" i="9" s="1"/>
  <c r="F249" i="9"/>
  <c r="G249" i="9" s="1"/>
  <c r="F251" i="9"/>
  <c r="G251" i="9" s="1"/>
  <c r="F256" i="9"/>
  <c r="G256" i="9" s="1"/>
  <c r="F258" i="9"/>
  <c r="G258" i="9" s="1"/>
  <c r="F260" i="9"/>
  <c r="G260" i="9" s="1"/>
  <c r="F265" i="9"/>
  <c r="G265" i="9" s="1"/>
  <c r="F267" i="9"/>
  <c r="G267" i="9" s="1"/>
  <c r="F272" i="9"/>
  <c r="G272" i="9" s="1"/>
  <c r="F274" i="9"/>
  <c r="G274" i="9" s="1"/>
  <c r="F276" i="9"/>
  <c r="G276" i="9" s="1"/>
  <c r="F281" i="9"/>
  <c r="G281" i="9" s="1"/>
  <c r="F283" i="9"/>
  <c r="G283" i="9" s="1"/>
  <c r="F288" i="9"/>
  <c r="G288" i="9" s="1"/>
  <c r="F290" i="9"/>
  <c r="G290" i="9" s="1"/>
  <c r="F292" i="9"/>
  <c r="G292" i="9" s="1"/>
  <c r="F297" i="9"/>
  <c r="G297" i="9" s="1"/>
  <c r="F299" i="9"/>
  <c r="G299" i="9" s="1"/>
  <c r="F304" i="9"/>
  <c r="G304" i="9" s="1"/>
  <c r="F306" i="9"/>
  <c r="G306" i="9" s="1"/>
  <c r="F308" i="9"/>
  <c r="G308" i="9" s="1"/>
  <c r="F313" i="9"/>
  <c r="G313" i="9" s="1"/>
  <c r="F315" i="9"/>
  <c r="G315" i="9" s="1"/>
  <c r="F14" i="9"/>
  <c r="G14" i="9" s="1"/>
  <c r="F16" i="9"/>
  <c r="G16" i="9" s="1"/>
  <c r="F21" i="9"/>
  <c r="G21" i="9" s="1"/>
  <c r="F23" i="9"/>
  <c r="G23" i="9" s="1"/>
  <c r="F25" i="9"/>
  <c r="G25" i="9" s="1"/>
  <c r="F30" i="9"/>
  <c r="G30" i="9" s="1"/>
  <c r="F32" i="9"/>
  <c r="G32" i="9" s="1"/>
  <c r="F37" i="9"/>
  <c r="G37" i="9" s="1"/>
  <c r="F38" i="9"/>
  <c r="G38" i="9" s="1"/>
  <c r="F40" i="9"/>
  <c r="G40" i="9" s="1"/>
  <c r="F45" i="9"/>
  <c r="G45" i="9" s="1"/>
  <c r="F47" i="9"/>
  <c r="G47" i="9" s="1"/>
  <c r="F54" i="9"/>
  <c r="G54" i="9" s="1"/>
  <c r="F56" i="9"/>
  <c r="G56" i="9" s="1"/>
  <c r="F61" i="9"/>
  <c r="G61" i="9" s="1"/>
  <c r="F63" i="9"/>
  <c r="G63" i="9" s="1"/>
  <c r="F70" i="9"/>
  <c r="G70" i="9" s="1"/>
  <c r="F72" i="9"/>
  <c r="G72" i="9" s="1"/>
  <c r="F77" i="9"/>
  <c r="G77" i="9" s="1"/>
  <c r="F79" i="9"/>
  <c r="G79" i="9" s="1"/>
  <c r="F86" i="9"/>
  <c r="G86" i="9" s="1"/>
  <c r="F88" i="9"/>
  <c r="G88" i="9" s="1"/>
  <c r="F93" i="9"/>
  <c r="G93" i="9" s="1"/>
  <c r="F95" i="9"/>
  <c r="G95" i="9" s="1"/>
  <c r="F102" i="9"/>
  <c r="G102" i="9" s="1"/>
  <c r="F104" i="9"/>
  <c r="G104" i="9" s="1"/>
  <c r="F109" i="9"/>
  <c r="G109" i="9" s="1"/>
  <c r="F111" i="9"/>
  <c r="G111" i="9" s="1"/>
  <c r="F118" i="9"/>
  <c r="G118" i="9" s="1"/>
  <c r="F120" i="9"/>
  <c r="G120" i="9" s="1"/>
  <c r="F125" i="9"/>
  <c r="G125" i="9" s="1"/>
  <c r="F127" i="9"/>
  <c r="G127" i="9" s="1"/>
  <c r="F134" i="9"/>
  <c r="G134" i="9" s="1"/>
  <c r="F136" i="9"/>
  <c r="G136" i="9" s="1"/>
  <c r="F141" i="9"/>
  <c r="G141" i="9" s="1"/>
  <c r="F143" i="9"/>
  <c r="G143" i="9" s="1"/>
  <c r="F150" i="9"/>
  <c r="G150" i="9" s="1"/>
  <c r="F152" i="9"/>
  <c r="G152" i="9" s="1"/>
  <c r="F157" i="9"/>
  <c r="G157" i="9" s="1"/>
  <c r="F159" i="9"/>
  <c r="G159" i="9" s="1"/>
  <c r="F166" i="9"/>
  <c r="G166" i="9" s="1"/>
  <c r="F168" i="9"/>
  <c r="G168" i="9" s="1"/>
  <c r="F173" i="9"/>
  <c r="G173" i="9" s="1"/>
  <c r="F175" i="9"/>
  <c r="G175" i="9" s="1"/>
  <c r="F182" i="9"/>
  <c r="G182" i="9" s="1"/>
  <c r="F184" i="9"/>
  <c r="G184" i="9" s="1"/>
  <c r="F189" i="9"/>
  <c r="G189" i="9" s="1"/>
  <c r="F191" i="9"/>
  <c r="G191" i="9" s="1"/>
  <c r="F198" i="9"/>
  <c r="G198" i="9" s="1"/>
  <c r="F200" i="9"/>
  <c r="G200" i="9" s="1"/>
  <c r="F205" i="9"/>
  <c r="G205" i="9" s="1"/>
  <c r="F207" i="9"/>
  <c r="G207" i="9" s="1"/>
  <c r="F214" i="9"/>
  <c r="G214" i="9" s="1"/>
  <c r="F216" i="9"/>
  <c r="G216" i="9" s="1"/>
  <c r="F221" i="9"/>
  <c r="G221" i="9" s="1"/>
  <c r="F223" i="9"/>
  <c r="G223" i="9" s="1"/>
  <c r="F230" i="9"/>
  <c r="G230" i="9" s="1"/>
  <c r="F232" i="9"/>
  <c r="G232" i="9" s="1"/>
  <c r="F237" i="9"/>
  <c r="G237" i="9" s="1"/>
  <c r="F239" i="9"/>
  <c r="G239" i="9" s="1"/>
  <c r="F246" i="9"/>
  <c r="G246" i="9" s="1"/>
  <c r="F248" i="9"/>
  <c r="G248" i="9" s="1"/>
  <c r="F253" i="9"/>
  <c r="G253" i="9" s="1"/>
  <c r="F255" i="9"/>
  <c r="G255" i="9" s="1"/>
  <c r="F262" i="9"/>
  <c r="G262" i="9" s="1"/>
  <c r="F264" i="9"/>
  <c r="G264" i="9" s="1"/>
  <c r="F269" i="9"/>
  <c r="G269" i="9" s="1"/>
  <c r="F271" i="9"/>
  <c r="G271" i="9" s="1"/>
  <c r="F278" i="9"/>
  <c r="G278" i="9" s="1"/>
  <c r="F280" i="9"/>
  <c r="G280" i="9" s="1"/>
  <c r="F285" i="9"/>
  <c r="G285" i="9" s="1"/>
  <c r="F287" i="9"/>
  <c r="G287" i="9" s="1"/>
  <c r="F294" i="9"/>
  <c r="G294" i="9" s="1"/>
  <c r="F296" i="9"/>
  <c r="G296" i="9" s="1"/>
  <c r="F301" i="9"/>
  <c r="G301" i="9" s="1"/>
  <c r="F303" i="9"/>
  <c r="G303" i="9" s="1"/>
  <c r="F310" i="9"/>
  <c r="G310" i="9" s="1"/>
  <c r="F312" i="9"/>
  <c r="G312" i="9" s="1"/>
  <c r="F317" i="9"/>
  <c r="G317" i="9" s="1"/>
  <c r="F319" i="9"/>
  <c r="G319" i="9" s="1"/>
  <c r="F18" i="9"/>
  <c r="G18" i="9" s="1"/>
  <c r="F20" i="9"/>
  <c r="G20" i="9" s="1"/>
  <c r="F27" i="9"/>
  <c r="G27" i="9" s="1"/>
  <c r="F34" i="9"/>
  <c r="G34" i="9" s="1"/>
  <c r="F36" i="9"/>
  <c r="G36" i="9" s="1"/>
  <c r="F42" i="9"/>
  <c r="G42" i="9" s="1"/>
  <c r="F49" i="9"/>
  <c r="G49" i="9" s="1"/>
  <c r="F51" i="9"/>
  <c r="G51" i="9" s="1"/>
  <c r="F53" i="9"/>
  <c r="G53" i="9" s="1"/>
  <c r="F58" i="9"/>
  <c r="G58" i="9" s="1"/>
  <c r="F65" i="9"/>
  <c r="G65" i="9" s="1"/>
  <c r="F67" i="9"/>
  <c r="G67" i="9" s="1"/>
  <c r="F69" i="9"/>
  <c r="G69" i="9" s="1"/>
  <c r="F74" i="9"/>
  <c r="G74" i="9" s="1"/>
  <c r="F81" i="9"/>
  <c r="G81" i="9" s="1"/>
  <c r="F83" i="9"/>
  <c r="G83" i="9" s="1"/>
  <c r="F85" i="9"/>
  <c r="G85" i="9" s="1"/>
  <c r="F90" i="9"/>
  <c r="G90" i="9" s="1"/>
  <c r="F97" i="9"/>
  <c r="G97" i="9" s="1"/>
  <c r="F99" i="9"/>
  <c r="G99" i="9" s="1"/>
  <c r="F101" i="9"/>
  <c r="G101" i="9" s="1"/>
  <c r="F129" i="9"/>
  <c r="G129" i="9" s="1"/>
  <c r="F131" i="9"/>
  <c r="G131" i="9" s="1"/>
  <c r="F133" i="9"/>
  <c r="G133" i="9" s="1"/>
  <c r="F161" i="9"/>
  <c r="G161" i="9" s="1"/>
  <c r="F163" i="9"/>
  <c r="G163" i="9" s="1"/>
  <c r="F165" i="9"/>
  <c r="G165" i="9" s="1"/>
  <c r="F193" i="9"/>
  <c r="G193" i="9" s="1"/>
  <c r="F195" i="9"/>
  <c r="G195" i="9" s="1"/>
  <c r="F197" i="9"/>
  <c r="G197" i="9" s="1"/>
  <c r="F225" i="9"/>
  <c r="G225" i="9" s="1"/>
  <c r="F227" i="9"/>
  <c r="G227" i="9" s="1"/>
  <c r="F229" i="9"/>
  <c r="G229" i="9" s="1"/>
  <c r="F257" i="9"/>
  <c r="G257" i="9" s="1"/>
  <c r="F259" i="9"/>
  <c r="G259" i="9" s="1"/>
  <c r="F261" i="9"/>
  <c r="G261" i="9" s="1"/>
  <c r="F289" i="9"/>
  <c r="G289" i="9" s="1"/>
  <c r="F291" i="9"/>
  <c r="G291" i="9" s="1"/>
  <c r="F293" i="9"/>
  <c r="G293" i="9" s="1"/>
  <c r="F122" i="9"/>
  <c r="G122" i="9" s="1"/>
  <c r="F154" i="9"/>
  <c r="G154" i="9" s="1"/>
  <c r="F186" i="9"/>
  <c r="G186" i="9" s="1"/>
  <c r="F218" i="9"/>
  <c r="G218" i="9" s="1"/>
  <c r="F250" i="9"/>
  <c r="G250" i="9" s="1"/>
  <c r="F282" i="9"/>
  <c r="G282" i="9" s="1"/>
  <c r="F314" i="9"/>
  <c r="G314" i="9" s="1"/>
  <c r="F113" i="9"/>
  <c r="G113" i="9" s="1"/>
  <c r="F115" i="9"/>
  <c r="G115" i="9" s="1"/>
  <c r="F117" i="9"/>
  <c r="G117" i="9" s="1"/>
  <c r="F145" i="9"/>
  <c r="G145" i="9" s="1"/>
  <c r="F147" i="9"/>
  <c r="G147" i="9" s="1"/>
  <c r="F149" i="9"/>
  <c r="G149" i="9" s="1"/>
  <c r="F177" i="9"/>
  <c r="G177" i="9" s="1"/>
  <c r="F179" i="9"/>
  <c r="G179" i="9" s="1"/>
  <c r="F181" i="9"/>
  <c r="G181" i="9" s="1"/>
  <c r="F209" i="9"/>
  <c r="G209" i="9" s="1"/>
  <c r="F211" i="9"/>
  <c r="G211" i="9" s="1"/>
  <c r="F213" i="9"/>
  <c r="G213" i="9" s="1"/>
  <c r="F241" i="9"/>
  <c r="G241" i="9" s="1"/>
  <c r="F243" i="9"/>
  <c r="G243" i="9" s="1"/>
  <c r="F245" i="9"/>
  <c r="G245" i="9" s="1"/>
  <c r="F273" i="9"/>
  <c r="G273" i="9" s="1"/>
  <c r="F275" i="9"/>
  <c r="G275" i="9" s="1"/>
  <c r="F277" i="9"/>
  <c r="G277" i="9" s="1"/>
  <c r="F305" i="9"/>
  <c r="G305" i="9" s="1"/>
  <c r="F307" i="9"/>
  <c r="G307" i="9" s="1"/>
  <c r="F309" i="9"/>
  <c r="G309" i="9" s="1"/>
  <c r="F106" i="9"/>
  <c r="G106" i="9" s="1"/>
  <c r="F138" i="9"/>
  <c r="G138" i="9" s="1"/>
  <c r="F170" i="9"/>
  <c r="G170" i="9" s="1"/>
  <c r="F202" i="9"/>
  <c r="G202" i="9" s="1"/>
  <c r="F234" i="9"/>
  <c r="G234" i="9" s="1"/>
  <c r="F266" i="9"/>
  <c r="G266" i="9" s="1"/>
  <c r="F298" i="9"/>
  <c r="G298" i="9" s="1"/>
  <c r="C8" i="34"/>
  <c r="D8" i="34" s="1"/>
  <c r="T314" i="11"/>
  <c r="H314" i="25"/>
  <c r="F12" i="9"/>
  <c r="D308" i="39" l="1"/>
  <c r="D308" i="12"/>
  <c r="D164" i="12"/>
  <c r="D164" i="39"/>
  <c r="D139" i="39"/>
  <c r="D139" i="12"/>
  <c r="D52" i="39"/>
  <c r="D52" i="12"/>
  <c r="D274" i="12"/>
  <c r="D274" i="39"/>
  <c r="D144" i="12"/>
  <c r="D144" i="39"/>
  <c r="D128" i="12"/>
  <c r="D128" i="39"/>
  <c r="D112" i="39"/>
  <c r="D112" i="12"/>
  <c r="D96" i="12"/>
  <c r="D96" i="39"/>
  <c r="D80" i="12"/>
  <c r="D80" i="39"/>
  <c r="D64" i="39"/>
  <c r="D64" i="12"/>
  <c r="D48" i="12"/>
  <c r="D48" i="39"/>
  <c r="D32" i="39"/>
  <c r="D32" i="12"/>
  <c r="D19" i="39"/>
  <c r="D19" i="12"/>
  <c r="D8" i="39"/>
  <c r="D8" i="12"/>
  <c r="D300" i="39"/>
  <c r="D300" i="12"/>
  <c r="D286" i="12"/>
  <c r="D286" i="39"/>
  <c r="D275" i="39"/>
  <c r="D275" i="12"/>
  <c r="D261" i="12"/>
  <c r="D261" i="39"/>
  <c r="D250" i="12"/>
  <c r="D250" i="39"/>
  <c r="D236" i="39"/>
  <c r="D236" i="12"/>
  <c r="D222" i="12"/>
  <c r="D222" i="39"/>
  <c r="D211" i="39"/>
  <c r="D211" i="12"/>
  <c r="D197" i="12"/>
  <c r="D197" i="39"/>
  <c r="D186" i="12"/>
  <c r="D186" i="39"/>
  <c r="D172" i="39"/>
  <c r="D172" i="12"/>
  <c r="D158" i="39"/>
  <c r="D158" i="12"/>
  <c r="D147" i="39"/>
  <c r="D147" i="12"/>
  <c r="D133" i="12"/>
  <c r="D133" i="39"/>
  <c r="D122" i="39"/>
  <c r="D122" i="12"/>
  <c r="D108" i="12"/>
  <c r="D108" i="39"/>
  <c r="D94" i="12"/>
  <c r="D94" i="39"/>
  <c r="D83" i="12"/>
  <c r="D83" i="39"/>
  <c r="D69" i="39"/>
  <c r="D69" i="12"/>
  <c r="D58" i="39"/>
  <c r="D58" i="12"/>
  <c r="D44" i="12"/>
  <c r="D44" i="39"/>
  <c r="D29" i="12"/>
  <c r="D29" i="39"/>
  <c r="D312" i="39"/>
  <c r="D312" i="12"/>
  <c r="D294" i="12"/>
  <c r="D294" i="39"/>
  <c r="D273" i="39"/>
  <c r="D273" i="12"/>
  <c r="D248" i="39"/>
  <c r="D248" i="12"/>
  <c r="D230" i="12"/>
  <c r="D230" i="39"/>
  <c r="D209" i="39"/>
  <c r="D209" i="12"/>
  <c r="D184" i="39"/>
  <c r="D184" i="12"/>
  <c r="D166" i="12"/>
  <c r="D166" i="39"/>
  <c r="D145" i="12"/>
  <c r="D145" i="39"/>
  <c r="D120" i="12"/>
  <c r="D120" i="39"/>
  <c r="D102" i="39"/>
  <c r="D102" i="12"/>
  <c r="D81" i="12"/>
  <c r="D81" i="39"/>
  <c r="D56" i="39"/>
  <c r="D56" i="12"/>
  <c r="D38" i="12"/>
  <c r="D38" i="39"/>
  <c r="D25" i="39"/>
  <c r="D25" i="12"/>
  <c r="D11" i="39"/>
  <c r="D11" i="12"/>
  <c r="D301" i="12"/>
  <c r="D301" i="39"/>
  <c r="D207" i="39"/>
  <c r="D207" i="12"/>
  <c r="D285" i="12"/>
  <c r="D285" i="39"/>
  <c r="D191" i="39"/>
  <c r="D191" i="12"/>
  <c r="D123" i="39"/>
  <c r="D123" i="12"/>
  <c r="D68" i="39"/>
  <c r="D68" i="12"/>
  <c r="D14" i="12"/>
  <c r="D14" i="39"/>
  <c r="D290" i="12"/>
  <c r="D290" i="39"/>
  <c r="D258" i="39"/>
  <c r="D258" i="12"/>
  <c r="D226" i="39"/>
  <c r="D226" i="12"/>
  <c r="D194" i="39"/>
  <c r="D194" i="12"/>
  <c r="D162" i="39"/>
  <c r="D162" i="12"/>
  <c r="D130" i="39"/>
  <c r="D130" i="12"/>
  <c r="D98" i="12"/>
  <c r="D98" i="39"/>
  <c r="D66" i="12"/>
  <c r="D66" i="39"/>
  <c r="D34" i="12"/>
  <c r="D34" i="39"/>
  <c r="D10" i="12"/>
  <c r="D10" i="39"/>
  <c r="D291" i="12"/>
  <c r="D291" i="39"/>
  <c r="D266" i="39"/>
  <c r="D266" i="12"/>
  <c r="D238" i="12"/>
  <c r="D238" i="39"/>
  <c r="D213" i="39"/>
  <c r="D213" i="12"/>
  <c r="D188" i="39"/>
  <c r="D188" i="12"/>
  <c r="D163" i="39"/>
  <c r="D163" i="12"/>
  <c r="D149" i="12"/>
  <c r="D149" i="39"/>
  <c r="D124" i="39"/>
  <c r="D124" i="12"/>
  <c r="D99" i="39"/>
  <c r="D99" i="12"/>
  <c r="D74" i="12"/>
  <c r="D74" i="39"/>
  <c r="D46" i="12"/>
  <c r="D46" i="39"/>
  <c r="D13" i="39"/>
  <c r="D13" i="12"/>
  <c r="D278" i="39"/>
  <c r="D278" i="12"/>
  <c r="D257" i="39"/>
  <c r="D257" i="12"/>
  <c r="D214" i="39"/>
  <c r="D214" i="12"/>
  <c r="D168" i="39"/>
  <c r="D168" i="12"/>
  <c r="D150" i="39"/>
  <c r="D150" i="12"/>
  <c r="D86" i="12"/>
  <c r="D86" i="39"/>
  <c r="D40" i="12"/>
  <c r="D40" i="39"/>
  <c r="D16" i="39"/>
  <c r="D16" i="12"/>
  <c r="D260" i="39"/>
  <c r="D260" i="12"/>
  <c r="D299" i="12"/>
  <c r="D299" i="39"/>
  <c r="D205" i="39"/>
  <c r="D205" i="12"/>
  <c r="D111" i="39"/>
  <c r="D111" i="12"/>
  <c r="D148" i="12"/>
  <c r="D148" i="39"/>
  <c r="D223" i="39"/>
  <c r="D223" i="12"/>
  <c r="D189" i="39"/>
  <c r="D189" i="12"/>
  <c r="D95" i="12"/>
  <c r="D95" i="39"/>
  <c r="D63" i="12"/>
  <c r="D63" i="39"/>
  <c r="D12" i="12"/>
  <c r="D12" i="39"/>
  <c r="D288" i="39"/>
  <c r="D288" i="12"/>
  <c r="D256" i="39"/>
  <c r="D256" i="12"/>
  <c r="D224" i="39"/>
  <c r="D224" i="12"/>
  <c r="D192" i="39"/>
  <c r="D192" i="12"/>
  <c r="D160" i="12"/>
  <c r="D160" i="39"/>
  <c r="D228" i="39"/>
  <c r="D228" i="12"/>
  <c r="D100" i="12"/>
  <c r="D100" i="39"/>
  <c r="D271" i="39"/>
  <c r="D271" i="12"/>
  <c r="D237" i="39"/>
  <c r="D237" i="12"/>
  <c r="D203" i="39"/>
  <c r="D203" i="12"/>
  <c r="D143" i="39"/>
  <c r="D143" i="12"/>
  <c r="D109" i="12"/>
  <c r="D109" i="39"/>
  <c r="D244" i="12"/>
  <c r="D244" i="39"/>
  <c r="D116" i="12"/>
  <c r="D116" i="39"/>
  <c r="D255" i="39"/>
  <c r="D255" i="12"/>
  <c r="D221" i="39"/>
  <c r="D221" i="12"/>
  <c r="D187" i="39"/>
  <c r="D187" i="12"/>
  <c r="D127" i="39"/>
  <c r="D127" i="12"/>
  <c r="D93" i="39"/>
  <c r="D93" i="12"/>
  <c r="D77" i="39"/>
  <c r="D77" i="12"/>
  <c r="D61" i="39"/>
  <c r="D61" i="12"/>
  <c r="D45" i="39"/>
  <c r="D45" i="12"/>
  <c r="D28" i="39"/>
  <c r="D28" i="12"/>
  <c r="D313" i="12"/>
  <c r="D313" i="39"/>
  <c r="D297" i="12"/>
  <c r="D297" i="39"/>
  <c r="D281" i="39"/>
  <c r="D281" i="12"/>
  <c r="D265" i="39"/>
  <c r="D265" i="12"/>
  <c r="D249" i="39"/>
  <c r="D249" i="12"/>
  <c r="D233" i="39"/>
  <c r="D233" i="12"/>
  <c r="D217" i="39"/>
  <c r="D217" i="12"/>
  <c r="D201" i="39"/>
  <c r="D201" i="12"/>
  <c r="D185" i="39"/>
  <c r="D185" i="12"/>
  <c r="D169" i="12"/>
  <c r="D169" i="39"/>
  <c r="D153" i="12"/>
  <c r="D153" i="39"/>
  <c r="D137" i="12"/>
  <c r="D137" i="39"/>
  <c r="D121" i="12"/>
  <c r="D121" i="39"/>
  <c r="D105" i="12"/>
  <c r="D105" i="39"/>
  <c r="D89" i="39"/>
  <c r="D89" i="12"/>
  <c r="D73" i="39"/>
  <c r="D73" i="12"/>
  <c r="D57" i="39"/>
  <c r="D57" i="12"/>
  <c r="D41" i="39"/>
  <c r="D41" i="12"/>
  <c r="D31" i="12"/>
  <c r="D31" i="39"/>
  <c r="D17" i="39"/>
  <c r="D17" i="12"/>
  <c r="D309" i="12"/>
  <c r="D309" i="39"/>
  <c r="D298" i="12"/>
  <c r="D298" i="39"/>
  <c r="D284" i="39"/>
  <c r="D284" i="12"/>
  <c r="D270" i="12"/>
  <c r="D270" i="39"/>
  <c r="D259" i="39"/>
  <c r="D259" i="12"/>
  <c r="D245" i="12"/>
  <c r="D245" i="39"/>
  <c r="D234" i="12"/>
  <c r="D234" i="39"/>
  <c r="D220" i="39"/>
  <c r="D220" i="12"/>
  <c r="D206" i="12"/>
  <c r="D206" i="39"/>
  <c r="D195" i="39"/>
  <c r="D195" i="12"/>
  <c r="D181" i="12"/>
  <c r="D181" i="39"/>
  <c r="D170" i="39"/>
  <c r="D170" i="12"/>
  <c r="D156" i="39"/>
  <c r="D156" i="12"/>
  <c r="D142" i="39"/>
  <c r="D142" i="12"/>
  <c r="D131" i="39"/>
  <c r="D131" i="12"/>
  <c r="D117" i="12"/>
  <c r="D117" i="39"/>
  <c r="D106" i="39"/>
  <c r="D106" i="12"/>
  <c r="D92" i="12"/>
  <c r="D92" i="39"/>
  <c r="D78" i="12"/>
  <c r="D78" i="39"/>
  <c r="D67" i="12"/>
  <c r="D67" i="39"/>
  <c r="D53" i="39"/>
  <c r="D53" i="12"/>
  <c r="D42" i="12"/>
  <c r="D42" i="39"/>
  <c r="D22" i="39"/>
  <c r="D22" i="12"/>
  <c r="D310" i="12"/>
  <c r="D310" i="39"/>
  <c r="D289" i="12"/>
  <c r="D289" i="39"/>
  <c r="D264" i="39"/>
  <c r="D264" i="12"/>
  <c r="D246" i="12"/>
  <c r="D246" i="39"/>
  <c r="D225" i="39"/>
  <c r="D225" i="12"/>
  <c r="D200" i="39"/>
  <c r="D200" i="12"/>
  <c r="D182" i="39"/>
  <c r="D182" i="12"/>
  <c r="D161" i="12"/>
  <c r="D161" i="39"/>
  <c r="D136" i="39"/>
  <c r="D136" i="12"/>
  <c r="D118" i="12"/>
  <c r="D118" i="39"/>
  <c r="D97" i="12"/>
  <c r="D97" i="39"/>
  <c r="D72" i="12"/>
  <c r="D72" i="39"/>
  <c r="D54" i="39"/>
  <c r="D54" i="12"/>
  <c r="D33" i="39"/>
  <c r="D33" i="12"/>
  <c r="D23" i="12"/>
  <c r="D23" i="39"/>
  <c r="D9" i="39"/>
  <c r="D9" i="12"/>
  <c r="D292" i="39"/>
  <c r="D292" i="12"/>
  <c r="D267" i="39"/>
  <c r="D267" i="12"/>
  <c r="D173" i="12"/>
  <c r="D173" i="39"/>
  <c r="D180" i="12"/>
  <c r="D180" i="39"/>
  <c r="D251" i="39"/>
  <c r="D251" i="12"/>
  <c r="D157" i="12"/>
  <c r="D157" i="39"/>
  <c r="D84" i="12"/>
  <c r="D84" i="39"/>
  <c r="D36" i="12"/>
  <c r="D36" i="39"/>
  <c r="D306" i="12"/>
  <c r="D306" i="39"/>
  <c r="D242" i="12"/>
  <c r="D242" i="39"/>
  <c r="D210" i="12"/>
  <c r="D210" i="39"/>
  <c r="D178" i="12"/>
  <c r="D178" i="39"/>
  <c r="D146" i="39"/>
  <c r="D146" i="12"/>
  <c r="D114" i="12"/>
  <c r="D114" i="39"/>
  <c r="D82" i="12"/>
  <c r="D82" i="39"/>
  <c r="D50" i="12"/>
  <c r="D50" i="39"/>
  <c r="D24" i="12"/>
  <c r="D24" i="39"/>
  <c r="D302" i="12"/>
  <c r="D302" i="39"/>
  <c r="D277" i="39"/>
  <c r="D277" i="12"/>
  <c r="D252" i="39"/>
  <c r="D252" i="12"/>
  <c r="D227" i="12"/>
  <c r="D227" i="39"/>
  <c r="D202" i="39"/>
  <c r="D202" i="12"/>
  <c r="D174" i="39"/>
  <c r="D174" i="12"/>
  <c r="D138" i="39"/>
  <c r="D138" i="12"/>
  <c r="D110" i="39"/>
  <c r="D110" i="12"/>
  <c r="D85" i="12"/>
  <c r="D85" i="39"/>
  <c r="D60" i="39"/>
  <c r="D60" i="12"/>
  <c r="D35" i="39"/>
  <c r="D35" i="12"/>
  <c r="D296" i="39"/>
  <c r="D296" i="12"/>
  <c r="D232" i="39"/>
  <c r="D232" i="12"/>
  <c r="D193" i="39"/>
  <c r="D193" i="12"/>
  <c r="D129" i="12"/>
  <c r="D129" i="39"/>
  <c r="D104" i="12"/>
  <c r="D104" i="39"/>
  <c r="D65" i="12"/>
  <c r="D65" i="39"/>
  <c r="D27" i="12"/>
  <c r="D27" i="39"/>
  <c r="D132" i="12"/>
  <c r="D132" i="39"/>
  <c r="D239" i="39"/>
  <c r="D239" i="12"/>
  <c r="D171" i="39"/>
  <c r="D171" i="12"/>
  <c r="D276" i="39"/>
  <c r="D276" i="12"/>
  <c r="D283" i="39"/>
  <c r="D283" i="12"/>
  <c r="D155" i="39"/>
  <c r="D155" i="12"/>
  <c r="D79" i="12"/>
  <c r="D79" i="39"/>
  <c r="D47" i="12"/>
  <c r="D47" i="39"/>
  <c r="D30" i="39"/>
  <c r="D30" i="12"/>
  <c r="D304" i="39"/>
  <c r="D304" i="12"/>
  <c r="D272" i="39"/>
  <c r="D272" i="12"/>
  <c r="D240" i="39"/>
  <c r="D240" i="12"/>
  <c r="D208" i="39"/>
  <c r="D208" i="12"/>
  <c r="D176" i="39"/>
  <c r="D176" i="12"/>
  <c r="D196" i="39"/>
  <c r="D196" i="12"/>
  <c r="D303" i="12"/>
  <c r="D303" i="39"/>
  <c r="D269" i="39"/>
  <c r="D269" i="12"/>
  <c r="D235" i="39"/>
  <c r="D235" i="12"/>
  <c r="D175" i="39"/>
  <c r="D175" i="12"/>
  <c r="D141" i="12"/>
  <c r="D141" i="39"/>
  <c r="D107" i="39"/>
  <c r="D107" i="12"/>
  <c r="D212" i="39"/>
  <c r="D212" i="12"/>
  <c r="D287" i="12"/>
  <c r="D287" i="39"/>
  <c r="D253" i="39"/>
  <c r="D253" i="12"/>
  <c r="D219" i="39"/>
  <c r="D219" i="12"/>
  <c r="D159" i="39"/>
  <c r="D159" i="12"/>
  <c r="D125" i="12"/>
  <c r="D125" i="39"/>
  <c r="D91" i="12"/>
  <c r="D91" i="39"/>
  <c r="D75" i="12"/>
  <c r="D75" i="39"/>
  <c r="D59" i="12"/>
  <c r="D59" i="39"/>
  <c r="D43" i="12"/>
  <c r="D43" i="39"/>
  <c r="D21" i="12"/>
  <c r="D21" i="39"/>
  <c r="D311" i="12"/>
  <c r="D311" i="39"/>
  <c r="D295" i="12"/>
  <c r="D295" i="39"/>
  <c r="D279" i="39"/>
  <c r="D279" i="12"/>
  <c r="D263" i="39"/>
  <c r="D263" i="12"/>
  <c r="D247" i="39"/>
  <c r="D247" i="12"/>
  <c r="D231" i="39"/>
  <c r="D231" i="12"/>
  <c r="D215" i="39"/>
  <c r="D215" i="12"/>
  <c r="D199" i="39"/>
  <c r="D199" i="12"/>
  <c r="D183" i="39"/>
  <c r="D183" i="12"/>
  <c r="D167" i="12"/>
  <c r="D167" i="39"/>
  <c r="D151" i="39"/>
  <c r="D151" i="12"/>
  <c r="D135" i="39"/>
  <c r="D135" i="12"/>
  <c r="D119" i="39"/>
  <c r="D119" i="12"/>
  <c r="D103" i="39"/>
  <c r="D103" i="12"/>
  <c r="D87" i="12"/>
  <c r="D87" i="39"/>
  <c r="D71" i="12"/>
  <c r="D71" i="39"/>
  <c r="D55" i="12"/>
  <c r="D55" i="39"/>
  <c r="D39" i="12"/>
  <c r="D39" i="39"/>
  <c r="D26" i="39"/>
  <c r="D26" i="12"/>
  <c r="D15" i="39"/>
  <c r="D15" i="12"/>
  <c r="D307" i="12"/>
  <c r="D307" i="39"/>
  <c r="D293" i="12"/>
  <c r="D293" i="39"/>
  <c r="D282" i="12"/>
  <c r="D282" i="39"/>
  <c r="D268" i="39"/>
  <c r="D268" i="12"/>
  <c r="D254" i="39"/>
  <c r="D254" i="12"/>
  <c r="D243" i="12"/>
  <c r="D243" i="39"/>
  <c r="D229" i="12"/>
  <c r="D229" i="39"/>
  <c r="D218" i="12"/>
  <c r="D218" i="39"/>
  <c r="D204" i="39"/>
  <c r="D204" i="12"/>
  <c r="D190" i="39"/>
  <c r="D190" i="12"/>
  <c r="D179" i="12"/>
  <c r="D179" i="39"/>
  <c r="D165" i="12"/>
  <c r="D165" i="39"/>
  <c r="D154" i="39"/>
  <c r="D154" i="12"/>
  <c r="D140" i="12"/>
  <c r="D140" i="39"/>
  <c r="D126" i="12"/>
  <c r="D126" i="39"/>
  <c r="D115" i="39"/>
  <c r="D115" i="12"/>
  <c r="D101" i="12"/>
  <c r="D101" i="39"/>
  <c r="D90" i="12"/>
  <c r="D90" i="39"/>
  <c r="D76" i="12"/>
  <c r="D76" i="39"/>
  <c r="D62" i="39"/>
  <c r="D62" i="12"/>
  <c r="D51" i="12"/>
  <c r="D51" i="39"/>
  <c r="D37" i="39"/>
  <c r="D37" i="12"/>
  <c r="D20" i="12"/>
  <c r="D20" i="39"/>
  <c r="D305" i="12"/>
  <c r="D305" i="39"/>
  <c r="D280" i="39"/>
  <c r="D280" i="12"/>
  <c r="D262" i="39"/>
  <c r="D262" i="12"/>
  <c r="D241" i="39"/>
  <c r="D241" i="12"/>
  <c r="D216" i="39"/>
  <c r="D216" i="12"/>
  <c r="D198" i="12"/>
  <c r="D198" i="39"/>
  <c r="D177" i="12"/>
  <c r="D177" i="39"/>
  <c r="D152" i="12"/>
  <c r="D152" i="39"/>
  <c r="D134" i="39"/>
  <c r="D134" i="12"/>
  <c r="D113" i="12"/>
  <c r="D113" i="39"/>
  <c r="D88" i="12"/>
  <c r="D88" i="39"/>
  <c r="D70" i="39"/>
  <c r="D70" i="12"/>
  <c r="D49" i="12"/>
  <c r="D49" i="39"/>
  <c r="D18" i="12"/>
  <c r="D18" i="39"/>
  <c r="D7" i="39"/>
  <c r="D7" i="12"/>
  <c r="F22" i="48"/>
  <c r="F24" i="48" s="1"/>
  <c r="F88" i="25"/>
  <c r="E88" i="54" s="1"/>
  <c r="F96" i="25"/>
  <c r="E96" i="54" s="1"/>
  <c r="F50" i="25"/>
  <c r="E50" i="54" s="1"/>
  <c r="F106" i="25"/>
  <c r="E106" i="54" s="1"/>
  <c r="F76" i="25"/>
  <c r="E76" i="54" s="1"/>
  <c r="F152" i="25"/>
  <c r="E152" i="54" s="1"/>
  <c r="F140" i="25"/>
  <c r="E140" i="54" s="1"/>
  <c r="F183" i="25"/>
  <c r="E183" i="54" s="1"/>
  <c r="F133" i="25"/>
  <c r="E133" i="54" s="1"/>
  <c r="F52" i="25"/>
  <c r="E52" i="54" s="1"/>
  <c r="F217" i="25"/>
  <c r="E217" i="54" s="1"/>
  <c r="F83" i="25"/>
  <c r="E83" i="54" s="1"/>
  <c r="F104" i="25"/>
  <c r="E104" i="54" s="1"/>
  <c r="F41" i="25"/>
  <c r="E41" i="54" s="1"/>
  <c r="F63" i="25"/>
  <c r="E63" i="54" s="1"/>
  <c r="F77" i="25"/>
  <c r="E77" i="54" s="1"/>
  <c r="F175" i="25"/>
  <c r="E175" i="54" s="1"/>
  <c r="F288" i="25"/>
  <c r="E288" i="54" s="1"/>
  <c r="F23" i="25"/>
  <c r="E23" i="54" s="1"/>
  <c r="F28" i="25"/>
  <c r="E28" i="54" s="1"/>
  <c r="F68" i="25"/>
  <c r="E68" i="54" s="1"/>
  <c r="F64" i="25"/>
  <c r="E64" i="54" s="1"/>
  <c r="F46" i="25"/>
  <c r="E46" i="54" s="1"/>
  <c r="F39" i="25"/>
  <c r="E39" i="54" s="1"/>
  <c r="F67" i="25"/>
  <c r="E67" i="54" s="1"/>
  <c r="F272" i="25"/>
  <c r="E272" i="54" s="1"/>
  <c r="F293" i="25"/>
  <c r="E293" i="54" s="1"/>
  <c r="F210" i="25"/>
  <c r="E210" i="54" s="1"/>
  <c r="F129" i="25"/>
  <c r="E129" i="54" s="1"/>
  <c r="F231" i="25"/>
  <c r="E231" i="54" s="1"/>
  <c r="F287" i="25"/>
  <c r="E287" i="54" s="1"/>
  <c r="F204" i="25"/>
  <c r="E204" i="54" s="1"/>
  <c r="F87" i="25"/>
  <c r="E87" i="54" s="1"/>
  <c r="F173" i="25"/>
  <c r="E173" i="54" s="1"/>
  <c r="F304" i="25"/>
  <c r="E304" i="54" s="1"/>
  <c r="F35" i="25"/>
  <c r="E35" i="54" s="1"/>
  <c r="F192" i="25"/>
  <c r="E192" i="54" s="1"/>
  <c r="F118" i="25"/>
  <c r="E118" i="54" s="1"/>
  <c r="F267" i="25"/>
  <c r="E267" i="54" s="1"/>
  <c r="F85" i="25"/>
  <c r="E85" i="54" s="1"/>
  <c r="F291" i="25"/>
  <c r="E291" i="54" s="1"/>
  <c r="F43" i="25"/>
  <c r="E43" i="54" s="1"/>
  <c r="F244" i="25"/>
  <c r="E244" i="54" s="1"/>
  <c r="F110" i="25"/>
  <c r="E110" i="54" s="1"/>
  <c r="F94" i="25"/>
  <c r="E94" i="54" s="1"/>
  <c r="F246" i="25"/>
  <c r="E246" i="54" s="1"/>
  <c r="F172" i="25"/>
  <c r="E172" i="54" s="1"/>
  <c r="F84" i="25"/>
  <c r="E84" i="54" s="1"/>
  <c r="F248" i="25"/>
  <c r="E248" i="54" s="1"/>
  <c r="F196" i="25"/>
  <c r="E196" i="54" s="1"/>
  <c r="F59" i="25"/>
  <c r="E59" i="54" s="1"/>
  <c r="F170" i="25"/>
  <c r="E170" i="54" s="1"/>
  <c r="F137" i="25"/>
  <c r="E137" i="54" s="1"/>
  <c r="F149" i="25"/>
  <c r="E149" i="54" s="1"/>
  <c r="F168" i="25"/>
  <c r="E168" i="54" s="1"/>
  <c r="F33" i="25"/>
  <c r="E33" i="54" s="1"/>
  <c r="F142" i="25"/>
  <c r="E142" i="54" s="1"/>
  <c r="F11" i="25"/>
  <c r="E11" i="54" s="1"/>
  <c r="F306" i="25"/>
  <c r="E306" i="54" s="1"/>
  <c r="F123" i="25"/>
  <c r="E123" i="54" s="1"/>
  <c r="F202" i="25"/>
  <c r="E202" i="54" s="1"/>
  <c r="F109" i="25"/>
  <c r="E109" i="54" s="1"/>
  <c r="F295" i="25"/>
  <c r="E295" i="54" s="1"/>
  <c r="F185" i="25"/>
  <c r="E185" i="54" s="1"/>
  <c r="F259" i="25"/>
  <c r="E259" i="54" s="1"/>
  <c r="F243" i="25"/>
  <c r="E243" i="54" s="1"/>
  <c r="F90" i="25"/>
  <c r="E90" i="54" s="1"/>
  <c r="F253" i="25"/>
  <c r="E253" i="54" s="1"/>
  <c r="F13" i="25"/>
  <c r="E13" i="54" s="1"/>
  <c r="F257" i="25"/>
  <c r="E257" i="54" s="1"/>
  <c r="F247" i="25"/>
  <c r="E247" i="54" s="1"/>
  <c r="F131" i="25"/>
  <c r="E131" i="54" s="1"/>
  <c r="F155" i="25"/>
  <c r="E155" i="54" s="1"/>
  <c r="F174" i="25"/>
  <c r="E174" i="54" s="1"/>
  <c r="F60" i="25"/>
  <c r="E60" i="54" s="1"/>
  <c r="F114" i="25"/>
  <c r="E114" i="54" s="1"/>
  <c r="F201" i="25"/>
  <c r="E201" i="54" s="1"/>
  <c r="F206" i="25"/>
  <c r="E206" i="54" s="1"/>
  <c r="F122" i="25"/>
  <c r="E122" i="54" s="1"/>
  <c r="F207" i="25"/>
  <c r="E207" i="54" s="1"/>
  <c r="F198" i="25"/>
  <c r="E198" i="54" s="1"/>
  <c r="F62" i="25"/>
  <c r="E62" i="54" s="1"/>
  <c r="F130" i="25"/>
  <c r="E130" i="54" s="1"/>
  <c r="F216" i="25"/>
  <c r="E216" i="54" s="1"/>
  <c r="F234" i="25"/>
  <c r="E234" i="54" s="1"/>
  <c r="F235" i="25"/>
  <c r="E235" i="54" s="1"/>
  <c r="F274" i="25"/>
  <c r="E274" i="54" s="1"/>
  <c r="F258" i="25"/>
  <c r="E258" i="54" s="1"/>
  <c r="F177" i="25"/>
  <c r="E177" i="54" s="1"/>
  <c r="F56" i="25"/>
  <c r="E56" i="54" s="1"/>
  <c r="F230" i="25"/>
  <c r="E230" i="54" s="1"/>
  <c r="F57" i="25"/>
  <c r="E57" i="54" s="1"/>
  <c r="F98" i="25"/>
  <c r="E98" i="54" s="1"/>
  <c r="F279" i="25"/>
  <c r="E279" i="54" s="1"/>
  <c r="F242" i="25"/>
  <c r="E242" i="54" s="1"/>
  <c r="F154" i="25"/>
  <c r="E154" i="54" s="1"/>
  <c r="F95" i="25"/>
  <c r="E95" i="54" s="1"/>
  <c r="F73" i="25"/>
  <c r="E73" i="54" s="1"/>
  <c r="F156" i="25"/>
  <c r="E156" i="54" s="1"/>
  <c r="F276" i="25"/>
  <c r="E276" i="54" s="1"/>
  <c r="F40" i="25"/>
  <c r="E40" i="54" s="1"/>
  <c r="F298" i="25"/>
  <c r="E298" i="54" s="1"/>
  <c r="F191" i="25"/>
  <c r="E191" i="54" s="1"/>
  <c r="F144" i="25"/>
  <c r="E144" i="54" s="1"/>
  <c r="F16" i="25"/>
  <c r="E16" i="54" s="1"/>
  <c r="F138" i="25"/>
  <c r="E138" i="54" s="1"/>
  <c r="F289" i="25"/>
  <c r="E289" i="54" s="1"/>
  <c r="F200" i="25"/>
  <c r="E200" i="54" s="1"/>
  <c r="F58" i="25"/>
  <c r="E58" i="54" s="1"/>
  <c r="F66" i="25"/>
  <c r="E66" i="54" s="1"/>
  <c r="F167" i="25"/>
  <c r="E167" i="54" s="1"/>
  <c r="F61" i="25"/>
  <c r="E61" i="54" s="1"/>
  <c r="F271" i="25"/>
  <c r="E271" i="54" s="1"/>
  <c r="F302" i="25"/>
  <c r="E302" i="54" s="1"/>
  <c r="F80" i="25"/>
  <c r="E80" i="54" s="1"/>
  <c r="F42" i="25"/>
  <c r="E42" i="54" s="1"/>
  <c r="F69" i="25"/>
  <c r="E69" i="54" s="1"/>
  <c r="F273" i="25"/>
  <c r="E273" i="54" s="1"/>
  <c r="F102" i="25"/>
  <c r="E102" i="54" s="1"/>
  <c r="F285" i="25"/>
  <c r="E285" i="54" s="1"/>
  <c r="F286" i="25"/>
  <c r="E286" i="54" s="1"/>
  <c r="F49" i="25"/>
  <c r="E49" i="54" s="1"/>
  <c r="F7" i="25"/>
  <c r="E7" i="54" s="1"/>
  <c r="F127" i="25"/>
  <c r="E127" i="54" s="1"/>
  <c r="F178" i="25"/>
  <c r="E178" i="54" s="1"/>
  <c r="F188" i="25"/>
  <c r="E188" i="54" s="1"/>
  <c r="F9" i="25"/>
  <c r="E9" i="54" s="1"/>
  <c r="F220" i="25"/>
  <c r="E220" i="54" s="1"/>
  <c r="F100" i="25"/>
  <c r="E100" i="54" s="1"/>
  <c r="F245" i="25"/>
  <c r="E245" i="54" s="1"/>
  <c r="F25" i="25"/>
  <c r="E25" i="54" s="1"/>
  <c r="F143" i="25"/>
  <c r="E143" i="54" s="1"/>
  <c r="F10" i="25"/>
  <c r="E10" i="54" s="1"/>
  <c r="F134" i="25"/>
  <c r="E134" i="54" s="1"/>
  <c r="F189" i="25"/>
  <c r="E189" i="54" s="1"/>
  <c r="F18" i="25"/>
  <c r="E18" i="54" s="1"/>
  <c r="F215" i="25"/>
  <c r="E215" i="54" s="1"/>
  <c r="F227" i="25"/>
  <c r="E227" i="54" s="1"/>
  <c r="F12" i="25"/>
  <c r="E12" i="54" s="1"/>
  <c r="F117" i="25"/>
  <c r="E117" i="54" s="1"/>
  <c r="F101" i="25"/>
  <c r="E101" i="54" s="1"/>
  <c r="F182" i="25"/>
  <c r="E182" i="54" s="1"/>
  <c r="F256" i="25"/>
  <c r="E256" i="54" s="1"/>
  <c r="F150" i="25"/>
  <c r="E150" i="54" s="1"/>
  <c r="F71" i="25"/>
  <c r="E71" i="54" s="1"/>
  <c r="F45" i="25"/>
  <c r="E45" i="54" s="1"/>
  <c r="F99" i="25"/>
  <c r="E99" i="54" s="1"/>
  <c r="F270" i="25"/>
  <c r="E270" i="54" s="1"/>
  <c r="F103" i="25"/>
  <c r="E103" i="54" s="1"/>
  <c r="F21" i="25"/>
  <c r="E21" i="54" s="1"/>
  <c r="F47" i="25"/>
  <c r="E47" i="54" s="1"/>
  <c r="F228" i="25"/>
  <c r="E228" i="54" s="1"/>
  <c r="F283" i="25"/>
  <c r="E283" i="54" s="1"/>
  <c r="F148" i="25"/>
  <c r="E148" i="54" s="1"/>
  <c r="F105" i="25"/>
  <c r="E105" i="54" s="1"/>
  <c r="F147" i="25"/>
  <c r="E147" i="54" s="1"/>
  <c r="F218" i="25"/>
  <c r="E218" i="54" s="1"/>
  <c r="F265" i="25"/>
  <c r="E265" i="54" s="1"/>
  <c r="F20" i="25"/>
  <c r="E20" i="54" s="1"/>
  <c r="F132" i="25"/>
  <c r="E132" i="54" s="1"/>
  <c r="F211" i="25"/>
  <c r="E211" i="54" s="1"/>
  <c r="F116" i="25"/>
  <c r="E116" i="54" s="1"/>
  <c r="F190" i="25"/>
  <c r="E190" i="54" s="1"/>
  <c r="F107" i="25"/>
  <c r="E107" i="54" s="1"/>
  <c r="F113" i="25"/>
  <c r="E113" i="54" s="1"/>
  <c r="F93" i="25"/>
  <c r="E93" i="54" s="1"/>
  <c r="F205" i="25"/>
  <c r="E205" i="54" s="1"/>
  <c r="F86" i="25"/>
  <c r="E86" i="54" s="1"/>
  <c r="F232" i="25"/>
  <c r="E232" i="54" s="1"/>
  <c r="F176" i="25"/>
  <c r="E176" i="54" s="1"/>
  <c r="G12" i="9"/>
  <c r="F320" i="9"/>
  <c r="F169" i="25"/>
  <c r="E169" i="54" s="1"/>
  <c r="F312" i="25"/>
  <c r="E312" i="54" s="1"/>
  <c r="F233" i="25"/>
  <c r="E233" i="54" s="1"/>
  <c r="F15" i="25"/>
  <c r="E15" i="54" s="1"/>
  <c r="F128" i="25"/>
  <c r="E128" i="54" s="1"/>
  <c r="F159" i="25"/>
  <c r="E159" i="54" s="1"/>
  <c r="F222" i="25"/>
  <c r="E222" i="54" s="1"/>
  <c r="F280" i="25"/>
  <c r="E280" i="54" s="1"/>
  <c r="F26" i="25"/>
  <c r="E26" i="54" s="1"/>
  <c r="F308" i="25"/>
  <c r="E308" i="54" s="1"/>
  <c r="F193" i="25"/>
  <c r="E193" i="54" s="1"/>
  <c r="F51" i="25"/>
  <c r="E51" i="54" s="1"/>
  <c r="F250" i="25"/>
  <c r="E250" i="54" s="1"/>
  <c r="F314" i="12"/>
  <c r="F314" i="39"/>
  <c r="F186" i="25"/>
  <c r="E186" i="54" s="1"/>
  <c r="F119" i="25"/>
  <c r="E119" i="54" s="1"/>
  <c r="F79" i="25"/>
  <c r="E79" i="54" s="1"/>
  <c r="F37" i="25"/>
  <c r="E37" i="54" s="1"/>
  <c r="F310" i="25"/>
  <c r="E310" i="54" s="1"/>
  <c r="F300" i="25"/>
  <c r="E300" i="54" s="1"/>
  <c r="F48" i="25"/>
  <c r="E48" i="54" s="1"/>
  <c r="F29" i="25"/>
  <c r="E29" i="54" s="1"/>
  <c r="F171" i="25"/>
  <c r="E171" i="54" s="1"/>
  <c r="F305" i="25"/>
  <c r="E305" i="54" s="1"/>
  <c r="F126" i="25"/>
  <c r="E126" i="54" s="1"/>
  <c r="F120" i="25"/>
  <c r="E120" i="54" s="1"/>
  <c r="F91" i="25"/>
  <c r="E91" i="54" s="1"/>
  <c r="F214" i="25"/>
  <c r="E214" i="54" s="1"/>
  <c r="F290" i="25"/>
  <c r="E290" i="54" s="1"/>
  <c r="F34" i="25"/>
  <c r="E34" i="54" s="1"/>
  <c r="F307" i="25"/>
  <c r="E307" i="54" s="1"/>
  <c r="F166" i="25"/>
  <c r="E166" i="54" s="1"/>
  <c r="F121" i="25"/>
  <c r="E121" i="54" s="1"/>
  <c r="F22" i="25"/>
  <c r="E22" i="54" s="1"/>
  <c r="F219" i="25"/>
  <c r="E219" i="54" s="1"/>
  <c r="F294" i="25"/>
  <c r="E294" i="54" s="1"/>
  <c r="F44" i="25"/>
  <c r="E44" i="54" s="1"/>
  <c r="F115" i="25"/>
  <c r="E115" i="54" s="1"/>
  <c r="F203" i="25"/>
  <c r="E203" i="54" s="1"/>
  <c r="F81" i="25"/>
  <c r="E81" i="54" s="1"/>
  <c r="F299" i="25"/>
  <c r="E299" i="54" s="1"/>
  <c r="F208" i="25"/>
  <c r="E208" i="54" s="1"/>
  <c r="F229" i="25"/>
  <c r="E229" i="54" s="1"/>
  <c r="F8" i="25"/>
  <c r="E8" i="54" s="1"/>
  <c r="F238" i="25"/>
  <c r="E238" i="54" s="1"/>
  <c r="F275" i="25"/>
  <c r="E275" i="54" s="1"/>
  <c r="F226" i="25"/>
  <c r="E226" i="54" s="1"/>
  <c r="F266" i="25"/>
  <c r="E266" i="54" s="1"/>
  <c r="F268" i="25"/>
  <c r="E268" i="54" s="1"/>
  <c r="F313" i="25"/>
  <c r="E313" i="54" s="1"/>
  <c r="F278" i="25"/>
  <c r="E278" i="54" s="1"/>
  <c r="F97" i="25"/>
  <c r="E97" i="54" s="1"/>
  <c r="F31" i="25"/>
  <c r="E31" i="54" s="1"/>
  <c r="F184" i="25"/>
  <c r="E184" i="54" s="1"/>
  <c r="F74" i="25"/>
  <c r="E74" i="54" s="1"/>
  <c r="F157" i="25"/>
  <c r="E157" i="54" s="1"/>
  <c r="F32" i="25"/>
  <c r="E32" i="54" s="1"/>
  <c r="F281" i="25"/>
  <c r="E281" i="54" s="1"/>
  <c r="F237" i="25"/>
  <c r="E237" i="54" s="1"/>
  <c r="F19" i="25"/>
  <c r="E19" i="54" s="1"/>
  <c r="F27" i="25"/>
  <c r="E27" i="54" s="1"/>
  <c r="F292" i="25"/>
  <c r="E292" i="54" s="1"/>
  <c r="F251" i="25"/>
  <c r="E251" i="54" s="1"/>
  <c r="F14" i="25"/>
  <c r="E14" i="54" s="1"/>
  <c r="F151" i="25"/>
  <c r="E151" i="54" s="1"/>
  <c r="F240" i="25"/>
  <c r="E240" i="54" s="1"/>
  <c r="F72" i="25"/>
  <c r="E72" i="54" s="1"/>
  <c r="F296" i="25"/>
  <c r="E296" i="54" s="1"/>
  <c r="F225" i="25"/>
  <c r="E225" i="54" s="1"/>
  <c r="F254" i="25"/>
  <c r="E254" i="54" s="1"/>
  <c r="F260" i="25"/>
  <c r="E260" i="54" s="1"/>
  <c r="F139" i="25"/>
  <c r="E139" i="54" s="1"/>
  <c r="F269" i="25"/>
  <c r="E269" i="54" s="1"/>
  <c r="F55" i="25"/>
  <c r="E55" i="54" s="1"/>
  <c r="F160" i="25"/>
  <c r="E160" i="54" s="1"/>
  <c r="F311" i="25"/>
  <c r="E311" i="54" s="1"/>
  <c r="F124" i="25"/>
  <c r="E124" i="54" s="1"/>
  <c r="F162" i="25"/>
  <c r="E162" i="54" s="1"/>
  <c r="F146" i="25"/>
  <c r="E146" i="54" s="1"/>
  <c r="F241" i="25"/>
  <c r="E241" i="54" s="1"/>
  <c r="F145" i="25"/>
  <c r="E145" i="54" s="1"/>
  <c r="F163" i="25"/>
  <c r="E163" i="54" s="1"/>
  <c r="F213" i="25"/>
  <c r="E213" i="54" s="1"/>
  <c r="F36" i="25"/>
  <c r="E36" i="54" s="1"/>
  <c r="F284" i="25"/>
  <c r="E284" i="54" s="1"/>
  <c r="F297" i="25"/>
  <c r="F209" i="25"/>
  <c r="E209" i="54" s="1"/>
  <c r="F75" i="25"/>
  <c r="E75" i="54" s="1"/>
  <c r="F112" i="25"/>
  <c r="E112" i="54" s="1"/>
  <c r="F195" i="25"/>
  <c r="E195" i="54" s="1"/>
  <c r="F264" i="25"/>
  <c r="E264" i="54" s="1"/>
  <c r="F165" i="25"/>
  <c r="E165" i="54" s="1"/>
  <c r="F65" i="25"/>
  <c r="E65" i="54" s="1"/>
  <c r="F53" i="25"/>
  <c r="E53" i="54" s="1"/>
  <c r="F224" i="25"/>
  <c r="E224" i="54" s="1"/>
  <c r="F125" i="25"/>
  <c r="E125" i="54" s="1"/>
  <c r="F141" i="25"/>
  <c r="E141" i="54" s="1"/>
  <c r="F239" i="25"/>
  <c r="E239" i="54" s="1"/>
  <c r="F249" i="25"/>
  <c r="E249" i="54" s="1"/>
  <c r="F197" i="25"/>
  <c r="E197" i="54" s="1"/>
  <c r="F164" i="25"/>
  <c r="E164" i="54" s="1"/>
  <c r="F263" i="25"/>
  <c r="E263" i="54" s="1"/>
  <c r="F158" i="25"/>
  <c r="E158" i="54" s="1"/>
  <c r="F282" i="25"/>
  <c r="E282" i="54" s="1"/>
  <c r="F262" i="25"/>
  <c r="E262" i="54" s="1"/>
  <c r="F181" i="25"/>
  <c r="E181" i="54" s="1"/>
  <c r="F17" i="25"/>
  <c r="E17" i="54" s="1"/>
  <c r="F187" i="25"/>
  <c r="E187" i="54" s="1"/>
  <c r="F24" i="25"/>
  <c r="E24" i="54" s="1"/>
  <c r="F38" i="25"/>
  <c r="E38" i="54" s="1"/>
  <c r="F194" i="25"/>
  <c r="E194" i="54" s="1"/>
  <c r="F111" i="25"/>
  <c r="E111" i="54" s="1"/>
  <c r="F303" i="25"/>
  <c r="E303" i="54" s="1"/>
  <c r="F309" i="25"/>
  <c r="E309" i="54" s="1"/>
  <c r="F82" i="25"/>
  <c r="E82" i="54" s="1"/>
  <c r="F301" i="25"/>
  <c r="E301" i="54" s="1"/>
  <c r="F179" i="25"/>
  <c r="E179" i="54" s="1"/>
  <c r="F92" i="25"/>
  <c r="E92" i="54" s="1"/>
  <c r="F78" i="25"/>
  <c r="E78" i="54" s="1"/>
  <c r="F108" i="25"/>
  <c r="E108" i="54" s="1"/>
  <c r="F236" i="25"/>
  <c r="E236" i="54" s="1"/>
  <c r="F261" i="25"/>
  <c r="E261" i="54" s="1"/>
  <c r="F277" i="25"/>
  <c r="E277" i="54" s="1"/>
  <c r="F252" i="25"/>
  <c r="E252" i="54" s="1"/>
  <c r="F89" i="25"/>
  <c r="E89" i="54" s="1"/>
  <c r="F221" i="25"/>
  <c r="E221" i="54" s="1"/>
  <c r="F30" i="25"/>
  <c r="E30" i="54" s="1"/>
  <c r="F180" i="25"/>
  <c r="E180" i="54" s="1"/>
  <c r="F54" i="25"/>
  <c r="E54" i="54" s="1"/>
  <c r="F199" i="25"/>
  <c r="E199" i="54" s="1"/>
  <c r="F136" i="25"/>
  <c r="E136" i="54" s="1"/>
  <c r="F153" i="25"/>
  <c r="E153" i="54" s="1"/>
  <c r="F212" i="25"/>
  <c r="E212" i="54" s="1"/>
  <c r="F135" i="25"/>
  <c r="E135" i="54" s="1"/>
  <c r="F223" i="25"/>
  <c r="E223" i="54" s="1"/>
  <c r="F255" i="25"/>
  <c r="E255" i="54" s="1"/>
  <c r="F161" i="25"/>
  <c r="E161" i="54" s="1"/>
  <c r="F70" i="25"/>
  <c r="E70" i="54" s="1"/>
  <c r="C10" i="34"/>
  <c r="D10" i="34"/>
  <c r="E15" i="34" s="1"/>
  <c r="D60" i="48" l="1"/>
  <c r="D61" i="48" s="1"/>
  <c r="E297" i="54"/>
  <c r="E17" i="34"/>
  <c r="I17" i="34" s="1"/>
  <c r="E21" i="34"/>
  <c r="I21" i="34" s="1"/>
  <c r="E25" i="34"/>
  <c r="I25" i="34" s="1"/>
  <c r="E29" i="34"/>
  <c r="I29" i="34" s="1"/>
  <c r="E33" i="34"/>
  <c r="I33" i="34" s="1"/>
  <c r="E37" i="34"/>
  <c r="I37" i="34" s="1"/>
  <c r="E41" i="34"/>
  <c r="I41" i="34" s="1"/>
  <c r="E44" i="34"/>
  <c r="I44" i="34" s="1"/>
  <c r="E48" i="34"/>
  <c r="I48" i="34" s="1"/>
  <c r="E52" i="34"/>
  <c r="I52" i="34" s="1"/>
  <c r="E56" i="34"/>
  <c r="I56" i="34" s="1"/>
  <c r="E60" i="34"/>
  <c r="I60" i="34" s="1"/>
  <c r="E64" i="34"/>
  <c r="I64" i="34" s="1"/>
  <c r="E68" i="34"/>
  <c r="I68" i="34" s="1"/>
  <c r="E72" i="34"/>
  <c r="I72" i="34" s="1"/>
  <c r="E76" i="34"/>
  <c r="I76" i="34" s="1"/>
  <c r="E80" i="34"/>
  <c r="I80" i="34" s="1"/>
  <c r="E84" i="34"/>
  <c r="I84" i="34" s="1"/>
  <c r="E88" i="34"/>
  <c r="I88" i="34" s="1"/>
  <c r="E92" i="34"/>
  <c r="I92" i="34" s="1"/>
  <c r="E96" i="34"/>
  <c r="I96" i="34" s="1"/>
  <c r="E100" i="34"/>
  <c r="I100" i="34" s="1"/>
  <c r="E104" i="34"/>
  <c r="I104" i="34" s="1"/>
  <c r="E20" i="34"/>
  <c r="I20" i="34" s="1"/>
  <c r="E24" i="34"/>
  <c r="I24" i="34" s="1"/>
  <c r="E28" i="34"/>
  <c r="I28" i="34" s="1"/>
  <c r="E32" i="34"/>
  <c r="I32" i="34" s="1"/>
  <c r="E36" i="34"/>
  <c r="I36" i="34" s="1"/>
  <c r="E40" i="34"/>
  <c r="I40" i="34" s="1"/>
  <c r="E47" i="34"/>
  <c r="I47" i="34" s="1"/>
  <c r="E63" i="34"/>
  <c r="I63" i="34" s="1"/>
  <c r="E79" i="34"/>
  <c r="I79" i="34" s="1"/>
  <c r="E95" i="34"/>
  <c r="I95" i="34" s="1"/>
  <c r="E131" i="34"/>
  <c r="I131" i="34" s="1"/>
  <c r="E135" i="34"/>
  <c r="I135" i="34" s="1"/>
  <c r="E139" i="34"/>
  <c r="I139" i="34" s="1"/>
  <c r="E143" i="34"/>
  <c r="I143" i="34" s="1"/>
  <c r="E147" i="34"/>
  <c r="I147" i="34" s="1"/>
  <c r="E151" i="34"/>
  <c r="I151" i="34" s="1"/>
  <c r="E155" i="34"/>
  <c r="I155" i="34" s="1"/>
  <c r="E159" i="34"/>
  <c r="I159" i="34" s="1"/>
  <c r="E163" i="34"/>
  <c r="I163" i="34" s="1"/>
  <c r="E167" i="34"/>
  <c r="I167" i="34" s="1"/>
  <c r="E171" i="34"/>
  <c r="I171" i="34" s="1"/>
  <c r="E175" i="34"/>
  <c r="I175" i="34" s="1"/>
  <c r="E179" i="34"/>
  <c r="I179" i="34" s="1"/>
  <c r="E43" i="34"/>
  <c r="I43" i="34" s="1"/>
  <c r="E59" i="34"/>
  <c r="I59" i="34" s="1"/>
  <c r="E75" i="34"/>
  <c r="I75" i="34" s="1"/>
  <c r="E91" i="34"/>
  <c r="I91" i="34" s="1"/>
  <c r="E107" i="34"/>
  <c r="I107" i="34" s="1"/>
  <c r="E108" i="34"/>
  <c r="I108" i="34" s="1"/>
  <c r="E115" i="34"/>
  <c r="I115" i="34" s="1"/>
  <c r="E116" i="34"/>
  <c r="I116" i="34" s="1"/>
  <c r="E123" i="34"/>
  <c r="I123" i="34" s="1"/>
  <c r="E124" i="34"/>
  <c r="I124" i="34" s="1"/>
  <c r="E132" i="34"/>
  <c r="I132" i="34" s="1"/>
  <c r="E136" i="34"/>
  <c r="I136" i="34" s="1"/>
  <c r="E140" i="34"/>
  <c r="I140" i="34" s="1"/>
  <c r="E144" i="34"/>
  <c r="I144" i="34" s="1"/>
  <c r="E148" i="34"/>
  <c r="I148" i="34" s="1"/>
  <c r="E152" i="34"/>
  <c r="I152" i="34" s="1"/>
  <c r="E156" i="34"/>
  <c r="I156" i="34" s="1"/>
  <c r="E160" i="34"/>
  <c r="I160" i="34" s="1"/>
  <c r="E164" i="34"/>
  <c r="I164" i="34" s="1"/>
  <c r="E168" i="34"/>
  <c r="I168" i="34" s="1"/>
  <c r="E172" i="34"/>
  <c r="I172" i="34" s="1"/>
  <c r="E176" i="34"/>
  <c r="I176" i="34" s="1"/>
  <c r="E180" i="34"/>
  <c r="I180" i="34" s="1"/>
  <c r="E55" i="34"/>
  <c r="I55" i="34" s="1"/>
  <c r="E71" i="34"/>
  <c r="I71" i="34" s="1"/>
  <c r="E87" i="34"/>
  <c r="I87" i="34" s="1"/>
  <c r="E103" i="34"/>
  <c r="I103" i="34" s="1"/>
  <c r="E51" i="34"/>
  <c r="I51" i="34" s="1"/>
  <c r="E67" i="34"/>
  <c r="I67" i="34" s="1"/>
  <c r="E83" i="34"/>
  <c r="I83" i="34" s="1"/>
  <c r="E99" i="34"/>
  <c r="I99" i="34" s="1"/>
  <c r="E111" i="34"/>
  <c r="I111" i="34" s="1"/>
  <c r="E112" i="34"/>
  <c r="I112" i="34" s="1"/>
  <c r="E119" i="34"/>
  <c r="I119" i="34" s="1"/>
  <c r="E120" i="34"/>
  <c r="I120" i="34" s="1"/>
  <c r="E127" i="34"/>
  <c r="I127" i="34" s="1"/>
  <c r="E128" i="34"/>
  <c r="I128" i="34" s="1"/>
  <c r="E199" i="34"/>
  <c r="I199" i="34" s="1"/>
  <c r="E203" i="34"/>
  <c r="I203" i="34" s="1"/>
  <c r="E207" i="34"/>
  <c r="I207" i="34" s="1"/>
  <c r="E211" i="34"/>
  <c r="I211" i="34" s="1"/>
  <c r="E215" i="34"/>
  <c r="I215" i="34" s="1"/>
  <c r="E219" i="34"/>
  <c r="I219" i="34" s="1"/>
  <c r="E223" i="34"/>
  <c r="I223" i="34" s="1"/>
  <c r="E227" i="34"/>
  <c r="I227" i="34" s="1"/>
  <c r="E187" i="34"/>
  <c r="I187" i="34" s="1"/>
  <c r="E188" i="34"/>
  <c r="I188" i="34" s="1"/>
  <c r="E195" i="34"/>
  <c r="I195" i="34" s="1"/>
  <c r="E196" i="34"/>
  <c r="I196" i="34" s="1"/>
  <c r="E200" i="34"/>
  <c r="I200" i="34" s="1"/>
  <c r="E204" i="34"/>
  <c r="I204" i="34" s="1"/>
  <c r="E208" i="34"/>
  <c r="I208" i="34" s="1"/>
  <c r="E212" i="34"/>
  <c r="I212" i="34" s="1"/>
  <c r="E216" i="34"/>
  <c r="I216" i="34" s="1"/>
  <c r="E220" i="34"/>
  <c r="I220" i="34" s="1"/>
  <c r="E224" i="34"/>
  <c r="I224" i="34" s="1"/>
  <c r="E228" i="34"/>
  <c r="I228" i="34" s="1"/>
  <c r="E232" i="34"/>
  <c r="I232" i="34" s="1"/>
  <c r="E236" i="34"/>
  <c r="I236" i="34" s="1"/>
  <c r="E240" i="34"/>
  <c r="I240" i="34" s="1"/>
  <c r="E244" i="34"/>
  <c r="I244" i="34" s="1"/>
  <c r="E248" i="34"/>
  <c r="I248" i="34" s="1"/>
  <c r="E252" i="34"/>
  <c r="I252" i="34" s="1"/>
  <c r="E256" i="34"/>
  <c r="I256" i="34" s="1"/>
  <c r="E260" i="34"/>
  <c r="I260" i="34" s="1"/>
  <c r="E264" i="34"/>
  <c r="I264" i="34" s="1"/>
  <c r="E268" i="34"/>
  <c r="I268" i="34" s="1"/>
  <c r="E272" i="34"/>
  <c r="I272" i="34" s="1"/>
  <c r="E276" i="34"/>
  <c r="I276" i="34" s="1"/>
  <c r="E280" i="34"/>
  <c r="I280" i="34" s="1"/>
  <c r="E284" i="34"/>
  <c r="I284" i="34" s="1"/>
  <c r="E288" i="34"/>
  <c r="I288" i="34" s="1"/>
  <c r="E292" i="34"/>
  <c r="I292" i="34" s="1"/>
  <c r="E197" i="34"/>
  <c r="I197" i="34" s="1"/>
  <c r="E201" i="34"/>
  <c r="I201" i="34" s="1"/>
  <c r="E205" i="34"/>
  <c r="I205" i="34" s="1"/>
  <c r="E209" i="34"/>
  <c r="I209" i="34" s="1"/>
  <c r="E217" i="34"/>
  <c r="I217" i="34" s="1"/>
  <c r="E221" i="34"/>
  <c r="I221" i="34" s="1"/>
  <c r="E225" i="34"/>
  <c r="I225" i="34" s="1"/>
  <c r="E229" i="34"/>
  <c r="I229" i="34" s="1"/>
  <c r="E233" i="34"/>
  <c r="I233" i="34" s="1"/>
  <c r="E237" i="34"/>
  <c r="I237" i="34" s="1"/>
  <c r="E241" i="34"/>
  <c r="I241" i="34" s="1"/>
  <c r="E245" i="34"/>
  <c r="I245" i="34" s="1"/>
  <c r="E249" i="34"/>
  <c r="I249" i="34" s="1"/>
  <c r="E253" i="34"/>
  <c r="I253" i="34" s="1"/>
  <c r="E257" i="34"/>
  <c r="I257" i="34" s="1"/>
  <c r="E261" i="34"/>
  <c r="I261" i="34" s="1"/>
  <c r="E265" i="34"/>
  <c r="I265" i="34" s="1"/>
  <c r="E269" i="34"/>
  <c r="I269" i="34" s="1"/>
  <c r="E273" i="34"/>
  <c r="I273" i="34" s="1"/>
  <c r="E277" i="34"/>
  <c r="I277" i="34" s="1"/>
  <c r="E281" i="34"/>
  <c r="I281" i="34" s="1"/>
  <c r="E285" i="34"/>
  <c r="I285" i="34" s="1"/>
  <c r="E289" i="34"/>
  <c r="I289" i="34" s="1"/>
  <c r="E293" i="34"/>
  <c r="I293" i="34" s="1"/>
  <c r="E183" i="34"/>
  <c r="I183" i="34" s="1"/>
  <c r="E184" i="34"/>
  <c r="I184" i="34" s="1"/>
  <c r="E191" i="34"/>
  <c r="I191" i="34" s="1"/>
  <c r="E192" i="34"/>
  <c r="I192" i="34" s="1"/>
  <c r="E198" i="34"/>
  <c r="I198" i="34" s="1"/>
  <c r="E202" i="34"/>
  <c r="I202" i="34" s="1"/>
  <c r="E206" i="34"/>
  <c r="I206" i="34" s="1"/>
  <c r="E210" i="34"/>
  <c r="I210" i="34" s="1"/>
  <c r="E222" i="34"/>
  <c r="I222" i="34" s="1"/>
  <c r="E226" i="34"/>
  <c r="I226" i="34" s="1"/>
  <c r="E230" i="34"/>
  <c r="I230" i="34" s="1"/>
  <c r="E234" i="34"/>
  <c r="I234" i="34" s="1"/>
  <c r="E238" i="34"/>
  <c r="I238" i="34" s="1"/>
  <c r="E270" i="34"/>
  <c r="I270" i="34" s="1"/>
  <c r="E300" i="34"/>
  <c r="I300" i="34" s="1"/>
  <c r="E304" i="34"/>
  <c r="I304" i="34" s="1"/>
  <c r="E308" i="34"/>
  <c r="I308" i="34" s="1"/>
  <c r="E312" i="34"/>
  <c r="I312" i="34" s="1"/>
  <c r="E316" i="34"/>
  <c r="I316" i="34" s="1"/>
  <c r="E320" i="34"/>
  <c r="I320" i="34" s="1"/>
  <c r="E303" i="34"/>
  <c r="I303" i="34" s="1"/>
  <c r="E311" i="34"/>
  <c r="I311" i="34" s="1"/>
  <c r="E319" i="34"/>
  <c r="I319" i="34" s="1"/>
  <c r="E323" i="34"/>
  <c r="I323" i="34" s="1"/>
  <c r="E296" i="34"/>
  <c r="I296" i="34" s="1"/>
  <c r="E299" i="34"/>
  <c r="I299" i="34" s="1"/>
  <c r="E307" i="34"/>
  <c r="I307" i="34" s="1"/>
  <c r="E315" i="34"/>
  <c r="I315" i="34" s="1"/>
  <c r="E321" i="34"/>
  <c r="I321" i="34" s="1"/>
  <c r="E317" i="34"/>
  <c r="I317" i="34" s="1"/>
  <c r="E313" i="34"/>
  <c r="I313" i="34" s="1"/>
  <c r="E309" i="34"/>
  <c r="I309" i="34" s="1"/>
  <c r="E290" i="34"/>
  <c r="I290" i="34" s="1"/>
  <c r="E258" i="34"/>
  <c r="I258" i="34" s="1"/>
  <c r="E294" i="34"/>
  <c r="I294" i="34" s="1"/>
  <c r="E279" i="34"/>
  <c r="I279" i="34" s="1"/>
  <c r="E251" i="34"/>
  <c r="I251" i="34" s="1"/>
  <c r="E250" i="34"/>
  <c r="I250" i="34" s="1"/>
  <c r="E275" i="34"/>
  <c r="I275" i="34" s="1"/>
  <c r="E242" i="34"/>
  <c r="I242" i="34" s="1"/>
  <c r="E190" i="34"/>
  <c r="I190" i="34" s="1"/>
  <c r="E166" i="34"/>
  <c r="I166" i="34" s="1"/>
  <c r="E134" i="34"/>
  <c r="I134" i="34" s="1"/>
  <c r="E169" i="34"/>
  <c r="I169" i="34" s="1"/>
  <c r="E137" i="34"/>
  <c r="I137" i="34" s="1"/>
  <c r="E174" i="34"/>
  <c r="I174" i="34" s="1"/>
  <c r="E142" i="34"/>
  <c r="I142" i="34" s="1"/>
  <c r="E170" i="34"/>
  <c r="I170" i="34" s="1"/>
  <c r="E138" i="34"/>
  <c r="I138" i="34" s="1"/>
  <c r="E89" i="34"/>
  <c r="I89" i="34" s="1"/>
  <c r="E57" i="34"/>
  <c r="I57" i="34" s="1"/>
  <c r="E26" i="34"/>
  <c r="I26" i="34" s="1"/>
  <c r="E121" i="34"/>
  <c r="I121" i="34" s="1"/>
  <c r="E86" i="34"/>
  <c r="I86" i="34" s="1"/>
  <c r="E54" i="34"/>
  <c r="I54" i="34" s="1"/>
  <c r="E22" i="34"/>
  <c r="I22" i="34" s="1"/>
  <c r="E97" i="34"/>
  <c r="I97" i="34" s="1"/>
  <c r="E65" i="34"/>
  <c r="I65" i="34" s="1"/>
  <c r="E34" i="34"/>
  <c r="I34" i="34" s="1"/>
  <c r="E117" i="34"/>
  <c r="I117" i="34" s="1"/>
  <c r="E85" i="34"/>
  <c r="I85" i="34" s="1"/>
  <c r="E53" i="34"/>
  <c r="I53" i="34" s="1"/>
  <c r="E23" i="34"/>
  <c r="I23" i="34" s="1"/>
  <c r="E314" i="34"/>
  <c r="I314" i="34" s="1"/>
  <c r="E310" i="34"/>
  <c r="I310" i="34" s="1"/>
  <c r="E306" i="34"/>
  <c r="I306" i="34" s="1"/>
  <c r="E302" i="34"/>
  <c r="I302" i="34" s="1"/>
  <c r="E283" i="34"/>
  <c r="I283" i="34" s="1"/>
  <c r="E246" i="34"/>
  <c r="I246" i="34" s="1"/>
  <c r="E287" i="34"/>
  <c r="I287" i="34" s="1"/>
  <c r="E274" i="34"/>
  <c r="I274" i="34" s="1"/>
  <c r="E235" i="34"/>
  <c r="I235" i="34" s="1"/>
  <c r="E243" i="34"/>
  <c r="I243" i="34" s="1"/>
  <c r="E262" i="34"/>
  <c r="I262" i="34" s="1"/>
  <c r="E231" i="34"/>
  <c r="I231" i="34" s="1"/>
  <c r="E157" i="34"/>
  <c r="I157" i="34" s="1"/>
  <c r="E193" i="34"/>
  <c r="I193" i="34" s="1"/>
  <c r="E162" i="34"/>
  <c r="I162" i="34" s="1"/>
  <c r="E194" i="34"/>
  <c r="I194" i="34" s="1"/>
  <c r="E165" i="34"/>
  <c r="I165" i="34" s="1"/>
  <c r="E133" i="34"/>
  <c r="I133" i="34" s="1"/>
  <c r="E161" i="34"/>
  <c r="I161" i="34" s="1"/>
  <c r="E126" i="34"/>
  <c r="I126" i="34" s="1"/>
  <c r="E110" i="34"/>
  <c r="I110" i="34" s="1"/>
  <c r="E82" i="34"/>
  <c r="I82" i="34" s="1"/>
  <c r="E50" i="34"/>
  <c r="I50" i="34" s="1"/>
  <c r="E19" i="34"/>
  <c r="I19" i="34" s="1"/>
  <c r="E113" i="34"/>
  <c r="I113" i="34" s="1"/>
  <c r="E77" i="34"/>
  <c r="I77" i="34" s="1"/>
  <c r="E45" i="34"/>
  <c r="I45" i="34" s="1"/>
  <c r="E122" i="34"/>
  <c r="I122" i="34" s="1"/>
  <c r="E90" i="34"/>
  <c r="I90" i="34" s="1"/>
  <c r="E58" i="34"/>
  <c r="I58" i="34" s="1"/>
  <c r="E27" i="34"/>
  <c r="I27" i="34" s="1"/>
  <c r="E109" i="34"/>
  <c r="I109" i="34" s="1"/>
  <c r="E78" i="34"/>
  <c r="I78" i="34" s="1"/>
  <c r="E46" i="34"/>
  <c r="I46" i="34" s="1"/>
  <c r="E305" i="34"/>
  <c r="I305" i="34" s="1"/>
  <c r="E301" i="34"/>
  <c r="I301" i="34" s="1"/>
  <c r="E297" i="34"/>
  <c r="I297" i="34" s="1"/>
  <c r="E263" i="34"/>
  <c r="I263" i="34" s="1"/>
  <c r="E271" i="34"/>
  <c r="I271" i="34" s="1"/>
  <c r="E239" i="34"/>
  <c r="I239" i="34" s="1"/>
  <c r="E295" i="34"/>
  <c r="I295" i="34" s="1"/>
  <c r="E267" i="34"/>
  <c r="I267" i="34" s="1"/>
  <c r="E218" i="34"/>
  <c r="I218" i="34" s="1"/>
  <c r="E291" i="34"/>
  <c r="I291" i="34" s="1"/>
  <c r="E254" i="34"/>
  <c r="I254" i="34" s="1"/>
  <c r="E214" i="34"/>
  <c r="I214" i="34" s="1"/>
  <c r="E182" i="34"/>
  <c r="I182" i="34" s="1"/>
  <c r="E150" i="34"/>
  <c r="I150" i="34" s="1"/>
  <c r="E185" i="34"/>
  <c r="I185" i="34" s="1"/>
  <c r="E153" i="34"/>
  <c r="I153" i="34" s="1"/>
  <c r="E186" i="34"/>
  <c r="I186" i="34" s="1"/>
  <c r="E158" i="34"/>
  <c r="I158" i="34" s="1"/>
  <c r="E189" i="34"/>
  <c r="I189" i="34" s="1"/>
  <c r="E154" i="34"/>
  <c r="I154" i="34" s="1"/>
  <c r="E105" i="34"/>
  <c r="I105" i="34" s="1"/>
  <c r="E73" i="34"/>
  <c r="I73" i="34" s="1"/>
  <c r="E130" i="34"/>
  <c r="I130" i="34" s="1"/>
  <c r="E102" i="34"/>
  <c r="I102" i="34" s="1"/>
  <c r="E70" i="34"/>
  <c r="I70" i="34" s="1"/>
  <c r="E38" i="34"/>
  <c r="I38" i="34" s="1"/>
  <c r="E114" i="34"/>
  <c r="I114" i="34" s="1"/>
  <c r="E81" i="34"/>
  <c r="I81" i="34" s="1"/>
  <c r="E49" i="34"/>
  <c r="I49" i="34" s="1"/>
  <c r="E18" i="34"/>
  <c r="I18" i="34" s="1"/>
  <c r="E101" i="34"/>
  <c r="I101" i="34" s="1"/>
  <c r="E69" i="34"/>
  <c r="I69" i="34" s="1"/>
  <c r="E39" i="34"/>
  <c r="I39" i="34" s="1"/>
  <c r="E298" i="34"/>
  <c r="I298" i="34" s="1"/>
  <c r="E322" i="34"/>
  <c r="I322" i="34" s="1"/>
  <c r="E318" i="34"/>
  <c r="I318" i="34" s="1"/>
  <c r="E255" i="34"/>
  <c r="I255" i="34" s="1"/>
  <c r="E266" i="34"/>
  <c r="I266" i="34" s="1"/>
  <c r="E213" i="34"/>
  <c r="I213" i="34" s="1"/>
  <c r="E286" i="34"/>
  <c r="I286" i="34" s="1"/>
  <c r="E259" i="34"/>
  <c r="I259" i="34" s="1"/>
  <c r="E278" i="34"/>
  <c r="I278" i="34" s="1"/>
  <c r="E282" i="34"/>
  <c r="I282" i="34" s="1"/>
  <c r="E247" i="34"/>
  <c r="I247" i="34" s="1"/>
  <c r="E173" i="34"/>
  <c r="I173" i="34" s="1"/>
  <c r="E141" i="34"/>
  <c r="I141" i="34" s="1"/>
  <c r="E178" i="34"/>
  <c r="I178" i="34" s="1"/>
  <c r="E146" i="34"/>
  <c r="I146" i="34" s="1"/>
  <c r="E181" i="34"/>
  <c r="I181" i="34" s="1"/>
  <c r="E149" i="34"/>
  <c r="I149" i="34" s="1"/>
  <c r="E177" i="34"/>
  <c r="I177" i="34" s="1"/>
  <c r="E145" i="34"/>
  <c r="I145" i="34" s="1"/>
  <c r="E118" i="34"/>
  <c r="I118" i="34" s="1"/>
  <c r="E98" i="34"/>
  <c r="I98" i="34" s="1"/>
  <c r="E66" i="34"/>
  <c r="I66" i="34" s="1"/>
  <c r="E35" i="34"/>
  <c r="I35" i="34" s="1"/>
  <c r="E129" i="34"/>
  <c r="I129" i="34" s="1"/>
  <c r="E93" i="34"/>
  <c r="I93" i="34" s="1"/>
  <c r="E61" i="34"/>
  <c r="I61" i="34" s="1"/>
  <c r="E31" i="34"/>
  <c r="I31" i="34" s="1"/>
  <c r="E106" i="34"/>
  <c r="I106" i="34" s="1"/>
  <c r="E74" i="34"/>
  <c r="I74" i="34" s="1"/>
  <c r="E42" i="34"/>
  <c r="I42" i="34" s="1"/>
  <c r="E125" i="34"/>
  <c r="I125" i="34" s="1"/>
  <c r="E94" i="34"/>
  <c r="I94" i="34" s="1"/>
  <c r="E62" i="34"/>
  <c r="I62" i="34" s="1"/>
  <c r="E30" i="34"/>
  <c r="I30" i="34" s="1"/>
  <c r="E16" i="34"/>
  <c r="F6" i="25"/>
  <c r="D6" i="39"/>
  <c r="D6" i="12"/>
  <c r="G320" i="9"/>
  <c r="E6" i="54" l="1"/>
  <c r="E314" i="54" s="1"/>
  <c r="D314" i="54"/>
  <c r="E20" i="12"/>
  <c r="G20" i="12" s="1"/>
  <c r="H20" i="12" s="1"/>
  <c r="I20" i="12" s="1"/>
  <c r="J20" i="12" s="1"/>
  <c r="E20" i="39"/>
  <c r="G20" i="39" s="1"/>
  <c r="H20" i="39" s="1"/>
  <c r="I20" i="39" s="1"/>
  <c r="J20" i="39" s="1"/>
  <c r="I20" i="25" s="1"/>
  <c r="E32" i="12"/>
  <c r="G32" i="12" s="1"/>
  <c r="H32" i="12" s="1"/>
  <c r="I32" i="12" s="1"/>
  <c r="J32" i="12" s="1"/>
  <c r="E32" i="39"/>
  <c r="G32" i="39" s="1"/>
  <c r="H32" i="39" s="1"/>
  <c r="I32" i="39" s="1"/>
  <c r="J32" i="39" s="1"/>
  <c r="I32" i="25" s="1"/>
  <c r="E51" i="12"/>
  <c r="G51" i="12" s="1"/>
  <c r="H51" i="12" s="1"/>
  <c r="I51" i="12" s="1"/>
  <c r="J51" i="12" s="1"/>
  <c r="E51" i="39"/>
  <c r="G51" i="39" s="1"/>
  <c r="H51" i="39" s="1"/>
  <c r="I51" i="39" s="1"/>
  <c r="J51" i="39" s="1"/>
  <c r="I51" i="25" s="1"/>
  <c r="E56" i="12"/>
  <c r="G56" i="12" s="1"/>
  <c r="H56" i="12" s="1"/>
  <c r="E56" i="39"/>
  <c r="G56" i="39" s="1"/>
  <c r="H56" i="39" s="1"/>
  <c r="I56" i="39" s="1"/>
  <c r="J56" i="39" s="1"/>
  <c r="E167" i="12"/>
  <c r="G167" i="12" s="1"/>
  <c r="H167" i="12" s="1"/>
  <c r="I167" i="12" s="1"/>
  <c r="J167" i="12" s="1"/>
  <c r="E167" i="39"/>
  <c r="G167" i="39" s="1"/>
  <c r="H167" i="39" s="1"/>
  <c r="I167" i="39" s="1"/>
  <c r="J167" i="39" s="1"/>
  <c r="I167" i="25" s="1"/>
  <c r="E168" i="12"/>
  <c r="G168" i="12" s="1"/>
  <c r="H168" i="12" s="1"/>
  <c r="I168" i="12" s="1"/>
  <c r="E168" i="39"/>
  <c r="G168" i="39" s="1"/>
  <c r="H168" i="39" s="1"/>
  <c r="I168" i="39" s="1"/>
  <c r="J168" i="39" s="1"/>
  <c r="I168" i="25" s="1"/>
  <c r="E272" i="12"/>
  <c r="G272" i="12" s="1"/>
  <c r="H272" i="12" s="1"/>
  <c r="I272" i="12" s="1"/>
  <c r="J272" i="12" s="1"/>
  <c r="E272" i="39"/>
  <c r="G272" i="39" s="1"/>
  <c r="H272" i="39" s="1"/>
  <c r="I272" i="39" s="1"/>
  <c r="J272" i="39" s="1"/>
  <c r="I272" i="25" s="1"/>
  <c r="E203" i="12"/>
  <c r="G203" i="12" s="1"/>
  <c r="H203" i="12" s="1"/>
  <c r="E203" i="39"/>
  <c r="G203" i="39" s="1"/>
  <c r="H203" i="39" s="1"/>
  <c r="I203" i="39" s="1"/>
  <c r="J203" i="39" s="1"/>
  <c r="I203" i="25" s="1"/>
  <c r="E312" i="12"/>
  <c r="G312" i="12" s="1"/>
  <c r="H312" i="12" s="1"/>
  <c r="I312" i="12" s="1"/>
  <c r="J312" i="12" s="1"/>
  <c r="E312" i="39"/>
  <c r="G312" i="39" s="1"/>
  <c r="H312" i="39" s="1"/>
  <c r="I312" i="39" s="1"/>
  <c r="J312" i="39" s="1"/>
  <c r="I312" i="25" s="1"/>
  <c r="E91" i="12"/>
  <c r="G91" i="12" s="1"/>
  <c r="H91" i="12" s="1"/>
  <c r="I91" i="12" s="1"/>
  <c r="J91" i="12" s="1"/>
  <c r="E91" i="39"/>
  <c r="G91" i="39" s="1"/>
  <c r="H91" i="39" s="1"/>
  <c r="I91" i="39" s="1"/>
  <c r="J91" i="39" s="1"/>
  <c r="I91" i="25" s="1"/>
  <c r="E104" i="12"/>
  <c r="G104" i="12" s="1"/>
  <c r="H104" i="12" s="1"/>
  <c r="I104" i="12" s="1"/>
  <c r="J104" i="12" s="1"/>
  <c r="E104" i="39"/>
  <c r="G104" i="39" s="1"/>
  <c r="H104" i="39" s="1"/>
  <c r="I104" i="39" s="1"/>
  <c r="J104" i="39" s="1"/>
  <c r="I104" i="25" s="1"/>
  <c r="E120" i="12"/>
  <c r="G120" i="12" s="1"/>
  <c r="H120" i="12" s="1"/>
  <c r="I120" i="12" s="1"/>
  <c r="J120" i="12" s="1"/>
  <c r="E120" i="39"/>
  <c r="G120" i="39" s="1"/>
  <c r="H120" i="39" s="1"/>
  <c r="I120" i="39" s="1"/>
  <c r="J120" i="39" s="1"/>
  <c r="I120" i="25" s="1"/>
  <c r="E144" i="12"/>
  <c r="G144" i="12" s="1"/>
  <c r="H144" i="12" s="1"/>
  <c r="I144" i="12" s="1"/>
  <c r="J144" i="12" s="1"/>
  <c r="E144" i="39"/>
  <c r="G144" i="39" s="1"/>
  <c r="H144" i="39" s="1"/>
  <c r="I144" i="39" s="1"/>
  <c r="J144" i="39" s="1"/>
  <c r="I144" i="25" s="1"/>
  <c r="E143" i="12"/>
  <c r="G143" i="12" s="1"/>
  <c r="H143" i="12" s="1"/>
  <c r="I143" i="12" s="1"/>
  <c r="J143" i="12" s="1"/>
  <c r="E143" i="39"/>
  <c r="G143" i="39" s="1"/>
  <c r="H143" i="39" s="1"/>
  <c r="I143" i="39" s="1"/>
  <c r="J143" i="39" s="1"/>
  <c r="I143" i="25" s="1"/>
  <c r="E204" i="12"/>
  <c r="G204" i="12" s="1"/>
  <c r="H204" i="12" s="1"/>
  <c r="I204" i="12" s="1"/>
  <c r="J204" i="12" s="1"/>
  <c r="E204" i="39"/>
  <c r="G204" i="39" s="1"/>
  <c r="H204" i="39" s="1"/>
  <c r="I204" i="39" s="1"/>
  <c r="J204" i="39" s="1"/>
  <c r="I204" i="25" s="1"/>
  <c r="E257" i="12"/>
  <c r="G257" i="12" s="1"/>
  <c r="H257" i="12" s="1"/>
  <c r="I257" i="12" s="1"/>
  <c r="E257" i="39"/>
  <c r="G257" i="39" s="1"/>
  <c r="H257" i="39" s="1"/>
  <c r="I257" i="39" s="1"/>
  <c r="J257" i="39" s="1"/>
  <c r="I257" i="25" s="1"/>
  <c r="E253" i="12"/>
  <c r="G253" i="12" s="1"/>
  <c r="H253" i="12" s="1"/>
  <c r="I253" i="12" s="1"/>
  <c r="J253" i="12" s="1"/>
  <c r="E253" i="39"/>
  <c r="G253" i="39" s="1"/>
  <c r="H253" i="39" s="1"/>
  <c r="I253" i="39" s="1"/>
  <c r="J253" i="39" s="1"/>
  <c r="I253" i="25" s="1"/>
  <c r="E36" i="12"/>
  <c r="G36" i="12" s="1"/>
  <c r="H36" i="12" s="1"/>
  <c r="I36" i="12" s="1"/>
  <c r="J36" i="12" s="1"/>
  <c r="E36" i="39"/>
  <c r="G36" i="39" s="1"/>
  <c r="H36" i="39" s="1"/>
  <c r="I36" i="39" s="1"/>
  <c r="J36" i="39" s="1"/>
  <c r="I36" i="25" s="1"/>
  <c r="E48" i="12"/>
  <c r="G48" i="12" s="1"/>
  <c r="H48" i="12" s="1"/>
  <c r="I48" i="12" s="1"/>
  <c r="J48" i="12" s="1"/>
  <c r="E48" i="39"/>
  <c r="G48" i="39" s="1"/>
  <c r="H48" i="39" s="1"/>
  <c r="I48" i="39" s="1"/>
  <c r="J48" i="39" s="1"/>
  <c r="I48" i="25" s="1"/>
  <c r="E67" i="12"/>
  <c r="G67" i="12" s="1"/>
  <c r="H67" i="12" s="1"/>
  <c r="E67" i="39"/>
  <c r="G67" i="39" s="1"/>
  <c r="H67" i="39" s="1"/>
  <c r="I67" i="39" s="1"/>
  <c r="J67" i="39" s="1"/>
  <c r="I67" i="25" s="1"/>
  <c r="E72" i="12"/>
  <c r="G72" i="12" s="1"/>
  <c r="H72" i="12" s="1"/>
  <c r="I72" i="12" s="1"/>
  <c r="J72" i="12" s="1"/>
  <c r="E72" i="39"/>
  <c r="G72" i="39" s="1"/>
  <c r="H72" i="39" s="1"/>
  <c r="I72" i="39" s="1"/>
  <c r="J72" i="39" s="1"/>
  <c r="I72" i="25" s="1"/>
  <c r="E123" i="12"/>
  <c r="G123" i="12" s="1"/>
  <c r="H123" i="12" s="1"/>
  <c r="I123" i="12" s="1"/>
  <c r="J123" i="12" s="1"/>
  <c r="E123" i="39"/>
  <c r="G123" i="39" s="1"/>
  <c r="H123" i="39" s="1"/>
  <c r="I123" i="39" s="1"/>
  <c r="J123" i="39" s="1"/>
  <c r="I123" i="25" s="1"/>
  <c r="E183" i="12"/>
  <c r="G183" i="12" s="1"/>
  <c r="H183" i="12" s="1"/>
  <c r="I183" i="12" s="1"/>
  <c r="E183" i="39"/>
  <c r="G183" i="39" s="1"/>
  <c r="H183" i="39" s="1"/>
  <c r="I183" i="39" s="1"/>
  <c r="J183" i="39" s="1"/>
  <c r="I183" i="25" s="1"/>
  <c r="E233" i="12"/>
  <c r="G233" i="12" s="1"/>
  <c r="H233" i="12" s="1"/>
  <c r="I233" i="12" s="1"/>
  <c r="J233" i="12" s="1"/>
  <c r="E233" i="39"/>
  <c r="G233" i="39" s="1"/>
  <c r="H233" i="39" s="1"/>
  <c r="I233" i="39" s="1"/>
  <c r="J233" i="39" s="1"/>
  <c r="I233" i="25" s="1"/>
  <c r="E236" i="12"/>
  <c r="G236" i="12" s="1"/>
  <c r="H236" i="12" s="1"/>
  <c r="I236" i="12" s="1"/>
  <c r="E236" i="39"/>
  <c r="G236" i="39" s="1"/>
  <c r="H236" i="39" s="1"/>
  <c r="I236" i="39" s="1"/>
  <c r="J236" i="39" s="1"/>
  <c r="I236" i="25" s="1"/>
  <c r="E300" i="12"/>
  <c r="G300" i="12" s="1"/>
  <c r="H300" i="12" s="1"/>
  <c r="I300" i="12" s="1"/>
  <c r="E300" i="39"/>
  <c r="G300" i="39" s="1"/>
  <c r="H300" i="39" s="1"/>
  <c r="I300" i="39" s="1"/>
  <c r="J300" i="39" s="1"/>
  <c r="I300" i="25" s="1"/>
  <c r="E75" i="12"/>
  <c r="G75" i="12" s="1"/>
  <c r="H75" i="12" s="1"/>
  <c r="I75" i="12" s="1"/>
  <c r="J75" i="12" s="1"/>
  <c r="E75" i="39"/>
  <c r="G75" i="39" s="1"/>
  <c r="H75" i="39" s="1"/>
  <c r="I75" i="39" s="1"/>
  <c r="J75" i="39" s="1"/>
  <c r="I75" i="25" s="1"/>
  <c r="E87" i="12"/>
  <c r="G87" i="12" s="1"/>
  <c r="H87" i="12" s="1"/>
  <c r="I87" i="12" s="1"/>
  <c r="J87" i="12" s="1"/>
  <c r="E87" i="39"/>
  <c r="G87" i="39" s="1"/>
  <c r="H87" i="39" s="1"/>
  <c r="I87" i="39" s="1"/>
  <c r="J87" i="39" s="1"/>
  <c r="I87" i="25" s="1"/>
  <c r="E111" i="12"/>
  <c r="G111" i="12" s="1"/>
  <c r="H111" i="12" s="1"/>
  <c r="I111" i="12" s="1"/>
  <c r="J111" i="12" s="1"/>
  <c r="E111" i="39"/>
  <c r="G111" i="39" s="1"/>
  <c r="H111" i="39" s="1"/>
  <c r="I111" i="39" s="1"/>
  <c r="J111" i="39" s="1"/>
  <c r="I111" i="25" s="1"/>
  <c r="E128" i="12"/>
  <c r="G128" i="12" s="1"/>
  <c r="H128" i="12" s="1"/>
  <c r="I128" i="12" s="1"/>
  <c r="J128" i="12" s="1"/>
  <c r="E128" i="39"/>
  <c r="G128" i="39" s="1"/>
  <c r="H128" i="39" s="1"/>
  <c r="I128" i="39" s="1"/>
  <c r="J128" i="39" s="1"/>
  <c r="I128" i="25" s="1"/>
  <c r="E127" i="12"/>
  <c r="G127" i="12" s="1"/>
  <c r="H127" i="12" s="1"/>
  <c r="I127" i="12" s="1"/>
  <c r="E127" i="39"/>
  <c r="G127" i="39" s="1"/>
  <c r="H127" i="39" s="1"/>
  <c r="I127" i="39" s="1"/>
  <c r="J127" i="39" s="1"/>
  <c r="I127" i="25" s="1"/>
  <c r="E180" i="12"/>
  <c r="G180" i="12" s="1"/>
  <c r="H180" i="12" s="1"/>
  <c r="I180" i="12" s="1"/>
  <c r="J180" i="12" s="1"/>
  <c r="E180" i="39"/>
  <c r="G180" i="39" s="1"/>
  <c r="H180" i="39" s="1"/>
  <c r="I180" i="39" s="1"/>
  <c r="J180" i="39" s="1"/>
  <c r="I180" i="25" s="1"/>
  <c r="E241" i="12"/>
  <c r="G241" i="12" s="1"/>
  <c r="H241" i="12" s="1"/>
  <c r="I241" i="12" s="1"/>
  <c r="E241" i="39"/>
  <c r="G241" i="39" s="1"/>
  <c r="H241" i="39" s="1"/>
  <c r="I241" i="39" s="1"/>
  <c r="J241" i="39" s="1"/>
  <c r="I241" i="25" s="1"/>
  <c r="E280" i="12"/>
  <c r="G280" i="12" s="1"/>
  <c r="H280" i="12" s="1"/>
  <c r="I280" i="12" s="1"/>
  <c r="J280" i="12" s="1"/>
  <c r="E280" i="39"/>
  <c r="G280" i="39" s="1"/>
  <c r="H280" i="39" s="1"/>
  <c r="I280" i="39" s="1"/>
  <c r="J280" i="39" s="1"/>
  <c r="I280" i="25" s="1"/>
  <c r="E311" i="12"/>
  <c r="G311" i="12" s="1"/>
  <c r="H311" i="12" s="1"/>
  <c r="I311" i="12" s="1"/>
  <c r="J311" i="12" s="1"/>
  <c r="E311" i="39"/>
  <c r="G311" i="39" s="1"/>
  <c r="H311" i="39" s="1"/>
  <c r="I311" i="39" s="1"/>
  <c r="J311" i="39" s="1"/>
  <c r="I311" i="25" s="1"/>
  <c r="E286" i="12"/>
  <c r="G286" i="12" s="1"/>
  <c r="H286" i="12" s="1"/>
  <c r="I286" i="12" s="1"/>
  <c r="J286" i="12" s="1"/>
  <c r="E286" i="39"/>
  <c r="G286" i="39" s="1"/>
  <c r="H286" i="39" s="1"/>
  <c r="I286" i="39" s="1"/>
  <c r="J286" i="39" s="1"/>
  <c r="I286" i="25" s="1"/>
  <c r="E293" i="12"/>
  <c r="G293" i="12" s="1"/>
  <c r="H293" i="12" s="1"/>
  <c r="I293" i="12" s="1"/>
  <c r="J293" i="12" s="1"/>
  <c r="E293" i="39"/>
  <c r="G293" i="39" s="1"/>
  <c r="H293" i="39" s="1"/>
  <c r="I293" i="39" s="1"/>
  <c r="J293" i="39" s="1"/>
  <c r="I293" i="25" s="1"/>
  <c r="E298" i="12"/>
  <c r="G298" i="12" s="1"/>
  <c r="H298" i="12" s="1"/>
  <c r="I298" i="12" s="1"/>
  <c r="J298" i="12" s="1"/>
  <c r="E298" i="39"/>
  <c r="G298" i="39" s="1"/>
  <c r="H298" i="39" s="1"/>
  <c r="I298" i="39" s="1"/>
  <c r="J298" i="39" s="1"/>
  <c r="I298" i="25" s="1"/>
  <c r="E228" i="12"/>
  <c r="G228" i="12" s="1"/>
  <c r="H228" i="12" s="1"/>
  <c r="I228" i="12" s="1"/>
  <c r="J228" i="12" s="1"/>
  <c r="E228" i="39"/>
  <c r="G228" i="39" s="1"/>
  <c r="H228" i="39" s="1"/>
  <c r="I228" i="39" s="1"/>
  <c r="J228" i="39" s="1"/>
  <c r="I228" i="25" s="1"/>
  <c r="E212" i="12"/>
  <c r="G212" i="12" s="1"/>
  <c r="H212" i="12" s="1"/>
  <c r="I212" i="12" s="1"/>
  <c r="E212" i="39"/>
  <c r="G212" i="39" s="1"/>
  <c r="H212" i="39" s="1"/>
  <c r="I212" i="39" s="1"/>
  <c r="J212" i="39" s="1"/>
  <c r="I212" i="25" s="1"/>
  <c r="E188" i="12"/>
  <c r="G188" i="12" s="1"/>
  <c r="H188" i="12" s="1"/>
  <c r="I188" i="12" s="1"/>
  <c r="J188" i="12" s="1"/>
  <c r="E188" i="39"/>
  <c r="G188" i="39" s="1"/>
  <c r="H188" i="39" s="1"/>
  <c r="I188" i="39" s="1"/>
  <c r="J188" i="39" s="1"/>
  <c r="I188" i="25" s="1"/>
  <c r="E173" i="12"/>
  <c r="G173" i="12" s="1"/>
  <c r="H173" i="12" s="1"/>
  <c r="I173" i="12" s="1"/>
  <c r="E173" i="39"/>
  <c r="G173" i="39" s="1"/>
  <c r="H173" i="39" s="1"/>
  <c r="I173" i="39" s="1"/>
  <c r="J173" i="39" s="1"/>
  <c r="I173" i="25" s="1"/>
  <c r="E271" i="12"/>
  <c r="G271" i="12" s="1"/>
  <c r="H271" i="12" s="1"/>
  <c r="I271" i="12" s="1"/>
  <c r="J271" i="12" s="1"/>
  <c r="E271" i="39"/>
  <c r="G271" i="39" s="1"/>
  <c r="H271" i="39" s="1"/>
  <c r="I271" i="39" s="1"/>
  <c r="J271" i="39" s="1"/>
  <c r="I271" i="25" s="1"/>
  <c r="E255" i="12"/>
  <c r="G255" i="12" s="1"/>
  <c r="H255" i="12" s="1"/>
  <c r="I255" i="12" s="1"/>
  <c r="J255" i="12" s="1"/>
  <c r="E255" i="39"/>
  <c r="G255" i="39" s="1"/>
  <c r="H255" i="39" s="1"/>
  <c r="I255" i="39" s="1"/>
  <c r="J255" i="39" s="1"/>
  <c r="I255" i="25" s="1"/>
  <c r="E239" i="12"/>
  <c r="G239" i="12" s="1"/>
  <c r="H239" i="12" s="1"/>
  <c r="I239" i="12" s="1"/>
  <c r="J239" i="12" s="1"/>
  <c r="E239" i="39"/>
  <c r="G239" i="39" s="1"/>
  <c r="H239" i="39" s="1"/>
  <c r="I239" i="39" s="1"/>
  <c r="J239" i="39" s="1"/>
  <c r="I239" i="25" s="1"/>
  <c r="E223" i="12"/>
  <c r="G223" i="12" s="1"/>
  <c r="H223" i="12" s="1"/>
  <c r="I223" i="12" s="1"/>
  <c r="J223" i="12" s="1"/>
  <c r="E223" i="39"/>
  <c r="G223" i="39" s="1"/>
  <c r="H223" i="39" s="1"/>
  <c r="I223" i="39" s="1"/>
  <c r="J223" i="39" s="1"/>
  <c r="I223" i="25" s="1"/>
  <c r="E207" i="12"/>
  <c r="G207" i="12" s="1"/>
  <c r="H207" i="12" s="1"/>
  <c r="I207" i="12" s="1"/>
  <c r="J207" i="12" s="1"/>
  <c r="E207" i="39"/>
  <c r="G207" i="39" s="1"/>
  <c r="H207" i="39" s="1"/>
  <c r="I207" i="39" s="1"/>
  <c r="J207" i="39" s="1"/>
  <c r="I207" i="25" s="1"/>
  <c r="E187" i="12"/>
  <c r="G187" i="12" s="1"/>
  <c r="H187" i="12" s="1"/>
  <c r="I187" i="12" s="1"/>
  <c r="J187" i="12" s="1"/>
  <c r="E187" i="39"/>
  <c r="G187" i="39" s="1"/>
  <c r="H187" i="39" s="1"/>
  <c r="I187" i="39" s="1"/>
  <c r="J187" i="39" s="1"/>
  <c r="I187" i="25" s="1"/>
  <c r="E270" i="12"/>
  <c r="G270" i="12" s="1"/>
  <c r="H270" i="12" s="1"/>
  <c r="I270" i="12" s="1"/>
  <c r="E270" i="39"/>
  <c r="G270" i="39" s="1"/>
  <c r="H270" i="39" s="1"/>
  <c r="I270" i="39" s="1"/>
  <c r="J270" i="39" s="1"/>
  <c r="I270" i="25" s="1"/>
  <c r="E254" i="12"/>
  <c r="G254" i="12" s="1"/>
  <c r="H254" i="12" s="1"/>
  <c r="I254" i="12" s="1"/>
  <c r="J254" i="12" s="1"/>
  <c r="E254" i="39"/>
  <c r="G254" i="39" s="1"/>
  <c r="H254" i="39" s="1"/>
  <c r="I254" i="39" s="1"/>
  <c r="J254" i="39" s="1"/>
  <c r="I254" i="25" s="1"/>
  <c r="E238" i="12"/>
  <c r="G238" i="12" s="1"/>
  <c r="H238" i="12" s="1"/>
  <c r="I238" i="12" s="1"/>
  <c r="J238" i="12" s="1"/>
  <c r="E238" i="39"/>
  <c r="G238" i="39" s="1"/>
  <c r="H238" i="39" s="1"/>
  <c r="I238" i="39" s="1"/>
  <c r="J238" i="39" s="1"/>
  <c r="I238" i="25" s="1"/>
  <c r="E222" i="12"/>
  <c r="G222" i="12" s="1"/>
  <c r="H222" i="12" s="1"/>
  <c r="I222" i="12" s="1"/>
  <c r="J222" i="12" s="1"/>
  <c r="E222" i="39"/>
  <c r="G222" i="39" s="1"/>
  <c r="H222" i="39" s="1"/>
  <c r="I222" i="39" s="1"/>
  <c r="J222" i="39" s="1"/>
  <c r="I222" i="25" s="1"/>
  <c r="E206" i="12"/>
  <c r="G206" i="12" s="1"/>
  <c r="H206" i="12" s="1"/>
  <c r="I206" i="12" s="1"/>
  <c r="J206" i="12" s="1"/>
  <c r="E206" i="39"/>
  <c r="G206" i="39" s="1"/>
  <c r="H206" i="39" s="1"/>
  <c r="I206" i="39" s="1"/>
  <c r="J206" i="39" s="1"/>
  <c r="I206" i="25" s="1"/>
  <c r="E190" i="12"/>
  <c r="G190" i="12" s="1"/>
  <c r="H190" i="12" s="1"/>
  <c r="I190" i="12" s="1"/>
  <c r="J190" i="12" s="1"/>
  <c r="E190" i="39"/>
  <c r="G190" i="39" s="1"/>
  <c r="H190" i="39" s="1"/>
  <c r="I190" i="39" s="1"/>
  <c r="J190" i="39" s="1"/>
  <c r="I190" i="25" s="1"/>
  <c r="E177" i="12"/>
  <c r="G177" i="12" s="1"/>
  <c r="H177" i="12" s="1"/>
  <c r="I177" i="12" s="1"/>
  <c r="J177" i="12" s="1"/>
  <c r="E177" i="39"/>
  <c r="G177" i="39" s="1"/>
  <c r="H177" i="39" s="1"/>
  <c r="I177" i="39" s="1"/>
  <c r="J177" i="39" s="1"/>
  <c r="I177" i="25" s="1"/>
  <c r="E205" i="12"/>
  <c r="G205" i="12" s="1"/>
  <c r="H205" i="12" s="1"/>
  <c r="I205" i="12" s="1"/>
  <c r="E205" i="39"/>
  <c r="G205" i="39" s="1"/>
  <c r="H205" i="39" s="1"/>
  <c r="I205" i="39" s="1"/>
  <c r="J205" i="39" s="1"/>
  <c r="I205" i="25" s="1"/>
  <c r="E189" i="12"/>
  <c r="G189" i="12" s="1"/>
  <c r="H189" i="12" s="1"/>
  <c r="I189" i="12" s="1"/>
  <c r="J189" i="12" s="1"/>
  <c r="E189" i="39"/>
  <c r="G189" i="39" s="1"/>
  <c r="H189" i="39" s="1"/>
  <c r="I189" i="39" s="1"/>
  <c r="J189" i="39" s="1"/>
  <c r="I189" i="25" s="1"/>
  <c r="E109" i="12"/>
  <c r="G109" i="12" s="1"/>
  <c r="H109" i="12" s="1"/>
  <c r="I109" i="12" s="1"/>
  <c r="J109" i="12" s="1"/>
  <c r="E109" i="39"/>
  <c r="G109" i="39" s="1"/>
  <c r="H109" i="39" s="1"/>
  <c r="I109" i="39" s="1"/>
  <c r="J109" i="39" s="1"/>
  <c r="I109" i="25" s="1"/>
  <c r="E73" i="12"/>
  <c r="G73" i="12" s="1"/>
  <c r="H73" i="12" s="1"/>
  <c r="I73" i="12" s="1"/>
  <c r="J73" i="12" s="1"/>
  <c r="E73" i="39"/>
  <c r="G73" i="39" s="1"/>
  <c r="H73" i="39" s="1"/>
  <c r="I73" i="39" s="1"/>
  <c r="J73" i="39" s="1"/>
  <c r="I73" i="25" s="1"/>
  <c r="E77" i="12"/>
  <c r="G77" i="12" s="1"/>
  <c r="H77" i="12" s="1"/>
  <c r="I77" i="12" s="1"/>
  <c r="J77" i="12" s="1"/>
  <c r="E77" i="39"/>
  <c r="G77" i="39" s="1"/>
  <c r="H77" i="39" s="1"/>
  <c r="I77" i="39" s="1"/>
  <c r="J77" i="39" s="1"/>
  <c r="I77" i="25" s="1"/>
  <c r="E166" i="12"/>
  <c r="G166" i="12" s="1"/>
  <c r="H166" i="12" s="1"/>
  <c r="I166" i="12" s="1"/>
  <c r="J166" i="12" s="1"/>
  <c r="E166" i="39"/>
  <c r="G166" i="39" s="1"/>
  <c r="H166" i="39" s="1"/>
  <c r="I166" i="39" s="1"/>
  <c r="J166" i="39" s="1"/>
  <c r="I166" i="25" s="1"/>
  <c r="E150" i="12"/>
  <c r="G150" i="12" s="1"/>
  <c r="H150" i="12" s="1"/>
  <c r="I150" i="12" s="1"/>
  <c r="J150" i="12" s="1"/>
  <c r="E150" i="39"/>
  <c r="G150" i="39" s="1"/>
  <c r="H150" i="39" s="1"/>
  <c r="I150" i="39" s="1"/>
  <c r="J150" i="39" s="1"/>
  <c r="I150" i="25" s="1"/>
  <c r="E134" i="12"/>
  <c r="G134" i="12" s="1"/>
  <c r="H134" i="12" s="1"/>
  <c r="I134" i="12" s="1"/>
  <c r="J134" i="12" s="1"/>
  <c r="E134" i="39"/>
  <c r="G134" i="39" s="1"/>
  <c r="H134" i="39" s="1"/>
  <c r="I134" i="39" s="1"/>
  <c r="J134" i="39" s="1"/>
  <c r="I134" i="25" s="1"/>
  <c r="E114" i="12"/>
  <c r="G114" i="12" s="1"/>
  <c r="H114" i="12" s="1"/>
  <c r="I114" i="12" s="1"/>
  <c r="J114" i="12" s="1"/>
  <c r="E114" i="39"/>
  <c r="G114" i="39" s="1"/>
  <c r="H114" i="39" s="1"/>
  <c r="I114" i="39" s="1"/>
  <c r="J114" i="39" s="1"/>
  <c r="I114" i="25" s="1"/>
  <c r="E98" i="12"/>
  <c r="G98" i="12" s="1"/>
  <c r="H98" i="12" s="1"/>
  <c r="I98" i="12" s="1"/>
  <c r="J98" i="12" s="1"/>
  <c r="E98" i="39"/>
  <c r="G98" i="39" s="1"/>
  <c r="H98" i="39" s="1"/>
  <c r="I98" i="39" s="1"/>
  <c r="J98" i="39" s="1"/>
  <c r="I98" i="25" s="1"/>
  <c r="E49" i="12"/>
  <c r="G49" i="12" s="1"/>
  <c r="H49" i="12" s="1"/>
  <c r="I49" i="12" s="1"/>
  <c r="J49" i="12" s="1"/>
  <c r="E49" i="39"/>
  <c r="G49" i="39" s="1"/>
  <c r="H49" i="39" s="1"/>
  <c r="I49" i="39" s="1"/>
  <c r="J49" i="39" s="1"/>
  <c r="I49" i="25" s="1"/>
  <c r="E161" i="12"/>
  <c r="G161" i="12" s="1"/>
  <c r="H161" i="12" s="1"/>
  <c r="I161" i="12" s="1"/>
  <c r="J161" i="12" s="1"/>
  <c r="E161" i="39"/>
  <c r="G161" i="39" s="1"/>
  <c r="H161" i="39" s="1"/>
  <c r="I161" i="39" s="1"/>
  <c r="J161" i="39" s="1"/>
  <c r="I161" i="25" s="1"/>
  <c r="E145" i="12"/>
  <c r="G145" i="12" s="1"/>
  <c r="H145" i="12" s="1"/>
  <c r="I145" i="12" s="1"/>
  <c r="J145" i="12" s="1"/>
  <c r="E145" i="39"/>
  <c r="G145" i="39" s="1"/>
  <c r="H145" i="39" s="1"/>
  <c r="I145" i="39" s="1"/>
  <c r="J145" i="39" s="1"/>
  <c r="I145" i="25" s="1"/>
  <c r="E129" i="12"/>
  <c r="G129" i="12" s="1"/>
  <c r="H129" i="12" s="1"/>
  <c r="I129" i="12" s="1"/>
  <c r="J129" i="12" s="1"/>
  <c r="E129" i="39"/>
  <c r="G129" i="39" s="1"/>
  <c r="H129" i="39" s="1"/>
  <c r="I129" i="39" s="1"/>
  <c r="J129" i="39" s="1"/>
  <c r="I129" i="25" s="1"/>
  <c r="E69" i="12"/>
  <c r="G69" i="12" s="1"/>
  <c r="H69" i="12" s="1"/>
  <c r="I69" i="12" s="1"/>
  <c r="J69" i="12" s="1"/>
  <c r="E69" i="39"/>
  <c r="G69" i="39" s="1"/>
  <c r="H69" i="39" s="1"/>
  <c r="I69" i="39" s="1"/>
  <c r="J69" i="39" s="1"/>
  <c r="I69" i="25" s="1"/>
  <c r="E26" i="12"/>
  <c r="G26" i="12" s="1"/>
  <c r="H26" i="12" s="1"/>
  <c r="I26" i="12" s="1"/>
  <c r="J26" i="12" s="1"/>
  <c r="E26" i="39"/>
  <c r="G26" i="39" s="1"/>
  <c r="H26" i="39" s="1"/>
  <c r="I26" i="39" s="1"/>
  <c r="J26" i="39" s="1"/>
  <c r="I26" i="25" s="1"/>
  <c r="E10" i="12"/>
  <c r="G10" i="12" s="1"/>
  <c r="H10" i="12" s="1"/>
  <c r="I10" i="12" s="1"/>
  <c r="J10" i="12" s="1"/>
  <c r="E10" i="39"/>
  <c r="G10" i="39" s="1"/>
  <c r="H10" i="39" s="1"/>
  <c r="I10" i="39" s="1"/>
  <c r="J10" i="39" s="1"/>
  <c r="I10" i="25" s="1"/>
  <c r="E82" i="12"/>
  <c r="G82" i="12" s="1"/>
  <c r="H82" i="12" s="1"/>
  <c r="I82" i="12" s="1"/>
  <c r="J82" i="12" s="1"/>
  <c r="E82" i="39"/>
  <c r="G82" i="39" s="1"/>
  <c r="H82" i="39" s="1"/>
  <c r="I82" i="39" s="1"/>
  <c r="J82" i="39" s="1"/>
  <c r="I82" i="25" s="1"/>
  <c r="E66" i="12"/>
  <c r="G66" i="12" s="1"/>
  <c r="H66" i="12" s="1"/>
  <c r="I66" i="12" s="1"/>
  <c r="J66" i="12" s="1"/>
  <c r="E66" i="39"/>
  <c r="G66" i="39" s="1"/>
  <c r="H66" i="39" s="1"/>
  <c r="I66" i="39" s="1"/>
  <c r="J66" i="39" s="1"/>
  <c r="I66" i="25" s="1"/>
  <c r="E50" i="12"/>
  <c r="G50" i="12" s="1"/>
  <c r="H50" i="12" s="1"/>
  <c r="I50" i="12" s="1"/>
  <c r="J50" i="12" s="1"/>
  <c r="E50" i="39"/>
  <c r="G50" i="39" s="1"/>
  <c r="H50" i="39" s="1"/>
  <c r="I50" i="39" s="1"/>
  <c r="J50" i="39" s="1"/>
  <c r="I50" i="25" s="1"/>
  <c r="E34" i="12"/>
  <c r="G34" i="12" s="1"/>
  <c r="H34" i="12" s="1"/>
  <c r="I34" i="12" s="1"/>
  <c r="J34" i="12" s="1"/>
  <c r="E34" i="39"/>
  <c r="G34" i="39" s="1"/>
  <c r="H34" i="39" s="1"/>
  <c r="I34" i="39" s="1"/>
  <c r="J34" i="39" s="1"/>
  <c r="I34" i="25" s="1"/>
  <c r="E19" i="12"/>
  <c r="G19" i="12" s="1"/>
  <c r="H19" i="12" s="1"/>
  <c r="I19" i="12" s="1"/>
  <c r="J19" i="12" s="1"/>
  <c r="E19" i="39"/>
  <c r="G19" i="39" s="1"/>
  <c r="H19" i="39" s="1"/>
  <c r="I19" i="39" s="1"/>
  <c r="J19" i="39" s="1"/>
  <c r="I19" i="25" s="1"/>
  <c r="E52" i="12"/>
  <c r="G52" i="12" s="1"/>
  <c r="H52" i="12" s="1"/>
  <c r="I52" i="12" s="1"/>
  <c r="J52" i="12" s="1"/>
  <c r="E52" i="39"/>
  <c r="G52" i="39" s="1"/>
  <c r="H52" i="39" s="1"/>
  <c r="I52" i="39" s="1"/>
  <c r="J52" i="39" s="1"/>
  <c r="I52" i="25" s="1"/>
  <c r="E64" i="12"/>
  <c r="G64" i="12" s="1"/>
  <c r="H64" i="12" s="1"/>
  <c r="I64" i="12" s="1"/>
  <c r="J64" i="12" s="1"/>
  <c r="E64" i="39"/>
  <c r="G64" i="39" s="1"/>
  <c r="H64" i="39" s="1"/>
  <c r="I64" i="39" s="1"/>
  <c r="J64" i="39" s="1"/>
  <c r="I64" i="25" s="1"/>
  <c r="E83" i="12"/>
  <c r="G83" i="12" s="1"/>
  <c r="H83" i="12" s="1"/>
  <c r="I83" i="12" s="1"/>
  <c r="J83" i="12" s="1"/>
  <c r="E83" i="39"/>
  <c r="G83" i="39" s="1"/>
  <c r="H83" i="39" s="1"/>
  <c r="I83" i="39" s="1"/>
  <c r="J83" i="39" s="1"/>
  <c r="I83" i="25" s="1"/>
  <c r="E88" i="12"/>
  <c r="G88" i="12" s="1"/>
  <c r="H88" i="12" s="1"/>
  <c r="I88" i="12" s="1"/>
  <c r="J88" i="12" s="1"/>
  <c r="E88" i="39"/>
  <c r="G88" i="39" s="1"/>
  <c r="H88" i="39" s="1"/>
  <c r="I88" i="39" s="1"/>
  <c r="J88" i="39" s="1"/>
  <c r="I88" i="25" s="1"/>
  <c r="E139" i="12"/>
  <c r="G139" i="12" s="1"/>
  <c r="H139" i="12" s="1"/>
  <c r="I139" i="12" s="1"/>
  <c r="E139" i="39"/>
  <c r="G139" i="39" s="1"/>
  <c r="H139" i="39" s="1"/>
  <c r="I139" i="39" s="1"/>
  <c r="J139" i="39" s="1"/>
  <c r="I139" i="25" s="1"/>
  <c r="E131" i="12"/>
  <c r="G131" i="12" s="1"/>
  <c r="H131" i="12" s="1"/>
  <c r="I131" i="12" s="1"/>
  <c r="J131" i="12" s="1"/>
  <c r="E131" i="39"/>
  <c r="G131" i="39" s="1"/>
  <c r="H131" i="39" s="1"/>
  <c r="I131" i="39" s="1"/>
  <c r="J131" i="39" s="1"/>
  <c r="I131" i="25" s="1"/>
  <c r="E268" i="12"/>
  <c r="G268" i="12" s="1"/>
  <c r="H268" i="12" s="1"/>
  <c r="I268" i="12" s="1"/>
  <c r="J268" i="12" s="1"/>
  <c r="E268" i="39"/>
  <c r="G268" i="39" s="1"/>
  <c r="H268" i="39" s="1"/>
  <c r="I268" i="39" s="1"/>
  <c r="J268" i="39" s="1"/>
  <c r="I268" i="25" s="1"/>
  <c r="E256" i="12"/>
  <c r="G256" i="12" s="1"/>
  <c r="H256" i="12" s="1"/>
  <c r="I256" i="12" s="1"/>
  <c r="J256" i="12" s="1"/>
  <c r="E256" i="39"/>
  <c r="G256" i="39" s="1"/>
  <c r="H256" i="39" s="1"/>
  <c r="I256" i="39" s="1"/>
  <c r="J256" i="39" s="1"/>
  <c r="I256" i="25" s="1"/>
  <c r="E288" i="12"/>
  <c r="G288" i="12" s="1"/>
  <c r="H288" i="12" s="1"/>
  <c r="I288" i="12" s="1"/>
  <c r="J288" i="12" s="1"/>
  <c r="E288" i="39"/>
  <c r="G288" i="39" s="1"/>
  <c r="H288" i="39" s="1"/>
  <c r="I288" i="39" s="1"/>
  <c r="J288" i="39" s="1"/>
  <c r="I288" i="25" s="1"/>
  <c r="E8" i="12"/>
  <c r="G8" i="12" s="1"/>
  <c r="H8" i="12" s="1"/>
  <c r="I8" i="12" s="1"/>
  <c r="J8" i="12" s="1"/>
  <c r="E8" i="39"/>
  <c r="G8" i="39" s="1"/>
  <c r="H8" i="39" s="1"/>
  <c r="I8" i="39" s="1"/>
  <c r="J8" i="39" s="1"/>
  <c r="I8" i="25" s="1"/>
  <c r="E28" i="12"/>
  <c r="G28" i="12" s="1"/>
  <c r="H28" i="12" s="1"/>
  <c r="I28" i="12" s="1"/>
  <c r="J28" i="12" s="1"/>
  <c r="E28" i="39"/>
  <c r="G28" i="39" s="1"/>
  <c r="H28" i="39" s="1"/>
  <c r="I28" i="39" s="1"/>
  <c r="J28" i="39" s="1"/>
  <c r="I28" i="25" s="1"/>
  <c r="E179" i="12"/>
  <c r="G179" i="12" s="1"/>
  <c r="H179" i="12" s="1"/>
  <c r="I179" i="12" s="1"/>
  <c r="J179" i="12" s="1"/>
  <c r="E179" i="39"/>
  <c r="G179" i="39" s="1"/>
  <c r="H179" i="39" s="1"/>
  <c r="I179" i="39" s="1"/>
  <c r="J179" i="39" s="1"/>
  <c r="I179" i="25" s="1"/>
  <c r="E175" i="12"/>
  <c r="G175" i="12" s="1"/>
  <c r="H175" i="12" s="1"/>
  <c r="I175" i="12" s="1"/>
  <c r="J175" i="12" s="1"/>
  <c r="E175" i="39"/>
  <c r="G175" i="39" s="1"/>
  <c r="H175" i="39" s="1"/>
  <c r="I175" i="39" s="1"/>
  <c r="J175" i="39" s="1"/>
  <c r="I175" i="25" s="1"/>
  <c r="E244" i="12"/>
  <c r="G244" i="12" s="1"/>
  <c r="H244" i="12" s="1"/>
  <c r="I244" i="12" s="1"/>
  <c r="E244" i="39"/>
  <c r="G244" i="39" s="1"/>
  <c r="H244" i="39" s="1"/>
  <c r="I244" i="39" s="1"/>
  <c r="J244" i="39" s="1"/>
  <c r="I244" i="25" s="1"/>
  <c r="E285" i="12"/>
  <c r="G285" i="12" s="1"/>
  <c r="H285" i="12" s="1"/>
  <c r="I285" i="12" s="1"/>
  <c r="J285" i="12" s="1"/>
  <c r="E285" i="39"/>
  <c r="G285" i="39" s="1"/>
  <c r="H285" i="39" s="1"/>
  <c r="I285" i="39" s="1"/>
  <c r="J285" i="39" s="1"/>
  <c r="I285" i="25" s="1"/>
  <c r="E287" i="12"/>
  <c r="G287" i="12" s="1"/>
  <c r="H287" i="12" s="1"/>
  <c r="I287" i="12" s="1"/>
  <c r="J287" i="12" s="1"/>
  <c r="E287" i="39"/>
  <c r="G287" i="39" s="1"/>
  <c r="H287" i="39" s="1"/>
  <c r="I287" i="39" s="1"/>
  <c r="J287" i="39" s="1"/>
  <c r="I287" i="25" s="1"/>
  <c r="E68" i="12"/>
  <c r="G68" i="12" s="1"/>
  <c r="H68" i="12" s="1"/>
  <c r="I68" i="12" s="1"/>
  <c r="J68" i="12" s="1"/>
  <c r="E68" i="39"/>
  <c r="G68" i="39" s="1"/>
  <c r="H68" i="39" s="1"/>
  <c r="I68" i="39" s="1"/>
  <c r="J68" i="39" s="1"/>
  <c r="I68" i="25" s="1"/>
  <c r="E80" i="12"/>
  <c r="G80" i="12" s="1"/>
  <c r="H80" i="12" s="1"/>
  <c r="I80" i="12" s="1"/>
  <c r="J80" i="12" s="1"/>
  <c r="E80" i="39"/>
  <c r="G80" i="39" s="1"/>
  <c r="H80" i="39" s="1"/>
  <c r="I80" i="39" s="1"/>
  <c r="J80" i="39" s="1"/>
  <c r="I80" i="25" s="1"/>
  <c r="E103" i="12"/>
  <c r="G103" i="12" s="1"/>
  <c r="H103" i="12" s="1"/>
  <c r="I103" i="12" s="1"/>
  <c r="J103" i="12" s="1"/>
  <c r="E103" i="39"/>
  <c r="G103" i="39" s="1"/>
  <c r="H103" i="39" s="1"/>
  <c r="I103" i="39" s="1"/>
  <c r="J103" i="39" s="1"/>
  <c r="I103" i="25" s="1"/>
  <c r="E100" i="12"/>
  <c r="G100" i="12" s="1"/>
  <c r="H100" i="12" s="1"/>
  <c r="I100" i="12" s="1"/>
  <c r="E100" i="39"/>
  <c r="G100" i="39" s="1"/>
  <c r="H100" i="39" s="1"/>
  <c r="I100" i="39" s="1"/>
  <c r="J100" i="39" s="1"/>
  <c r="I100" i="25" s="1"/>
  <c r="E155" i="12"/>
  <c r="G155" i="12" s="1"/>
  <c r="H155" i="12" s="1"/>
  <c r="I155" i="12" s="1"/>
  <c r="J155" i="12" s="1"/>
  <c r="E155" i="39"/>
  <c r="G155" i="39" s="1"/>
  <c r="H155" i="39" s="1"/>
  <c r="I155" i="39" s="1"/>
  <c r="J155" i="39" s="1"/>
  <c r="I155" i="25" s="1"/>
  <c r="E147" i="12"/>
  <c r="G147" i="12" s="1"/>
  <c r="H147" i="12" s="1"/>
  <c r="I147" i="12" s="1"/>
  <c r="J147" i="12" s="1"/>
  <c r="E147" i="39"/>
  <c r="G147" i="39" s="1"/>
  <c r="H147" i="39" s="1"/>
  <c r="I147" i="39" s="1"/>
  <c r="J147" i="39" s="1"/>
  <c r="I147" i="25" s="1"/>
  <c r="E225" i="12"/>
  <c r="G225" i="12" s="1"/>
  <c r="H225" i="12" s="1"/>
  <c r="I225" i="12" s="1"/>
  <c r="J225" i="12" s="1"/>
  <c r="E225" i="39"/>
  <c r="G225" i="39" s="1"/>
  <c r="H225" i="39" s="1"/>
  <c r="I225" i="39" s="1"/>
  <c r="J225" i="39" s="1"/>
  <c r="I225" i="25" s="1"/>
  <c r="E273" i="12"/>
  <c r="G273" i="12" s="1"/>
  <c r="H273" i="12" s="1"/>
  <c r="I273" i="12" s="1"/>
  <c r="J273" i="12" s="1"/>
  <c r="E273" i="39"/>
  <c r="G273" i="39" s="1"/>
  <c r="H273" i="39" s="1"/>
  <c r="I273" i="39" s="1"/>
  <c r="J273" i="39" s="1"/>
  <c r="I273" i="25" s="1"/>
  <c r="E304" i="12"/>
  <c r="G304" i="12" s="1"/>
  <c r="H304" i="12" s="1"/>
  <c r="I304" i="12" s="1"/>
  <c r="J304" i="12" s="1"/>
  <c r="E304" i="39"/>
  <c r="G304" i="39" s="1"/>
  <c r="H304" i="39" s="1"/>
  <c r="I304" i="39" s="1"/>
  <c r="J304" i="39" s="1"/>
  <c r="I304" i="25" s="1"/>
  <c r="E107" i="12"/>
  <c r="G107" i="12" s="1"/>
  <c r="H107" i="12" s="1"/>
  <c r="I107" i="12" s="1"/>
  <c r="J107" i="12" s="1"/>
  <c r="E107" i="39"/>
  <c r="G107" i="39" s="1"/>
  <c r="H107" i="39" s="1"/>
  <c r="I107" i="39" s="1"/>
  <c r="J107" i="39" s="1"/>
  <c r="I107" i="25" s="1"/>
  <c r="E12" i="12"/>
  <c r="G12" i="12" s="1"/>
  <c r="H12" i="12" s="1"/>
  <c r="I12" i="12" s="1"/>
  <c r="J12" i="12" s="1"/>
  <c r="E12" i="39"/>
  <c r="G12" i="39" s="1"/>
  <c r="H12" i="39" s="1"/>
  <c r="I12" i="39" s="1"/>
  <c r="J12" i="39" s="1"/>
  <c r="I12" i="25" s="1"/>
  <c r="E16" i="12"/>
  <c r="G16" i="12" s="1"/>
  <c r="H16" i="12" s="1"/>
  <c r="I16" i="12" s="1"/>
  <c r="J16" i="12" s="1"/>
  <c r="E16" i="39"/>
  <c r="G16" i="39" s="1"/>
  <c r="H16" i="39" s="1"/>
  <c r="I16" i="39" s="1"/>
  <c r="J16" i="39" s="1"/>
  <c r="I16" i="25" s="1"/>
  <c r="E160" i="12"/>
  <c r="G160" i="12" s="1"/>
  <c r="H160" i="12" s="1"/>
  <c r="I160" i="12" s="1"/>
  <c r="J160" i="12" s="1"/>
  <c r="E160" i="39"/>
  <c r="G160" i="39" s="1"/>
  <c r="H160" i="39" s="1"/>
  <c r="I160" i="39" s="1"/>
  <c r="J160" i="39" s="1"/>
  <c r="I160" i="25" s="1"/>
  <c r="E159" i="12"/>
  <c r="G159" i="12" s="1"/>
  <c r="H159" i="12" s="1"/>
  <c r="I159" i="12" s="1"/>
  <c r="J159" i="12" s="1"/>
  <c r="E159" i="39"/>
  <c r="G159" i="39" s="1"/>
  <c r="H159" i="39" s="1"/>
  <c r="I159" i="39" s="1"/>
  <c r="J159" i="39" s="1"/>
  <c r="I159" i="25" s="1"/>
  <c r="E232" i="12"/>
  <c r="G232" i="12" s="1"/>
  <c r="H232" i="12" s="1"/>
  <c r="I232" i="12" s="1"/>
  <c r="J232" i="12" s="1"/>
  <c r="E232" i="39"/>
  <c r="G232" i="39" s="1"/>
  <c r="H232" i="39" s="1"/>
  <c r="I232" i="39" s="1"/>
  <c r="J232" i="39" s="1"/>
  <c r="I232" i="25" s="1"/>
  <c r="E269" i="12"/>
  <c r="G269" i="12" s="1"/>
  <c r="H269" i="12" s="1"/>
  <c r="I269" i="12" s="1"/>
  <c r="J269" i="12" s="1"/>
  <c r="E269" i="39"/>
  <c r="G269" i="39" s="1"/>
  <c r="H269" i="39" s="1"/>
  <c r="I269" i="39" s="1"/>
  <c r="J269" i="39" s="1"/>
  <c r="I269" i="25" s="1"/>
  <c r="E299" i="12"/>
  <c r="G299" i="12" s="1"/>
  <c r="H299" i="12" s="1"/>
  <c r="I299" i="12" s="1"/>
  <c r="J299" i="12" s="1"/>
  <c r="E299" i="39"/>
  <c r="G299" i="39" s="1"/>
  <c r="H299" i="39" s="1"/>
  <c r="I299" i="39" s="1"/>
  <c r="J299" i="39" s="1"/>
  <c r="I299" i="25" s="1"/>
  <c r="E305" i="12"/>
  <c r="G305" i="12" s="1"/>
  <c r="H305" i="12" s="1"/>
  <c r="I305" i="12" s="1"/>
  <c r="J305" i="12" s="1"/>
  <c r="E305" i="39"/>
  <c r="G305" i="39" s="1"/>
  <c r="H305" i="39" s="1"/>
  <c r="I305" i="39" s="1"/>
  <c r="J305" i="39" s="1"/>
  <c r="I305" i="25" s="1"/>
  <c r="E313" i="12"/>
  <c r="G313" i="12" s="1"/>
  <c r="H313" i="12" s="1"/>
  <c r="I313" i="12" s="1"/>
  <c r="J313" i="12" s="1"/>
  <c r="E313" i="39"/>
  <c r="G313" i="39" s="1"/>
  <c r="H313" i="39" s="1"/>
  <c r="I313" i="39" s="1"/>
  <c r="J313" i="39" s="1"/>
  <c r="I313" i="25" s="1"/>
  <c r="E310" i="12"/>
  <c r="G310" i="12" s="1"/>
  <c r="H310" i="12" s="1"/>
  <c r="I310" i="12" s="1"/>
  <c r="J310" i="12" s="1"/>
  <c r="E310" i="39"/>
  <c r="G310" i="39" s="1"/>
  <c r="H310" i="39" s="1"/>
  <c r="I310" i="39" s="1"/>
  <c r="J310" i="39" s="1"/>
  <c r="I310" i="25" s="1"/>
  <c r="E294" i="12"/>
  <c r="G294" i="12" s="1"/>
  <c r="H294" i="12" s="1"/>
  <c r="I294" i="12" s="1"/>
  <c r="J294" i="12" s="1"/>
  <c r="E294" i="39"/>
  <c r="G294" i="39" s="1"/>
  <c r="H294" i="39" s="1"/>
  <c r="I294" i="39" s="1"/>
  <c r="J294" i="39" s="1"/>
  <c r="I294" i="25" s="1"/>
  <c r="E224" i="12"/>
  <c r="G224" i="12" s="1"/>
  <c r="H224" i="12" s="1"/>
  <c r="I224" i="12" s="1"/>
  <c r="J224" i="12" s="1"/>
  <c r="E224" i="39"/>
  <c r="G224" i="39" s="1"/>
  <c r="H224" i="39" s="1"/>
  <c r="I224" i="39" s="1"/>
  <c r="J224" i="39" s="1"/>
  <c r="I224" i="25" s="1"/>
  <c r="E200" i="12"/>
  <c r="G200" i="12" s="1"/>
  <c r="H200" i="12" s="1"/>
  <c r="I200" i="12" s="1"/>
  <c r="J200" i="12" s="1"/>
  <c r="E200" i="39"/>
  <c r="G200" i="39" s="1"/>
  <c r="H200" i="39" s="1"/>
  <c r="I200" i="39" s="1"/>
  <c r="J200" i="39" s="1"/>
  <c r="I200" i="25" s="1"/>
  <c r="E182" i="12"/>
  <c r="G182" i="12" s="1"/>
  <c r="H182" i="12" s="1"/>
  <c r="I182" i="12" s="1"/>
  <c r="E182" i="39"/>
  <c r="G182" i="39" s="1"/>
  <c r="H182" i="39" s="1"/>
  <c r="I182" i="39" s="1"/>
  <c r="J182" i="39" s="1"/>
  <c r="I182" i="25" s="1"/>
  <c r="E283" i="12"/>
  <c r="G283" i="12" s="1"/>
  <c r="H283" i="12" s="1"/>
  <c r="I283" i="12" s="1"/>
  <c r="J283" i="12" s="1"/>
  <c r="E283" i="39"/>
  <c r="G283" i="39" s="1"/>
  <c r="H283" i="39" s="1"/>
  <c r="I283" i="39" s="1"/>
  <c r="J283" i="39" s="1"/>
  <c r="I283" i="25" s="1"/>
  <c r="E267" i="12"/>
  <c r="G267" i="12" s="1"/>
  <c r="H267" i="12" s="1"/>
  <c r="I267" i="12" s="1"/>
  <c r="J267" i="12" s="1"/>
  <c r="E267" i="39"/>
  <c r="G267" i="39" s="1"/>
  <c r="H267" i="39" s="1"/>
  <c r="I267" i="39" s="1"/>
  <c r="J267" i="39" s="1"/>
  <c r="I267" i="25" s="1"/>
  <c r="E251" i="12"/>
  <c r="G251" i="12" s="1"/>
  <c r="H251" i="12" s="1"/>
  <c r="I251" i="12" s="1"/>
  <c r="J251" i="12" s="1"/>
  <c r="E251" i="39"/>
  <c r="G251" i="39" s="1"/>
  <c r="H251" i="39" s="1"/>
  <c r="I251" i="39" s="1"/>
  <c r="J251" i="39" s="1"/>
  <c r="I251" i="25" s="1"/>
  <c r="E235" i="12"/>
  <c r="G235" i="12" s="1"/>
  <c r="H235" i="12" s="1"/>
  <c r="I235" i="12" s="1"/>
  <c r="J235" i="12" s="1"/>
  <c r="E235" i="39"/>
  <c r="G235" i="39" s="1"/>
  <c r="H235" i="39" s="1"/>
  <c r="I235" i="39" s="1"/>
  <c r="J235" i="39" s="1"/>
  <c r="I235" i="25" s="1"/>
  <c r="E219" i="12"/>
  <c r="G219" i="12" s="1"/>
  <c r="H219" i="12" s="1"/>
  <c r="I219" i="12" s="1"/>
  <c r="J219" i="12" s="1"/>
  <c r="E219" i="39"/>
  <c r="G219" i="39" s="1"/>
  <c r="H219" i="39" s="1"/>
  <c r="I219" i="39" s="1"/>
  <c r="J219" i="39" s="1"/>
  <c r="I219" i="25" s="1"/>
  <c r="E199" i="12"/>
  <c r="G199" i="12" s="1"/>
  <c r="H199" i="12" s="1"/>
  <c r="I199" i="12" s="1"/>
  <c r="J199" i="12" s="1"/>
  <c r="E199" i="39"/>
  <c r="G199" i="39" s="1"/>
  <c r="H199" i="39" s="1"/>
  <c r="I199" i="39" s="1"/>
  <c r="J199" i="39" s="1"/>
  <c r="I199" i="25" s="1"/>
  <c r="E282" i="12"/>
  <c r="G282" i="12" s="1"/>
  <c r="H282" i="12" s="1"/>
  <c r="I282" i="12" s="1"/>
  <c r="J282" i="12" s="1"/>
  <c r="E282" i="39"/>
  <c r="G282" i="39" s="1"/>
  <c r="H282" i="39" s="1"/>
  <c r="I282" i="39" s="1"/>
  <c r="J282" i="39" s="1"/>
  <c r="I282" i="25" s="1"/>
  <c r="E266" i="12"/>
  <c r="G266" i="12" s="1"/>
  <c r="H266" i="12" s="1"/>
  <c r="I266" i="12" s="1"/>
  <c r="J266" i="12" s="1"/>
  <c r="E266" i="39"/>
  <c r="G266" i="39" s="1"/>
  <c r="H266" i="39" s="1"/>
  <c r="I266" i="39" s="1"/>
  <c r="J266" i="39" s="1"/>
  <c r="I266" i="25" s="1"/>
  <c r="E250" i="12"/>
  <c r="G250" i="12" s="1"/>
  <c r="H250" i="12" s="1"/>
  <c r="I250" i="12" s="1"/>
  <c r="J250" i="12" s="1"/>
  <c r="E250" i="39"/>
  <c r="G250" i="39" s="1"/>
  <c r="H250" i="39" s="1"/>
  <c r="I250" i="39" s="1"/>
  <c r="J250" i="39" s="1"/>
  <c r="I250" i="25" s="1"/>
  <c r="E234" i="12"/>
  <c r="G234" i="12" s="1"/>
  <c r="H234" i="12" s="1"/>
  <c r="I234" i="12" s="1"/>
  <c r="J234" i="12" s="1"/>
  <c r="E234" i="39"/>
  <c r="G234" i="39" s="1"/>
  <c r="H234" i="39" s="1"/>
  <c r="I234" i="39" s="1"/>
  <c r="J234" i="39" s="1"/>
  <c r="I234" i="25" s="1"/>
  <c r="E218" i="12"/>
  <c r="G218" i="12" s="1"/>
  <c r="H218" i="12" s="1"/>
  <c r="I218" i="12" s="1"/>
  <c r="J218" i="12" s="1"/>
  <c r="E218" i="39"/>
  <c r="G218" i="39" s="1"/>
  <c r="H218" i="39" s="1"/>
  <c r="I218" i="39" s="1"/>
  <c r="J218" i="39" s="1"/>
  <c r="I218" i="25" s="1"/>
  <c r="E202" i="12"/>
  <c r="G202" i="12" s="1"/>
  <c r="H202" i="12" s="1"/>
  <c r="I202" i="12" s="1"/>
  <c r="J202" i="12" s="1"/>
  <c r="E202" i="39"/>
  <c r="G202" i="39" s="1"/>
  <c r="H202" i="39" s="1"/>
  <c r="I202" i="39" s="1"/>
  <c r="J202" i="39" s="1"/>
  <c r="I202" i="25" s="1"/>
  <c r="E186" i="12"/>
  <c r="G186" i="12" s="1"/>
  <c r="H186" i="12" s="1"/>
  <c r="I186" i="12" s="1"/>
  <c r="J186" i="12" s="1"/>
  <c r="E186" i="39"/>
  <c r="G186" i="39" s="1"/>
  <c r="H186" i="39" s="1"/>
  <c r="I186" i="39" s="1"/>
  <c r="J186" i="39" s="1"/>
  <c r="I186" i="25" s="1"/>
  <c r="E217" i="12"/>
  <c r="G217" i="12" s="1"/>
  <c r="H217" i="12" s="1"/>
  <c r="I217" i="12" s="1"/>
  <c r="J217" i="12" s="1"/>
  <c r="E217" i="39"/>
  <c r="G217" i="39" s="1"/>
  <c r="H217" i="39" s="1"/>
  <c r="I217" i="39" s="1"/>
  <c r="J217" i="39" s="1"/>
  <c r="I217" i="25" s="1"/>
  <c r="E201" i="12"/>
  <c r="G201" i="12" s="1"/>
  <c r="H201" i="12" s="1"/>
  <c r="I201" i="12" s="1"/>
  <c r="E201" i="39"/>
  <c r="G201" i="39" s="1"/>
  <c r="H201" i="39" s="1"/>
  <c r="I201" i="39" s="1"/>
  <c r="J201" i="39" s="1"/>
  <c r="I201" i="25" s="1"/>
  <c r="E118" i="12"/>
  <c r="G118" i="12" s="1"/>
  <c r="H118" i="12" s="1"/>
  <c r="I118" i="12" s="1"/>
  <c r="J118" i="12" s="1"/>
  <c r="E118" i="39"/>
  <c r="G118" i="39" s="1"/>
  <c r="H118" i="39" s="1"/>
  <c r="I118" i="39" s="1"/>
  <c r="J118" i="39" s="1"/>
  <c r="I118" i="25" s="1"/>
  <c r="E102" i="12"/>
  <c r="G102" i="12" s="1"/>
  <c r="H102" i="12" s="1"/>
  <c r="I102" i="12" s="1"/>
  <c r="J102" i="12" s="1"/>
  <c r="E102" i="39"/>
  <c r="G102" i="39" s="1"/>
  <c r="H102" i="39" s="1"/>
  <c r="I102" i="39" s="1"/>
  <c r="J102" i="39" s="1"/>
  <c r="I102" i="25" s="1"/>
  <c r="E57" i="12"/>
  <c r="G57" i="12" s="1"/>
  <c r="H57" i="12" s="1"/>
  <c r="I57" i="12" s="1"/>
  <c r="J57" i="12" s="1"/>
  <c r="E57" i="39"/>
  <c r="G57" i="39" s="1"/>
  <c r="H57" i="39" s="1"/>
  <c r="I57" i="39" s="1"/>
  <c r="J57" i="39" s="1"/>
  <c r="I57" i="25" s="1"/>
  <c r="E61" i="12"/>
  <c r="G61" i="12" s="1"/>
  <c r="H61" i="12" s="1"/>
  <c r="I61" i="12" s="1"/>
  <c r="J61" i="12" s="1"/>
  <c r="E61" i="39"/>
  <c r="G61" i="39" s="1"/>
  <c r="H61" i="39" s="1"/>
  <c r="I61" i="39" s="1"/>
  <c r="J61" i="39" s="1"/>
  <c r="I61" i="25" s="1"/>
  <c r="E162" i="12"/>
  <c r="G162" i="12" s="1"/>
  <c r="H162" i="12" s="1"/>
  <c r="I162" i="12" s="1"/>
  <c r="J162" i="12" s="1"/>
  <c r="E162" i="39"/>
  <c r="G162" i="39" s="1"/>
  <c r="H162" i="39" s="1"/>
  <c r="I162" i="39" s="1"/>
  <c r="J162" i="39" s="1"/>
  <c r="I162" i="25" s="1"/>
  <c r="E146" i="12"/>
  <c r="G146" i="12" s="1"/>
  <c r="H146" i="12" s="1"/>
  <c r="I146" i="12" s="1"/>
  <c r="J146" i="12" s="1"/>
  <c r="E146" i="39"/>
  <c r="G146" i="39" s="1"/>
  <c r="H146" i="39" s="1"/>
  <c r="I146" i="39" s="1"/>
  <c r="J146" i="39" s="1"/>
  <c r="I146" i="25" s="1"/>
  <c r="E130" i="12"/>
  <c r="G130" i="12" s="1"/>
  <c r="H130" i="12" s="1"/>
  <c r="I130" i="12" s="1"/>
  <c r="J130" i="12" s="1"/>
  <c r="E130" i="39"/>
  <c r="G130" i="39" s="1"/>
  <c r="H130" i="39" s="1"/>
  <c r="I130" i="39" s="1"/>
  <c r="J130" i="39" s="1"/>
  <c r="I130" i="25" s="1"/>
  <c r="E113" i="12"/>
  <c r="G113" i="12" s="1"/>
  <c r="H113" i="12" s="1"/>
  <c r="I113" i="12" s="1"/>
  <c r="J113" i="12" s="1"/>
  <c r="E113" i="39"/>
  <c r="G113" i="39" s="1"/>
  <c r="H113" i="39" s="1"/>
  <c r="I113" i="39" s="1"/>
  <c r="J113" i="39" s="1"/>
  <c r="I113" i="25" s="1"/>
  <c r="E97" i="12"/>
  <c r="G97" i="12" s="1"/>
  <c r="H97" i="12" s="1"/>
  <c r="I97" i="12" s="1"/>
  <c r="J97" i="12" s="1"/>
  <c r="E97" i="39"/>
  <c r="G97" i="39" s="1"/>
  <c r="H97" i="39" s="1"/>
  <c r="I97" i="39" s="1"/>
  <c r="J97" i="39" s="1"/>
  <c r="I97" i="25" s="1"/>
  <c r="E33" i="12"/>
  <c r="G33" i="12" s="1"/>
  <c r="H33" i="12" s="1"/>
  <c r="I33" i="12" s="1"/>
  <c r="J33" i="12" s="1"/>
  <c r="E33" i="39"/>
  <c r="G33" i="39" s="1"/>
  <c r="H33" i="39" s="1"/>
  <c r="I33" i="39" s="1"/>
  <c r="J33" i="39" s="1"/>
  <c r="I33" i="25" s="1"/>
  <c r="E157" i="12"/>
  <c r="G157" i="12" s="1"/>
  <c r="H157" i="12" s="1"/>
  <c r="I157" i="12" s="1"/>
  <c r="E157" i="39"/>
  <c r="G157" i="39" s="1"/>
  <c r="H157" i="39" s="1"/>
  <c r="I157" i="39" s="1"/>
  <c r="J157" i="39" s="1"/>
  <c r="I157" i="25" s="1"/>
  <c r="E141" i="12"/>
  <c r="G141" i="12" s="1"/>
  <c r="H141" i="12" s="1"/>
  <c r="I141" i="12" s="1"/>
  <c r="J141" i="12" s="1"/>
  <c r="E141" i="39"/>
  <c r="G141" i="39" s="1"/>
  <c r="H141" i="39" s="1"/>
  <c r="I141" i="39" s="1"/>
  <c r="J141" i="39" s="1"/>
  <c r="I141" i="25" s="1"/>
  <c r="E125" i="12"/>
  <c r="G125" i="12" s="1"/>
  <c r="H125" i="12" s="1"/>
  <c r="I125" i="12" s="1"/>
  <c r="J125" i="12" s="1"/>
  <c r="E125" i="39"/>
  <c r="G125" i="39" s="1"/>
  <c r="H125" i="39" s="1"/>
  <c r="I125" i="39" s="1"/>
  <c r="J125" i="39" s="1"/>
  <c r="I125" i="25" s="1"/>
  <c r="E53" i="12"/>
  <c r="G53" i="12" s="1"/>
  <c r="H53" i="12" s="1"/>
  <c r="I53" i="12" s="1"/>
  <c r="J53" i="12" s="1"/>
  <c r="E53" i="39"/>
  <c r="G53" i="39" s="1"/>
  <c r="H53" i="39" s="1"/>
  <c r="I53" i="39" s="1"/>
  <c r="J53" i="39" s="1"/>
  <c r="I53" i="25" s="1"/>
  <c r="E22" i="12"/>
  <c r="G22" i="12" s="1"/>
  <c r="H22" i="12" s="1"/>
  <c r="I22" i="12" s="1"/>
  <c r="J22" i="12" s="1"/>
  <c r="E22" i="39"/>
  <c r="G22" i="39" s="1"/>
  <c r="H22" i="39" s="1"/>
  <c r="I22" i="39" s="1"/>
  <c r="J22" i="39" s="1"/>
  <c r="I22" i="25" s="1"/>
  <c r="E94" i="12"/>
  <c r="G94" i="12" s="1"/>
  <c r="H94" i="12" s="1"/>
  <c r="I94" i="12" s="1"/>
  <c r="J94" i="12" s="1"/>
  <c r="E94" i="39"/>
  <c r="G94" i="39" s="1"/>
  <c r="H94" i="39" s="1"/>
  <c r="I94" i="39" s="1"/>
  <c r="J94" i="39" s="1"/>
  <c r="I94" i="25" s="1"/>
  <c r="E78" i="12"/>
  <c r="G78" i="12" s="1"/>
  <c r="H78" i="12" s="1"/>
  <c r="I78" i="12" s="1"/>
  <c r="J78" i="12" s="1"/>
  <c r="E78" i="39"/>
  <c r="G78" i="39" s="1"/>
  <c r="H78" i="39" s="1"/>
  <c r="I78" i="39" s="1"/>
  <c r="J78" i="39" s="1"/>
  <c r="I78" i="25" s="1"/>
  <c r="E62" i="12"/>
  <c r="G62" i="12" s="1"/>
  <c r="H62" i="12" s="1"/>
  <c r="I62" i="12" s="1"/>
  <c r="J62" i="12" s="1"/>
  <c r="E62" i="39"/>
  <c r="G62" i="39" s="1"/>
  <c r="H62" i="39" s="1"/>
  <c r="I62" i="39" s="1"/>
  <c r="J62" i="39" s="1"/>
  <c r="I62" i="25" s="1"/>
  <c r="E46" i="12"/>
  <c r="G46" i="12" s="1"/>
  <c r="H46" i="12" s="1"/>
  <c r="I46" i="12" s="1"/>
  <c r="E46" i="39"/>
  <c r="G46" i="39" s="1"/>
  <c r="H46" i="39" s="1"/>
  <c r="I46" i="39" s="1"/>
  <c r="J46" i="39" s="1"/>
  <c r="I46" i="25" s="1"/>
  <c r="E31" i="12"/>
  <c r="G31" i="12" s="1"/>
  <c r="H31" i="12" s="1"/>
  <c r="I31" i="12" s="1"/>
  <c r="J31" i="12" s="1"/>
  <c r="E31" i="39"/>
  <c r="G31" i="39" s="1"/>
  <c r="H31" i="39" s="1"/>
  <c r="I31" i="39" s="1"/>
  <c r="J31" i="39" s="1"/>
  <c r="I31" i="25" s="1"/>
  <c r="E15" i="12"/>
  <c r="G15" i="12" s="1"/>
  <c r="H15" i="12" s="1"/>
  <c r="I15" i="12" s="1"/>
  <c r="E15" i="39"/>
  <c r="G15" i="39" s="1"/>
  <c r="H15" i="39" s="1"/>
  <c r="I15" i="39" s="1"/>
  <c r="J15" i="39" s="1"/>
  <c r="I15" i="25" s="1"/>
  <c r="E84" i="12"/>
  <c r="G84" i="12" s="1"/>
  <c r="H84" i="12" s="1"/>
  <c r="I84" i="12" s="1"/>
  <c r="J84" i="12" s="1"/>
  <c r="E84" i="39"/>
  <c r="G84" i="39" s="1"/>
  <c r="H84" i="39" s="1"/>
  <c r="I84" i="39" s="1"/>
  <c r="J84" i="39" s="1"/>
  <c r="I84" i="25" s="1"/>
  <c r="E96" i="12"/>
  <c r="G96" i="12" s="1"/>
  <c r="H96" i="12" s="1"/>
  <c r="I96" i="12" s="1"/>
  <c r="J96" i="12" s="1"/>
  <c r="E96" i="39"/>
  <c r="G96" i="39" s="1"/>
  <c r="H96" i="39" s="1"/>
  <c r="I96" i="39" s="1"/>
  <c r="J96" i="39" s="1"/>
  <c r="I96" i="25" s="1"/>
  <c r="E119" i="12"/>
  <c r="G119" i="12" s="1"/>
  <c r="H119" i="12" s="1"/>
  <c r="I119" i="12" s="1"/>
  <c r="J119" i="12" s="1"/>
  <c r="E119" i="39"/>
  <c r="G119" i="39" s="1"/>
  <c r="H119" i="39" s="1"/>
  <c r="I119" i="39" s="1"/>
  <c r="J119" i="39" s="1"/>
  <c r="I119" i="25" s="1"/>
  <c r="E108" i="12"/>
  <c r="G108" i="12" s="1"/>
  <c r="H108" i="12" s="1"/>
  <c r="I108" i="12" s="1"/>
  <c r="J108" i="12" s="1"/>
  <c r="E108" i="39"/>
  <c r="G108" i="39" s="1"/>
  <c r="H108" i="39" s="1"/>
  <c r="I108" i="39" s="1"/>
  <c r="J108" i="39" s="1"/>
  <c r="I108" i="25" s="1"/>
  <c r="E171" i="12"/>
  <c r="G171" i="12" s="1"/>
  <c r="H171" i="12" s="1"/>
  <c r="I171" i="12" s="1"/>
  <c r="J171" i="12" s="1"/>
  <c r="E171" i="39"/>
  <c r="G171" i="39" s="1"/>
  <c r="H171" i="39" s="1"/>
  <c r="I171" i="39" s="1"/>
  <c r="J171" i="39" s="1"/>
  <c r="I171" i="25" s="1"/>
  <c r="E163" i="12"/>
  <c r="G163" i="12" s="1"/>
  <c r="H163" i="12" s="1"/>
  <c r="I163" i="12" s="1"/>
  <c r="J163" i="12" s="1"/>
  <c r="E163" i="39"/>
  <c r="G163" i="39" s="1"/>
  <c r="H163" i="39" s="1"/>
  <c r="I163" i="39" s="1"/>
  <c r="J163" i="39" s="1"/>
  <c r="I163" i="25" s="1"/>
  <c r="E249" i="12"/>
  <c r="G249" i="12" s="1"/>
  <c r="H249" i="12" s="1"/>
  <c r="I249" i="12" s="1"/>
  <c r="J249" i="12" s="1"/>
  <c r="E249" i="39"/>
  <c r="G249" i="39" s="1"/>
  <c r="H249" i="39" s="1"/>
  <c r="I249" i="39" s="1"/>
  <c r="J249" i="39" s="1"/>
  <c r="I249" i="25" s="1"/>
  <c r="E245" i="12"/>
  <c r="G245" i="12" s="1"/>
  <c r="H245" i="12" s="1"/>
  <c r="I245" i="12" s="1"/>
  <c r="J245" i="12" s="1"/>
  <c r="E245" i="39"/>
  <c r="G245" i="39" s="1"/>
  <c r="H245" i="39" s="1"/>
  <c r="I245" i="39" s="1"/>
  <c r="J245" i="39" s="1"/>
  <c r="I245" i="25" s="1"/>
  <c r="E29" i="12"/>
  <c r="G29" i="12" s="1"/>
  <c r="H29" i="12" s="1"/>
  <c r="I29" i="12" s="1"/>
  <c r="J29" i="12" s="1"/>
  <c r="E29" i="39"/>
  <c r="G29" i="39" s="1"/>
  <c r="H29" i="39" s="1"/>
  <c r="I29" i="39" s="1"/>
  <c r="J29" i="39" s="1"/>
  <c r="I29" i="25" s="1"/>
  <c r="E39" i="12"/>
  <c r="G39" i="12" s="1"/>
  <c r="H39" i="12" s="1"/>
  <c r="I39" i="12" s="1"/>
  <c r="J39" i="12" s="1"/>
  <c r="E39" i="39"/>
  <c r="G39" i="39" s="1"/>
  <c r="H39" i="39" s="1"/>
  <c r="I39" i="39" s="1"/>
  <c r="J39" i="39" s="1"/>
  <c r="I39" i="25" s="1"/>
  <c r="E60" i="12"/>
  <c r="G60" i="12" s="1"/>
  <c r="H60" i="12" s="1"/>
  <c r="I60" i="12" s="1"/>
  <c r="J60" i="12" s="1"/>
  <c r="E60" i="39"/>
  <c r="G60" i="39" s="1"/>
  <c r="H60" i="39" s="1"/>
  <c r="I60" i="39" s="1"/>
  <c r="J60" i="39" s="1"/>
  <c r="I60" i="25" s="1"/>
  <c r="E63" i="12"/>
  <c r="G63" i="12" s="1"/>
  <c r="H63" i="12" s="1"/>
  <c r="I63" i="12" s="1"/>
  <c r="J63" i="12" s="1"/>
  <c r="E63" i="39"/>
  <c r="G63" i="39" s="1"/>
  <c r="H63" i="39" s="1"/>
  <c r="I63" i="39" s="1"/>
  <c r="J63" i="39" s="1"/>
  <c r="I63" i="25" s="1"/>
  <c r="E148" i="12"/>
  <c r="G148" i="12" s="1"/>
  <c r="H148" i="12" s="1"/>
  <c r="I148" i="12" s="1"/>
  <c r="J148" i="12" s="1"/>
  <c r="E148" i="39"/>
  <c r="G148" i="39" s="1"/>
  <c r="H148" i="39" s="1"/>
  <c r="I148" i="39" s="1"/>
  <c r="J148" i="39" s="1"/>
  <c r="I148" i="25" s="1"/>
  <c r="E140" i="12"/>
  <c r="G140" i="12" s="1"/>
  <c r="H140" i="12" s="1"/>
  <c r="I140" i="12" s="1"/>
  <c r="J140" i="12" s="1"/>
  <c r="E140" i="39"/>
  <c r="G140" i="39" s="1"/>
  <c r="H140" i="39" s="1"/>
  <c r="I140" i="39" s="1"/>
  <c r="J140" i="39" s="1"/>
  <c r="I140" i="25" s="1"/>
  <c r="E281" i="12"/>
  <c r="G281" i="12" s="1"/>
  <c r="H281" i="12" s="1"/>
  <c r="I281" i="12" s="1"/>
  <c r="J281" i="12" s="1"/>
  <c r="E281" i="39"/>
  <c r="G281" i="39" s="1"/>
  <c r="H281" i="39" s="1"/>
  <c r="I281" i="39" s="1"/>
  <c r="J281" i="39" s="1"/>
  <c r="I281" i="25" s="1"/>
  <c r="E229" i="12"/>
  <c r="G229" i="12" s="1"/>
  <c r="H229" i="12" s="1"/>
  <c r="I229" i="12" s="1"/>
  <c r="J229" i="12" s="1"/>
  <c r="E229" i="39"/>
  <c r="G229" i="39" s="1"/>
  <c r="H229" i="39" s="1"/>
  <c r="I229" i="39" s="1"/>
  <c r="J229" i="39" s="1"/>
  <c r="I229" i="25" s="1"/>
  <c r="E291" i="12"/>
  <c r="G291" i="12" s="1"/>
  <c r="H291" i="12" s="1"/>
  <c r="I291" i="12" s="1"/>
  <c r="E291" i="39"/>
  <c r="G291" i="39" s="1"/>
  <c r="H291" i="39" s="1"/>
  <c r="I291" i="39" s="1"/>
  <c r="J291" i="39" s="1"/>
  <c r="I291" i="25" s="1"/>
  <c r="E99" i="12"/>
  <c r="G99" i="12" s="1"/>
  <c r="H99" i="12" s="1"/>
  <c r="I99" i="12" s="1"/>
  <c r="J99" i="12" s="1"/>
  <c r="E99" i="39"/>
  <c r="G99" i="39" s="1"/>
  <c r="H99" i="39" s="1"/>
  <c r="I99" i="39" s="1"/>
  <c r="J99" i="39" s="1"/>
  <c r="I99" i="25" s="1"/>
  <c r="E112" i="12"/>
  <c r="G112" i="12" s="1"/>
  <c r="H112" i="12" s="1"/>
  <c r="I112" i="12" s="1"/>
  <c r="J112" i="12" s="1"/>
  <c r="E112" i="39"/>
  <c r="G112" i="39" s="1"/>
  <c r="H112" i="39" s="1"/>
  <c r="I112" i="39" s="1"/>
  <c r="J112" i="39" s="1"/>
  <c r="I112" i="25" s="1"/>
  <c r="E9" i="12"/>
  <c r="G9" i="12" s="1"/>
  <c r="H9" i="12" s="1"/>
  <c r="I9" i="12" s="1"/>
  <c r="J9" i="12" s="1"/>
  <c r="E9" i="39"/>
  <c r="G9" i="39" s="1"/>
  <c r="H9" i="39" s="1"/>
  <c r="I9" i="39" s="1"/>
  <c r="J9" i="39" s="1"/>
  <c r="I9" i="25" s="1"/>
  <c r="E116" i="12"/>
  <c r="G116" i="12" s="1"/>
  <c r="H116" i="12" s="1"/>
  <c r="I116" i="12" s="1"/>
  <c r="J116" i="12" s="1"/>
  <c r="E116" i="39"/>
  <c r="G116" i="39" s="1"/>
  <c r="H116" i="39" s="1"/>
  <c r="I116" i="39" s="1"/>
  <c r="J116" i="39" s="1"/>
  <c r="I116" i="25" s="1"/>
  <c r="E184" i="12"/>
  <c r="G184" i="12" s="1"/>
  <c r="H184" i="12" s="1"/>
  <c r="I184" i="12" s="1"/>
  <c r="J184" i="12" s="1"/>
  <c r="E184" i="39"/>
  <c r="G184" i="39" s="1"/>
  <c r="H184" i="39" s="1"/>
  <c r="I184" i="39" s="1"/>
  <c r="J184" i="39" s="1"/>
  <c r="I184" i="25" s="1"/>
  <c r="E221" i="12"/>
  <c r="G221" i="12" s="1"/>
  <c r="H221" i="12" s="1"/>
  <c r="I221" i="12" s="1"/>
  <c r="E221" i="39"/>
  <c r="G221" i="39" s="1"/>
  <c r="H221" i="39" s="1"/>
  <c r="I221" i="39" s="1"/>
  <c r="J221" i="39" s="1"/>
  <c r="I221" i="25" s="1"/>
  <c r="E264" i="12"/>
  <c r="G264" i="12" s="1"/>
  <c r="H264" i="12" s="1"/>
  <c r="I264" i="12" s="1"/>
  <c r="J264" i="12" s="1"/>
  <c r="E264" i="39"/>
  <c r="G264" i="39" s="1"/>
  <c r="H264" i="39" s="1"/>
  <c r="I264" i="39" s="1"/>
  <c r="J264" i="39" s="1"/>
  <c r="I264" i="25" s="1"/>
  <c r="E292" i="12"/>
  <c r="G292" i="12" s="1"/>
  <c r="H292" i="12" s="1"/>
  <c r="I292" i="12" s="1"/>
  <c r="E292" i="39"/>
  <c r="G292" i="39" s="1"/>
  <c r="H292" i="39" s="1"/>
  <c r="I292" i="39" s="1"/>
  <c r="J292" i="39" s="1"/>
  <c r="I292" i="25" s="1"/>
  <c r="E13" i="12"/>
  <c r="G13" i="12" s="1"/>
  <c r="H13" i="12" s="1"/>
  <c r="I13" i="12" s="1"/>
  <c r="J13" i="12" s="1"/>
  <c r="E13" i="39"/>
  <c r="G13" i="39" s="1"/>
  <c r="H13" i="39" s="1"/>
  <c r="I13" i="39" s="1"/>
  <c r="J13" i="39" s="1"/>
  <c r="I13" i="25" s="1"/>
  <c r="E24" i="12"/>
  <c r="G24" i="12" s="1"/>
  <c r="H24" i="12" s="1"/>
  <c r="I24" i="12" s="1"/>
  <c r="J24" i="12" s="1"/>
  <c r="E24" i="39"/>
  <c r="G24" i="39" s="1"/>
  <c r="H24" i="39" s="1"/>
  <c r="I24" i="39" s="1"/>
  <c r="J24" i="39" s="1"/>
  <c r="I24" i="25" s="1"/>
  <c r="E44" i="12"/>
  <c r="G44" i="12" s="1"/>
  <c r="H44" i="12" s="1"/>
  <c r="I44" i="12" s="1"/>
  <c r="J44" i="12" s="1"/>
  <c r="E44" i="39"/>
  <c r="G44" i="39" s="1"/>
  <c r="H44" i="39" s="1"/>
  <c r="I44" i="39" s="1"/>
  <c r="J44" i="39" s="1"/>
  <c r="I44" i="25" s="1"/>
  <c r="E47" i="12"/>
  <c r="G47" i="12" s="1"/>
  <c r="H47" i="12" s="1"/>
  <c r="I47" i="12" s="1"/>
  <c r="J47" i="12" s="1"/>
  <c r="E47" i="39"/>
  <c r="G47" i="39" s="1"/>
  <c r="H47" i="39" s="1"/>
  <c r="I47" i="39" s="1"/>
  <c r="J47" i="39" s="1"/>
  <c r="I47" i="25" s="1"/>
  <c r="E132" i="12"/>
  <c r="G132" i="12" s="1"/>
  <c r="H132" i="12" s="1"/>
  <c r="I132" i="12" s="1"/>
  <c r="E132" i="39"/>
  <c r="G132" i="39" s="1"/>
  <c r="H132" i="39" s="1"/>
  <c r="I132" i="39" s="1"/>
  <c r="J132" i="39" s="1"/>
  <c r="I132" i="25" s="1"/>
  <c r="E124" i="12"/>
  <c r="G124" i="12" s="1"/>
  <c r="H124" i="12" s="1"/>
  <c r="I124" i="12" s="1"/>
  <c r="J124" i="12" s="1"/>
  <c r="E124" i="39"/>
  <c r="G124" i="39" s="1"/>
  <c r="H124" i="39" s="1"/>
  <c r="I124" i="39" s="1"/>
  <c r="J124" i="39" s="1"/>
  <c r="I124" i="25" s="1"/>
  <c r="E265" i="12"/>
  <c r="G265" i="12" s="1"/>
  <c r="H265" i="12" s="1"/>
  <c r="I265" i="12" s="1"/>
  <c r="J265" i="12" s="1"/>
  <c r="E265" i="39"/>
  <c r="G265" i="39" s="1"/>
  <c r="H265" i="39" s="1"/>
  <c r="I265" i="39" s="1"/>
  <c r="J265" i="39" s="1"/>
  <c r="I265" i="25" s="1"/>
  <c r="E284" i="12"/>
  <c r="G284" i="12" s="1"/>
  <c r="H284" i="12" s="1"/>
  <c r="I284" i="12" s="1"/>
  <c r="J284" i="12" s="1"/>
  <c r="E284" i="39"/>
  <c r="G284" i="39" s="1"/>
  <c r="H284" i="39" s="1"/>
  <c r="I284" i="39" s="1"/>
  <c r="J284" i="39" s="1"/>
  <c r="I284" i="25" s="1"/>
  <c r="E303" i="12"/>
  <c r="G303" i="12" s="1"/>
  <c r="H303" i="12" s="1"/>
  <c r="I303" i="12" s="1"/>
  <c r="J303" i="12" s="1"/>
  <c r="E303" i="39"/>
  <c r="G303" i="39" s="1"/>
  <c r="H303" i="39" s="1"/>
  <c r="I303" i="39" s="1"/>
  <c r="J303" i="39" s="1"/>
  <c r="I303" i="25" s="1"/>
  <c r="E297" i="12"/>
  <c r="G297" i="12" s="1"/>
  <c r="H297" i="12" s="1"/>
  <c r="I297" i="12" s="1"/>
  <c r="J297" i="12" s="1"/>
  <c r="E297" i="39"/>
  <c r="G297" i="39" s="1"/>
  <c r="H297" i="39" s="1"/>
  <c r="I297" i="39" s="1"/>
  <c r="J297" i="39" s="1"/>
  <c r="I297" i="25" s="1"/>
  <c r="E309" i="12"/>
  <c r="G309" i="12" s="1"/>
  <c r="H309" i="12" s="1"/>
  <c r="I309" i="12" s="1"/>
  <c r="E309" i="39"/>
  <c r="G309" i="39" s="1"/>
  <c r="H309" i="39" s="1"/>
  <c r="I309" i="39" s="1"/>
  <c r="J309" i="39" s="1"/>
  <c r="I309" i="25" s="1"/>
  <c r="E306" i="12"/>
  <c r="G306" i="12" s="1"/>
  <c r="H306" i="12" s="1"/>
  <c r="I306" i="12" s="1"/>
  <c r="J306" i="12" s="1"/>
  <c r="E306" i="39"/>
  <c r="G306" i="39" s="1"/>
  <c r="H306" i="39" s="1"/>
  <c r="I306" i="39" s="1"/>
  <c r="J306" i="39" s="1"/>
  <c r="I306" i="25" s="1"/>
  <c r="E290" i="12"/>
  <c r="G290" i="12" s="1"/>
  <c r="H290" i="12" s="1"/>
  <c r="I290" i="12" s="1"/>
  <c r="E290" i="39"/>
  <c r="G290" i="39" s="1"/>
  <c r="H290" i="39" s="1"/>
  <c r="I290" i="39" s="1"/>
  <c r="J290" i="39" s="1"/>
  <c r="I290" i="25" s="1"/>
  <c r="E220" i="12"/>
  <c r="G220" i="12" s="1"/>
  <c r="H220" i="12" s="1"/>
  <c r="I220" i="12" s="1"/>
  <c r="J220" i="12" s="1"/>
  <c r="E220" i="39"/>
  <c r="G220" i="39" s="1"/>
  <c r="H220" i="39" s="1"/>
  <c r="I220" i="39" s="1"/>
  <c r="J220" i="39" s="1"/>
  <c r="I220" i="25" s="1"/>
  <c r="E196" i="12"/>
  <c r="G196" i="12" s="1"/>
  <c r="H196" i="12" s="1"/>
  <c r="I196" i="12" s="1"/>
  <c r="J196" i="12" s="1"/>
  <c r="E196" i="39"/>
  <c r="G196" i="39" s="1"/>
  <c r="H196" i="39" s="1"/>
  <c r="I196" i="39" s="1"/>
  <c r="J196" i="39" s="1"/>
  <c r="I196" i="25" s="1"/>
  <c r="E181" i="12"/>
  <c r="G181" i="12" s="1"/>
  <c r="H181" i="12" s="1"/>
  <c r="I181" i="12" s="1"/>
  <c r="J181" i="12" s="1"/>
  <c r="E181" i="39"/>
  <c r="G181" i="39" s="1"/>
  <c r="H181" i="39" s="1"/>
  <c r="I181" i="39" s="1"/>
  <c r="J181" i="39" s="1"/>
  <c r="I181" i="25" s="1"/>
  <c r="E279" i="12"/>
  <c r="G279" i="12" s="1"/>
  <c r="H279" i="12" s="1"/>
  <c r="I279" i="12" s="1"/>
  <c r="E279" i="39"/>
  <c r="G279" i="39" s="1"/>
  <c r="H279" i="39" s="1"/>
  <c r="I279" i="39" s="1"/>
  <c r="J279" i="39" s="1"/>
  <c r="I279" i="25" s="1"/>
  <c r="E263" i="12"/>
  <c r="G263" i="12" s="1"/>
  <c r="H263" i="12" s="1"/>
  <c r="I263" i="12" s="1"/>
  <c r="J263" i="12" s="1"/>
  <c r="E263" i="39"/>
  <c r="G263" i="39" s="1"/>
  <c r="H263" i="39" s="1"/>
  <c r="I263" i="39" s="1"/>
  <c r="J263" i="39" s="1"/>
  <c r="I263" i="25" s="1"/>
  <c r="E247" i="12"/>
  <c r="G247" i="12" s="1"/>
  <c r="H247" i="12" s="1"/>
  <c r="I247" i="12" s="1"/>
  <c r="J247" i="12" s="1"/>
  <c r="E247" i="39"/>
  <c r="G247" i="39" s="1"/>
  <c r="H247" i="39" s="1"/>
  <c r="I247" i="39" s="1"/>
  <c r="J247" i="39" s="1"/>
  <c r="I247" i="25" s="1"/>
  <c r="E231" i="12"/>
  <c r="G231" i="12" s="1"/>
  <c r="H231" i="12" s="1"/>
  <c r="I231" i="12" s="1"/>
  <c r="J231" i="12" s="1"/>
  <c r="E231" i="39"/>
  <c r="G231" i="39" s="1"/>
  <c r="H231" i="39" s="1"/>
  <c r="I231" i="39" s="1"/>
  <c r="J231" i="39" s="1"/>
  <c r="I231" i="25" s="1"/>
  <c r="E215" i="12"/>
  <c r="G215" i="12" s="1"/>
  <c r="H215" i="12" s="1"/>
  <c r="I215" i="12" s="1"/>
  <c r="J215" i="12" s="1"/>
  <c r="E215" i="39"/>
  <c r="G215" i="39" s="1"/>
  <c r="H215" i="39" s="1"/>
  <c r="I215" i="39" s="1"/>
  <c r="J215" i="39" s="1"/>
  <c r="I215" i="25" s="1"/>
  <c r="E195" i="12"/>
  <c r="G195" i="12" s="1"/>
  <c r="H195" i="12" s="1"/>
  <c r="I195" i="12" s="1"/>
  <c r="J195" i="12" s="1"/>
  <c r="E195" i="39"/>
  <c r="G195" i="39" s="1"/>
  <c r="H195" i="39" s="1"/>
  <c r="I195" i="39" s="1"/>
  <c r="J195" i="39" s="1"/>
  <c r="I195" i="25" s="1"/>
  <c r="E278" i="12"/>
  <c r="G278" i="12" s="1"/>
  <c r="H278" i="12" s="1"/>
  <c r="I278" i="12" s="1"/>
  <c r="E278" i="39"/>
  <c r="G278" i="39" s="1"/>
  <c r="H278" i="39" s="1"/>
  <c r="I278" i="39" s="1"/>
  <c r="J278" i="39" s="1"/>
  <c r="I278" i="25" s="1"/>
  <c r="E262" i="12"/>
  <c r="G262" i="12" s="1"/>
  <c r="H262" i="12" s="1"/>
  <c r="I262" i="12" s="1"/>
  <c r="J262" i="12" s="1"/>
  <c r="E262" i="39"/>
  <c r="G262" i="39" s="1"/>
  <c r="H262" i="39" s="1"/>
  <c r="I262" i="39" s="1"/>
  <c r="J262" i="39" s="1"/>
  <c r="I262" i="25" s="1"/>
  <c r="E246" i="12"/>
  <c r="G246" i="12" s="1"/>
  <c r="H246" i="12" s="1"/>
  <c r="I246" i="12" s="1"/>
  <c r="J246" i="12" s="1"/>
  <c r="E246" i="39"/>
  <c r="G246" i="39" s="1"/>
  <c r="H246" i="39" s="1"/>
  <c r="I246" i="39" s="1"/>
  <c r="J246" i="39" s="1"/>
  <c r="I246" i="25" s="1"/>
  <c r="E230" i="12"/>
  <c r="G230" i="12" s="1"/>
  <c r="H230" i="12" s="1"/>
  <c r="I230" i="12" s="1"/>
  <c r="E230" i="39"/>
  <c r="G230" i="39" s="1"/>
  <c r="H230" i="39" s="1"/>
  <c r="I230" i="39" s="1"/>
  <c r="J230" i="39" s="1"/>
  <c r="I230" i="25" s="1"/>
  <c r="E214" i="12"/>
  <c r="G214" i="12" s="1"/>
  <c r="H214" i="12" s="1"/>
  <c r="I214" i="12" s="1"/>
  <c r="E214" i="39"/>
  <c r="G214" i="39" s="1"/>
  <c r="H214" i="39" s="1"/>
  <c r="I214" i="39" s="1"/>
  <c r="J214" i="39" s="1"/>
  <c r="I214" i="25" s="1"/>
  <c r="E198" i="12"/>
  <c r="G198" i="12" s="1"/>
  <c r="H198" i="12" s="1"/>
  <c r="I198" i="12" s="1"/>
  <c r="J198" i="12" s="1"/>
  <c r="E198" i="39"/>
  <c r="G198" i="39" s="1"/>
  <c r="H198" i="39" s="1"/>
  <c r="I198" i="39" s="1"/>
  <c r="J198" i="39" s="1"/>
  <c r="I198" i="25" s="1"/>
  <c r="E185" i="12"/>
  <c r="G185" i="12" s="1"/>
  <c r="H185" i="12" s="1"/>
  <c r="I185" i="12" s="1"/>
  <c r="J185" i="12" s="1"/>
  <c r="E185" i="39"/>
  <c r="G185" i="39" s="1"/>
  <c r="H185" i="39" s="1"/>
  <c r="I185" i="39" s="1"/>
  <c r="J185" i="39" s="1"/>
  <c r="I185" i="25" s="1"/>
  <c r="E213" i="12"/>
  <c r="G213" i="12" s="1"/>
  <c r="H213" i="12" s="1"/>
  <c r="I213" i="12" s="1"/>
  <c r="J213" i="12" s="1"/>
  <c r="E213" i="39"/>
  <c r="G213" i="39" s="1"/>
  <c r="H213" i="39" s="1"/>
  <c r="I213" i="39" s="1"/>
  <c r="J213" i="39" s="1"/>
  <c r="I213" i="25" s="1"/>
  <c r="E197" i="12"/>
  <c r="G197" i="12" s="1"/>
  <c r="H197" i="12" s="1"/>
  <c r="I197" i="12" s="1"/>
  <c r="J197" i="12" s="1"/>
  <c r="E197" i="39"/>
  <c r="G197" i="39" s="1"/>
  <c r="H197" i="39" s="1"/>
  <c r="I197" i="39" s="1"/>
  <c r="J197" i="39" s="1"/>
  <c r="I197" i="25" s="1"/>
  <c r="E117" i="12"/>
  <c r="G117" i="12" s="1"/>
  <c r="H117" i="12" s="1"/>
  <c r="I117" i="12" s="1"/>
  <c r="J117" i="12" s="1"/>
  <c r="E117" i="39"/>
  <c r="G117" i="39" s="1"/>
  <c r="H117" i="39" s="1"/>
  <c r="I117" i="39" s="1"/>
  <c r="J117" i="39" s="1"/>
  <c r="I117" i="25" s="1"/>
  <c r="E101" i="12"/>
  <c r="G101" i="12" s="1"/>
  <c r="H101" i="12" s="1"/>
  <c r="I101" i="12" s="1"/>
  <c r="E101" i="39"/>
  <c r="G101" i="39" s="1"/>
  <c r="H101" i="39" s="1"/>
  <c r="I101" i="39" s="1"/>
  <c r="J101" i="39" s="1"/>
  <c r="I101" i="25" s="1"/>
  <c r="E41" i="12"/>
  <c r="G41" i="12" s="1"/>
  <c r="H41" i="12" s="1"/>
  <c r="I41" i="12" s="1"/>
  <c r="J41" i="12" s="1"/>
  <c r="E41" i="39"/>
  <c r="G41" i="39" s="1"/>
  <c r="H41" i="39" s="1"/>
  <c r="I41" i="39" s="1"/>
  <c r="J41" i="39" s="1"/>
  <c r="I41" i="25" s="1"/>
  <c r="E45" i="12"/>
  <c r="G45" i="12" s="1"/>
  <c r="H45" i="12" s="1"/>
  <c r="I45" i="12" s="1"/>
  <c r="J45" i="12" s="1"/>
  <c r="E45" i="39"/>
  <c r="G45" i="39" s="1"/>
  <c r="H45" i="39" s="1"/>
  <c r="I45" i="39" s="1"/>
  <c r="J45" i="39" s="1"/>
  <c r="I45" i="25" s="1"/>
  <c r="E158" i="12"/>
  <c r="G158" i="12" s="1"/>
  <c r="H158" i="12" s="1"/>
  <c r="I158" i="12" s="1"/>
  <c r="J158" i="12" s="1"/>
  <c r="E158" i="39"/>
  <c r="G158" i="39" s="1"/>
  <c r="H158" i="39" s="1"/>
  <c r="I158" i="39" s="1"/>
  <c r="J158" i="39" s="1"/>
  <c r="I158" i="25" s="1"/>
  <c r="E142" i="12"/>
  <c r="G142" i="12" s="1"/>
  <c r="H142" i="12" s="1"/>
  <c r="I142" i="12" s="1"/>
  <c r="E142" i="39"/>
  <c r="G142" i="39" s="1"/>
  <c r="H142" i="39" s="1"/>
  <c r="I142" i="39" s="1"/>
  <c r="J142" i="39" s="1"/>
  <c r="I142" i="25" s="1"/>
  <c r="E126" i="12"/>
  <c r="G126" i="12" s="1"/>
  <c r="H126" i="12" s="1"/>
  <c r="I126" i="12" s="1"/>
  <c r="J126" i="12" s="1"/>
  <c r="E126" i="39"/>
  <c r="G126" i="39" s="1"/>
  <c r="H126" i="39" s="1"/>
  <c r="I126" i="39" s="1"/>
  <c r="J126" i="39" s="1"/>
  <c r="I126" i="25" s="1"/>
  <c r="E106" i="12"/>
  <c r="G106" i="12" s="1"/>
  <c r="H106" i="12" s="1"/>
  <c r="I106" i="12" s="1"/>
  <c r="J106" i="12" s="1"/>
  <c r="E106" i="39"/>
  <c r="G106" i="39" s="1"/>
  <c r="H106" i="39" s="1"/>
  <c r="I106" i="39" s="1"/>
  <c r="J106" i="39" s="1"/>
  <c r="I106" i="25" s="1"/>
  <c r="E81" i="12"/>
  <c r="G81" i="12" s="1"/>
  <c r="H81" i="12" s="1"/>
  <c r="I81" i="12" s="1"/>
  <c r="J81" i="12" s="1"/>
  <c r="E81" i="39"/>
  <c r="G81" i="39" s="1"/>
  <c r="H81" i="39" s="1"/>
  <c r="I81" i="39" s="1"/>
  <c r="J81" i="39" s="1"/>
  <c r="I81" i="25" s="1"/>
  <c r="E169" i="12"/>
  <c r="G169" i="12" s="1"/>
  <c r="H169" i="12" s="1"/>
  <c r="I169" i="12" s="1"/>
  <c r="J169" i="12" s="1"/>
  <c r="E169" i="39"/>
  <c r="G169" i="39" s="1"/>
  <c r="H169" i="39" s="1"/>
  <c r="I169" i="39" s="1"/>
  <c r="J169" i="39" s="1"/>
  <c r="I169" i="25" s="1"/>
  <c r="E153" i="12"/>
  <c r="G153" i="12" s="1"/>
  <c r="H153" i="12" s="1"/>
  <c r="I153" i="12" s="1"/>
  <c r="J153" i="12" s="1"/>
  <c r="E153" i="39"/>
  <c r="G153" i="39" s="1"/>
  <c r="H153" i="39" s="1"/>
  <c r="I153" i="39" s="1"/>
  <c r="J153" i="39" s="1"/>
  <c r="I153" i="25" s="1"/>
  <c r="E137" i="12"/>
  <c r="G137" i="12" s="1"/>
  <c r="H137" i="12" s="1"/>
  <c r="I137" i="12" s="1"/>
  <c r="J137" i="12" s="1"/>
  <c r="E137" i="39"/>
  <c r="G137" i="39" s="1"/>
  <c r="H137" i="39" s="1"/>
  <c r="I137" i="39" s="1"/>
  <c r="J137" i="39" s="1"/>
  <c r="I137" i="25" s="1"/>
  <c r="E121" i="12"/>
  <c r="G121" i="12" s="1"/>
  <c r="H121" i="12" s="1"/>
  <c r="I121" i="12" s="1"/>
  <c r="J121" i="12" s="1"/>
  <c r="E121" i="39"/>
  <c r="G121" i="39" s="1"/>
  <c r="H121" i="39" s="1"/>
  <c r="I121" i="39" s="1"/>
  <c r="J121" i="39" s="1"/>
  <c r="I121" i="25" s="1"/>
  <c r="E37" i="12"/>
  <c r="G37" i="12" s="1"/>
  <c r="H37" i="12" s="1"/>
  <c r="I37" i="12" s="1"/>
  <c r="J37" i="12" s="1"/>
  <c r="E37" i="39"/>
  <c r="G37" i="39" s="1"/>
  <c r="H37" i="39" s="1"/>
  <c r="I37" i="39" s="1"/>
  <c r="J37" i="39" s="1"/>
  <c r="I37" i="25" s="1"/>
  <c r="E18" i="12"/>
  <c r="G18" i="12" s="1"/>
  <c r="H18" i="12" s="1"/>
  <c r="I18" i="12" s="1"/>
  <c r="J18" i="12" s="1"/>
  <c r="E18" i="39"/>
  <c r="G18" i="39" s="1"/>
  <c r="H18" i="39" s="1"/>
  <c r="I18" i="39" s="1"/>
  <c r="J18" i="39" s="1"/>
  <c r="I18" i="25" s="1"/>
  <c r="E90" i="12"/>
  <c r="G90" i="12" s="1"/>
  <c r="H90" i="12" s="1"/>
  <c r="I90" i="12" s="1"/>
  <c r="E90" i="39"/>
  <c r="G90" i="39" s="1"/>
  <c r="H90" i="39" s="1"/>
  <c r="I90" i="39" s="1"/>
  <c r="J90" i="39" s="1"/>
  <c r="I90" i="25" s="1"/>
  <c r="E74" i="12"/>
  <c r="G74" i="12" s="1"/>
  <c r="H74" i="12" s="1"/>
  <c r="I74" i="12" s="1"/>
  <c r="J74" i="12" s="1"/>
  <c r="E74" i="39"/>
  <c r="G74" i="39" s="1"/>
  <c r="H74" i="39" s="1"/>
  <c r="I74" i="39" s="1"/>
  <c r="J74" i="39" s="1"/>
  <c r="I74" i="25" s="1"/>
  <c r="E58" i="12"/>
  <c r="G58" i="12" s="1"/>
  <c r="H58" i="12" s="1"/>
  <c r="I58" i="12" s="1"/>
  <c r="J58" i="12" s="1"/>
  <c r="E58" i="39"/>
  <c r="G58" i="39" s="1"/>
  <c r="H58" i="39" s="1"/>
  <c r="I58" i="39" s="1"/>
  <c r="J58" i="39" s="1"/>
  <c r="I58" i="25" s="1"/>
  <c r="E42" i="12"/>
  <c r="G42" i="12" s="1"/>
  <c r="H42" i="12" s="1"/>
  <c r="I42" i="12" s="1"/>
  <c r="J42" i="12" s="1"/>
  <c r="E42" i="39"/>
  <c r="G42" i="39" s="1"/>
  <c r="H42" i="39" s="1"/>
  <c r="I42" i="39" s="1"/>
  <c r="J42" i="39" s="1"/>
  <c r="I42" i="25" s="1"/>
  <c r="E27" i="12"/>
  <c r="G27" i="12" s="1"/>
  <c r="H27" i="12" s="1"/>
  <c r="I27" i="12" s="1"/>
  <c r="J27" i="12" s="1"/>
  <c r="E27" i="39"/>
  <c r="G27" i="39" s="1"/>
  <c r="H27" i="39" s="1"/>
  <c r="I27" i="39" s="1"/>
  <c r="J27" i="39" s="1"/>
  <c r="I27" i="25" s="1"/>
  <c r="E11" i="12"/>
  <c r="G11" i="12" s="1"/>
  <c r="H11" i="12" s="1"/>
  <c r="I11" i="12" s="1"/>
  <c r="J11" i="12" s="1"/>
  <c r="E11" i="39"/>
  <c r="G11" i="39" s="1"/>
  <c r="H11" i="39" s="1"/>
  <c r="I11" i="39" s="1"/>
  <c r="J11" i="39" s="1"/>
  <c r="I11" i="25" s="1"/>
  <c r="E115" i="12"/>
  <c r="G115" i="12" s="1"/>
  <c r="H115" i="12" s="1"/>
  <c r="I115" i="12" s="1"/>
  <c r="E115" i="39"/>
  <c r="G115" i="39" s="1"/>
  <c r="H115" i="39" s="1"/>
  <c r="I115" i="39" s="1"/>
  <c r="J115" i="39" s="1"/>
  <c r="I115" i="25" s="1"/>
  <c r="E21" i="12"/>
  <c r="G21" i="12" s="1"/>
  <c r="H21" i="12" s="1"/>
  <c r="I21" i="12" s="1"/>
  <c r="J21" i="12" s="1"/>
  <c r="E21" i="39"/>
  <c r="G21" i="39" s="1"/>
  <c r="H21" i="39" s="1"/>
  <c r="I21" i="39" s="1"/>
  <c r="J21" i="39" s="1"/>
  <c r="I21" i="25" s="1"/>
  <c r="E25" i="12"/>
  <c r="G25" i="12" s="1"/>
  <c r="H25" i="12" s="1"/>
  <c r="I25" i="12" s="1"/>
  <c r="J25" i="12" s="1"/>
  <c r="E25" i="39"/>
  <c r="G25" i="39" s="1"/>
  <c r="H25" i="39" s="1"/>
  <c r="I25" i="39" s="1"/>
  <c r="J25" i="39" s="1"/>
  <c r="I25" i="25" s="1"/>
  <c r="E135" i="12"/>
  <c r="G135" i="12" s="1"/>
  <c r="H135" i="12" s="1"/>
  <c r="I135" i="12" s="1"/>
  <c r="J135" i="12" s="1"/>
  <c r="E135" i="39"/>
  <c r="G135" i="39" s="1"/>
  <c r="H135" i="39" s="1"/>
  <c r="I135" i="39" s="1"/>
  <c r="J135" i="39" s="1"/>
  <c r="I135" i="25" s="1"/>
  <c r="E136" i="12"/>
  <c r="G136" i="12" s="1"/>
  <c r="H136" i="12" s="1"/>
  <c r="I136" i="12" s="1"/>
  <c r="E136" i="39"/>
  <c r="G136" i="39" s="1"/>
  <c r="H136" i="39" s="1"/>
  <c r="I136" i="39" s="1"/>
  <c r="J136" i="39" s="1"/>
  <c r="I136" i="25" s="1"/>
  <c r="E237" i="12"/>
  <c r="G237" i="12" s="1"/>
  <c r="H237" i="12" s="1"/>
  <c r="I237" i="12" s="1"/>
  <c r="J237" i="12" s="1"/>
  <c r="E237" i="39"/>
  <c r="G237" i="39" s="1"/>
  <c r="H237" i="39" s="1"/>
  <c r="I237" i="39" s="1"/>
  <c r="J237" i="39" s="1"/>
  <c r="I237" i="25" s="1"/>
  <c r="E276" i="12"/>
  <c r="G276" i="12" s="1"/>
  <c r="H276" i="12" s="1"/>
  <c r="I276" i="12" s="1"/>
  <c r="E276" i="39"/>
  <c r="G276" i="39" s="1"/>
  <c r="H276" i="39" s="1"/>
  <c r="I276" i="39" s="1"/>
  <c r="J276" i="39" s="1"/>
  <c r="I276" i="25" s="1"/>
  <c r="E308" i="12"/>
  <c r="G308" i="12" s="1"/>
  <c r="H308" i="12" s="1"/>
  <c r="I308" i="12" s="1"/>
  <c r="J308" i="12" s="1"/>
  <c r="E308" i="39"/>
  <c r="G308" i="39" s="1"/>
  <c r="H308" i="39" s="1"/>
  <c r="I308" i="39" s="1"/>
  <c r="J308" i="39" s="1"/>
  <c r="I308" i="25" s="1"/>
  <c r="E59" i="12"/>
  <c r="G59" i="12" s="1"/>
  <c r="H59" i="12" s="1"/>
  <c r="I59" i="12" s="1"/>
  <c r="J59" i="12" s="1"/>
  <c r="E59" i="39"/>
  <c r="G59" i="39" s="1"/>
  <c r="H59" i="39" s="1"/>
  <c r="I59" i="39" s="1"/>
  <c r="J59" i="39" s="1"/>
  <c r="I59" i="25" s="1"/>
  <c r="E71" i="12"/>
  <c r="G71" i="12" s="1"/>
  <c r="H71" i="12" s="1"/>
  <c r="I71" i="12" s="1"/>
  <c r="J71" i="12" s="1"/>
  <c r="E71" i="39"/>
  <c r="G71" i="39" s="1"/>
  <c r="H71" i="39" s="1"/>
  <c r="I71" i="39" s="1"/>
  <c r="J71" i="39" s="1"/>
  <c r="I71" i="25" s="1"/>
  <c r="E92" i="12"/>
  <c r="G92" i="12" s="1"/>
  <c r="H92" i="12" s="1"/>
  <c r="I92" i="12" s="1"/>
  <c r="E92" i="39"/>
  <c r="G92" i="39" s="1"/>
  <c r="H92" i="39" s="1"/>
  <c r="I92" i="39" s="1"/>
  <c r="J92" i="39" s="1"/>
  <c r="I92" i="25" s="1"/>
  <c r="E95" i="12"/>
  <c r="G95" i="12" s="1"/>
  <c r="H95" i="12" s="1"/>
  <c r="I95" i="12" s="1"/>
  <c r="J95" i="12" s="1"/>
  <c r="E95" i="39"/>
  <c r="G95" i="39" s="1"/>
  <c r="H95" i="39" s="1"/>
  <c r="I95" i="39" s="1"/>
  <c r="J95" i="39" s="1"/>
  <c r="I95" i="25" s="1"/>
  <c r="E176" i="12"/>
  <c r="G176" i="12" s="1"/>
  <c r="H176" i="12" s="1"/>
  <c r="I176" i="12" s="1"/>
  <c r="J176" i="12" s="1"/>
  <c r="E176" i="39"/>
  <c r="G176" i="39" s="1"/>
  <c r="H176" i="39" s="1"/>
  <c r="I176" i="39" s="1"/>
  <c r="J176" i="39" s="1"/>
  <c r="I176" i="25" s="1"/>
  <c r="E172" i="12"/>
  <c r="G172" i="12" s="1"/>
  <c r="H172" i="12" s="1"/>
  <c r="I172" i="12" s="1"/>
  <c r="J172" i="12" s="1"/>
  <c r="E172" i="39"/>
  <c r="G172" i="39" s="1"/>
  <c r="H172" i="39" s="1"/>
  <c r="I172" i="39" s="1"/>
  <c r="J172" i="39" s="1"/>
  <c r="I172" i="25" s="1"/>
  <c r="E208" i="12"/>
  <c r="G208" i="12" s="1"/>
  <c r="H208" i="12" s="1"/>
  <c r="I208" i="12" s="1"/>
  <c r="E208" i="39"/>
  <c r="G208" i="39" s="1"/>
  <c r="H208" i="39" s="1"/>
  <c r="I208" i="39" s="1"/>
  <c r="J208" i="39" s="1"/>
  <c r="I208" i="25" s="1"/>
  <c r="E261" i="12"/>
  <c r="G261" i="12" s="1"/>
  <c r="H261" i="12" s="1"/>
  <c r="I261" i="12" s="1"/>
  <c r="E261" i="39"/>
  <c r="G261" i="39" s="1"/>
  <c r="H261" i="39" s="1"/>
  <c r="I261" i="39" s="1"/>
  <c r="J261" i="39" s="1"/>
  <c r="I261" i="25" s="1"/>
  <c r="E295" i="12"/>
  <c r="G295" i="12" s="1"/>
  <c r="H295" i="12" s="1"/>
  <c r="I295" i="12" s="1"/>
  <c r="E295" i="39"/>
  <c r="G295" i="39" s="1"/>
  <c r="H295" i="39" s="1"/>
  <c r="I295" i="39" s="1"/>
  <c r="J295" i="39" s="1"/>
  <c r="I295" i="25" s="1"/>
  <c r="E17" i="12"/>
  <c r="G17" i="12" s="1"/>
  <c r="H17" i="12" s="1"/>
  <c r="I17" i="12" s="1"/>
  <c r="J17" i="12" s="1"/>
  <c r="E17" i="39"/>
  <c r="G17" i="39" s="1"/>
  <c r="H17" i="39" s="1"/>
  <c r="I17" i="39" s="1"/>
  <c r="J17" i="39" s="1"/>
  <c r="I17" i="25" s="1"/>
  <c r="E35" i="12"/>
  <c r="G35" i="12" s="1"/>
  <c r="H35" i="12" s="1"/>
  <c r="I35" i="12" s="1"/>
  <c r="J35" i="12" s="1"/>
  <c r="E35" i="39"/>
  <c r="G35" i="39" s="1"/>
  <c r="H35" i="39" s="1"/>
  <c r="I35" i="39" s="1"/>
  <c r="J35" i="39" s="1"/>
  <c r="I35" i="25" s="1"/>
  <c r="E40" i="12"/>
  <c r="G40" i="12" s="1"/>
  <c r="H40" i="12" s="1"/>
  <c r="I40" i="12" s="1"/>
  <c r="J40" i="12" s="1"/>
  <c r="E40" i="39"/>
  <c r="G40" i="39" s="1"/>
  <c r="H40" i="39" s="1"/>
  <c r="I40" i="39" s="1"/>
  <c r="J40" i="39" s="1"/>
  <c r="I40" i="25" s="1"/>
  <c r="E151" i="12"/>
  <c r="G151" i="12" s="1"/>
  <c r="H151" i="12" s="1"/>
  <c r="I151" i="12" s="1"/>
  <c r="E151" i="39"/>
  <c r="G151" i="39" s="1"/>
  <c r="H151" i="39" s="1"/>
  <c r="I151" i="39" s="1"/>
  <c r="J151" i="39" s="1"/>
  <c r="I151" i="25" s="1"/>
  <c r="E152" i="12"/>
  <c r="G152" i="12" s="1"/>
  <c r="H152" i="12" s="1"/>
  <c r="I152" i="12" s="1"/>
  <c r="J152" i="12" s="1"/>
  <c r="E152" i="39"/>
  <c r="G152" i="39" s="1"/>
  <c r="H152" i="39" s="1"/>
  <c r="I152" i="39" s="1"/>
  <c r="J152" i="39" s="1"/>
  <c r="I152" i="25" s="1"/>
  <c r="E252" i="12"/>
  <c r="G252" i="12" s="1"/>
  <c r="H252" i="12" s="1"/>
  <c r="I252" i="12" s="1"/>
  <c r="J252" i="12" s="1"/>
  <c r="E252" i="39"/>
  <c r="G252" i="39" s="1"/>
  <c r="H252" i="39" s="1"/>
  <c r="I252" i="39" s="1"/>
  <c r="J252" i="39" s="1"/>
  <c r="I252" i="25" s="1"/>
  <c r="E277" i="12"/>
  <c r="G277" i="12" s="1"/>
  <c r="H277" i="12" s="1"/>
  <c r="I277" i="12" s="1"/>
  <c r="J277" i="12" s="1"/>
  <c r="E277" i="39"/>
  <c r="G277" i="39" s="1"/>
  <c r="H277" i="39" s="1"/>
  <c r="I277" i="39" s="1"/>
  <c r="J277" i="39" s="1"/>
  <c r="I277" i="25" s="1"/>
  <c r="E296" i="12"/>
  <c r="G296" i="12" s="1"/>
  <c r="H296" i="12" s="1"/>
  <c r="I296" i="12" s="1"/>
  <c r="J296" i="12" s="1"/>
  <c r="E296" i="39"/>
  <c r="G296" i="39" s="1"/>
  <c r="H296" i="39" s="1"/>
  <c r="I296" i="39" s="1"/>
  <c r="J296" i="39" s="1"/>
  <c r="I296" i="25" s="1"/>
  <c r="E43" i="12"/>
  <c r="G43" i="12" s="1"/>
  <c r="H43" i="12" s="1"/>
  <c r="I43" i="12" s="1"/>
  <c r="E43" i="39"/>
  <c r="G43" i="39" s="1"/>
  <c r="H43" i="39" s="1"/>
  <c r="I43" i="39" s="1"/>
  <c r="J43" i="39" s="1"/>
  <c r="I43" i="25" s="1"/>
  <c r="E55" i="12"/>
  <c r="G55" i="12" s="1"/>
  <c r="H55" i="12" s="1"/>
  <c r="I55" i="12" s="1"/>
  <c r="E55" i="39"/>
  <c r="G55" i="39" s="1"/>
  <c r="H55" i="39" s="1"/>
  <c r="I55" i="39" s="1"/>
  <c r="J55" i="39" s="1"/>
  <c r="I55" i="25" s="1"/>
  <c r="E76" i="12"/>
  <c r="G76" i="12" s="1"/>
  <c r="H76" i="12" s="1"/>
  <c r="I76" i="12" s="1"/>
  <c r="J76" i="12" s="1"/>
  <c r="E76" i="39"/>
  <c r="G76" i="39" s="1"/>
  <c r="H76" i="39" s="1"/>
  <c r="I76" i="39" s="1"/>
  <c r="J76" i="39" s="1"/>
  <c r="I76" i="25" s="1"/>
  <c r="E79" i="12"/>
  <c r="G79" i="12" s="1"/>
  <c r="H79" i="12" s="1"/>
  <c r="I79" i="12" s="1"/>
  <c r="J79" i="12" s="1"/>
  <c r="E79" i="39"/>
  <c r="G79" i="39" s="1"/>
  <c r="H79" i="39" s="1"/>
  <c r="I79" i="39" s="1"/>
  <c r="J79" i="39" s="1"/>
  <c r="I79" i="25" s="1"/>
  <c r="E164" i="12"/>
  <c r="G164" i="12" s="1"/>
  <c r="H164" i="12" s="1"/>
  <c r="I164" i="12" s="1"/>
  <c r="J164" i="12" s="1"/>
  <c r="E164" i="39"/>
  <c r="G164" i="39" s="1"/>
  <c r="H164" i="39" s="1"/>
  <c r="I164" i="39" s="1"/>
  <c r="J164" i="39" s="1"/>
  <c r="I164" i="25" s="1"/>
  <c r="E156" i="12"/>
  <c r="G156" i="12" s="1"/>
  <c r="H156" i="12" s="1"/>
  <c r="I156" i="12" s="1"/>
  <c r="J156" i="12" s="1"/>
  <c r="E156" i="39"/>
  <c r="G156" i="39" s="1"/>
  <c r="H156" i="39" s="1"/>
  <c r="I156" i="39" s="1"/>
  <c r="J156" i="39" s="1"/>
  <c r="I156" i="25" s="1"/>
  <c r="E240" i="12"/>
  <c r="G240" i="12" s="1"/>
  <c r="H240" i="12" s="1"/>
  <c r="I240" i="12" s="1"/>
  <c r="J240" i="12" s="1"/>
  <c r="E240" i="39"/>
  <c r="G240" i="39" s="1"/>
  <c r="H240" i="39" s="1"/>
  <c r="I240" i="39" s="1"/>
  <c r="J240" i="39" s="1"/>
  <c r="I240" i="25" s="1"/>
  <c r="E248" i="12"/>
  <c r="G248" i="12" s="1"/>
  <c r="H248" i="12" s="1"/>
  <c r="I248" i="12" s="1"/>
  <c r="J248" i="12" s="1"/>
  <c r="E248" i="39"/>
  <c r="G248" i="39" s="1"/>
  <c r="H248" i="39" s="1"/>
  <c r="I248" i="39" s="1"/>
  <c r="J248" i="39" s="1"/>
  <c r="I248" i="25" s="1"/>
  <c r="E307" i="12"/>
  <c r="G307" i="12" s="1"/>
  <c r="H307" i="12" s="1"/>
  <c r="I307" i="12" s="1"/>
  <c r="J307" i="12" s="1"/>
  <c r="E307" i="39"/>
  <c r="G307" i="39" s="1"/>
  <c r="H307" i="39" s="1"/>
  <c r="I307" i="39" s="1"/>
  <c r="J307" i="39" s="1"/>
  <c r="I307" i="25" s="1"/>
  <c r="E289" i="12"/>
  <c r="G289" i="12" s="1"/>
  <c r="H289" i="12" s="1"/>
  <c r="I289" i="12" s="1"/>
  <c r="J289" i="12" s="1"/>
  <c r="E289" i="39"/>
  <c r="G289" i="39" s="1"/>
  <c r="H289" i="39" s="1"/>
  <c r="I289" i="39" s="1"/>
  <c r="J289" i="39" s="1"/>
  <c r="I289" i="25" s="1"/>
  <c r="E301" i="12"/>
  <c r="G301" i="12" s="1"/>
  <c r="H301" i="12" s="1"/>
  <c r="I301" i="12" s="1"/>
  <c r="J301" i="12" s="1"/>
  <c r="E301" i="39"/>
  <c r="G301" i="39" s="1"/>
  <c r="H301" i="39" s="1"/>
  <c r="I301" i="39" s="1"/>
  <c r="J301" i="39" s="1"/>
  <c r="I301" i="25" s="1"/>
  <c r="E302" i="12"/>
  <c r="G302" i="12" s="1"/>
  <c r="H302" i="12" s="1"/>
  <c r="I302" i="12" s="1"/>
  <c r="J302" i="12" s="1"/>
  <c r="E302" i="39"/>
  <c r="G302" i="39" s="1"/>
  <c r="H302" i="39" s="1"/>
  <c r="I302" i="39" s="1"/>
  <c r="J302" i="39" s="1"/>
  <c r="I302" i="25" s="1"/>
  <c r="E260" i="12"/>
  <c r="G260" i="12" s="1"/>
  <c r="H260" i="12" s="1"/>
  <c r="I260" i="12" s="1"/>
  <c r="J260" i="12" s="1"/>
  <c r="E260" i="39"/>
  <c r="G260" i="39" s="1"/>
  <c r="H260" i="39" s="1"/>
  <c r="I260" i="39" s="1"/>
  <c r="J260" i="39" s="1"/>
  <c r="I260" i="25" s="1"/>
  <c r="E216" i="12"/>
  <c r="G216" i="12" s="1"/>
  <c r="H216" i="12" s="1"/>
  <c r="I216" i="12" s="1"/>
  <c r="J216" i="12" s="1"/>
  <c r="E216" i="39"/>
  <c r="G216" i="39" s="1"/>
  <c r="H216" i="39" s="1"/>
  <c r="I216" i="39" s="1"/>
  <c r="J216" i="39" s="1"/>
  <c r="I216" i="25" s="1"/>
  <c r="E192" i="12"/>
  <c r="G192" i="12" s="1"/>
  <c r="H192" i="12" s="1"/>
  <c r="I192" i="12" s="1"/>
  <c r="J192" i="12" s="1"/>
  <c r="E192" i="39"/>
  <c r="G192" i="39" s="1"/>
  <c r="H192" i="39" s="1"/>
  <c r="I192" i="39" s="1"/>
  <c r="J192" i="39" s="1"/>
  <c r="I192" i="25" s="1"/>
  <c r="E174" i="12"/>
  <c r="G174" i="12" s="1"/>
  <c r="H174" i="12" s="1"/>
  <c r="I174" i="12" s="1"/>
  <c r="E174" i="39"/>
  <c r="G174" i="39" s="1"/>
  <c r="H174" i="39" s="1"/>
  <c r="I174" i="39" s="1"/>
  <c r="J174" i="39" s="1"/>
  <c r="I174" i="25" s="1"/>
  <c r="E275" i="12"/>
  <c r="G275" i="12" s="1"/>
  <c r="H275" i="12" s="1"/>
  <c r="I275" i="12" s="1"/>
  <c r="J275" i="12" s="1"/>
  <c r="E275" i="39"/>
  <c r="G275" i="39" s="1"/>
  <c r="H275" i="39" s="1"/>
  <c r="I275" i="39" s="1"/>
  <c r="J275" i="39" s="1"/>
  <c r="I275" i="25" s="1"/>
  <c r="E259" i="12"/>
  <c r="G259" i="12" s="1"/>
  <c r="H259" i="12" s="1"/>
  <c r="I259" i="12" s="1"/>
  <c r="E259" i="39"/>
  <c r="G259" i="39" s="1"/>
  <c r="H259" i="39" s="1"/>
  <c r="I259" i="39" s="1"/>
  <c r="J259" i="39" s="1"/>
  <c r="I259" i="25" s="1"/>
  <c r="E243" i="12"/>
  <c r="G243" i="12" s="1"/>
  <c r="H243" i="12" s="1"/>
  <c r="I243" i="12" s="1"/>
  <c r="J243" i="12" s="1"/>
  <c r="E243" i="39"/>
  <c r="G243" i="39" s="1"/>
  <c r="H243" i="39" s="1"/>
  <c r="I243" i="39" s="1"/>
  <c r="J243" i="39" s="1"/>
  <c r="I243" i="25" s="1"/>
  <c r="E227" i="12"/>
  <c r="G227" i="12" s="1"/>
  <c r="H227" i="12" s="1"/>
  <c r="I227" i="12" s="1"/>
  <c r="J227" i="12" s="1"/>
  <c r="E227" i="39"/>
  <c r="G227" i="39" s="1"/>
  <c r="H227" i="39" s="1"/>
  <c r="I227" i="39" s="1"/>
  <c r="J227" i="39" s="1"/>
  <c r="I227" i="25" s="1"/>
  <c r="E211" i="12"/>
  <c r="G211" i="12" s="1"/>
  <c r="H211" i="12" s="1"/>
  <c r="I211" i="12" s="1"/>
  <c r="J211" i="12" s="1"/>
  <c r="E211" i="39"/>
  <c r="G211" i="39" s="1"/>
  <c r="H211" i="39" s="1"/>
  <c r="I211" i="39" s="1"/>
  <c r="J211" i="39" s="1"/>
  <c r="E191" i="12"/>
  <c r="G191" i="12" s="1"/>
  <c r="H191" i="12" s="1"/>
  <c r="I191" i="12" s="1"/>
  <c r="J191" i="12" s="1"/>
  <c r="E191" i="39"/>
  <c r="G191" i="39" s="1"/>
  <c r="H191" i="39" s="1"/>
  <c r="I191" i="39" s="1"/>
  <c r="J191" i="39" s="1"/>
  <c r="I191" i="25" s="1"/>
  <c r="E274" i="12"/>
  <c r="G274" i="12" s="1"/>
  <c r="H274" i="12" s="1"/>
  <c r="I274" i="12" s="1"/>
  <c r="J274" i="12" s="1"/>
  <c r="E274" i="39"/>
  <c r="G274" i="39" s="1"/>
  <c r="H274" i="39" s="1"/>
  <c r="I274" i="39" s="1"/>
  <c r="J274" i="39" s="1"/>
  <c r="I274" i="25" s="1"/>
  <c r="E258" i="12"/>
  <c r="G258" i="12" s="1"/>
  <c r="H258" i="12" s="1"/>
  <c r="I258" i="12" s="1"/>
  <c r="J258" i="12" s="1"/>
  <c r="E258" i="39"/>
  <c r="G258" i="39" s="1"/>
  <c r="H258" i="39" s="1"/>
  <c r="I258" i="39" s="1"/>
  <c r="J258" i="39" s="1"/>
  <c r="I258" i="25" s="1"/>
  <c r="E242" i="12"/>
  <c r="G242" i="12" s="1"/>
  <c r="H242" i="12" s="1"/>
  <c r="I242" i="12" s="1"/>
  <c r="J242" i="12" s="1"/>
  <c r="E242" i="39"/>
  <c r="G242" i="39" s="1"/>
  <c r="H242" i="39" s="1"/>
  <c r="I242" i="39" s="1"/>
  <c r="J242" i="39" s="1"/>
  <c r="I242" i="25" s="1"/>
  <c r="E226" i="12"/>
  <c r="G226" i="12" s="1"/>
  <c r="H226" i="12" s="1"/>
  <c r="I226" i="12" s="1"/>
  <c r="J226" i="12" s="1"/>
  <c r="E226" i="39"/>
  <c r="G226" i="39" s="1"/>
  <c r="H226" i="39" s="1"/>
  <c r="I226" i="39" s="1"/>
  <c r="J226" i="39" s="1"/>
  <c r="I226" i="25" s="1"/>
  <c r="E210" i="12"/>
  <c r="G210" i="12" s="1"/>
  <c r="H210" i="12" s="1"/>
  <c r="I210" i="12" s="1"/>
  <c r="J210" i="12" s="1"/>
  <c r="E210" i="39"/>
  <c r="G210" i="39" s="1"/>
  <c r="H210" i="39" s="1"/>
  <c r="I210" i="39" s="1"/>
  <c r="J210" i="39" s="1"/>
  <c r="I210" i="25" s="1"/>
  <c r="E194" i="12"/>
  <c r="G194" i="12" s="1"/>
  <c r="H194" i="12" s="1"/>
  <c r="I194" i="12" s="1"/>
  <c r="J194" i="12" s="1"/>
  <c r="E194" i="39"/>
  <c r="G194" i="39" s="1"/>
  <c r="H194" i="39" s="1"/>
  <c r="I194" i="39" s="1"/>
  <c r="J194" i="39" s="1"/>
  <c r="I194" i="25" s="1"/>
  <c r="E178" i="12"/>
  <c r="G178" i="12" s="1"/>
  <c r="H178" i="12" s="1"/>
  <c r="I178" i="12" s="1"/>
  <c r="J178" i="12" s="1"/>
  <c r="E178" i="39"/>
  <c r="G178" i="39" s="1"/>
  <c r="H178" i="39" s="1"/>
  <c r="I178" i="39" s="1"/>
  <c r="J178" i="39" s="1"/>
  <c r="I178" i="25" s="1"/>
  <c r="E209" i="12"/>
  <c r="G209" i="12" s="1"/>
  <c r="H209" i="12" s="1"/>
  <c r="I209" i="12" s="1"/>
  <c r="E209" i="39"/>
  <c r="G209" i="39" s="1"/>
  <c r="H209" i="39" s="1"/>
  <c r="I209" i="39" s="1"/>
  <c r="J209" i="39" s="1"/>
  <c r="I209" i="25" s="1"/>
  <c r="E193" i="12"/>
  <c r="G193" i="12" s="1"/>
  <c r="H193" i="12" s="1"/>
  <c r="I193" i="12" s="1"/>
  <c r="J193" i="12" s="1"/>
  <c r="E193" i="39"/>
  <c r="G193" i="39" s="1"/>
  <c r="H193" i="39" s="1"/>
  <c r="I193" i="39" s="1"/>
  <c r="J193" i="39" s="1"/>
  <c r="I193" i="25" s="1"/>
  <c r="E110" i="12"/>
  <c r="G110" i="12" s="1"/>
  <c r="H110" i="12" s="1"/>
  <c r="I110" i="12" s="1"/>
  <c r="J110" i="12" s="1"/>
  <c r="E110" i="39"/>
  <c r="G110" i="39" s="1"/>
  <c r="H110" i="39" s="1"/>
  <c r="I110" i="39" s="1"/>
  <c r="J110" i="39" s="1"/>
  <c r="I110" i="25" s="1"/>
  <c r="E89" i="12"/>
  <c r="G89" i="12" s="1"/>
  <c r="H89" i="12" s="1"/>
  <c r="I89" i="12" s="1"/>
  <c r="J89" i="12" s="1"/>
  <c r="E89" i="39"/>
  <c r="G89" i="39" s="1"/>
  <c r="H89" i="39" s="1"/>
  <c r="I89" i="39" s="1"/>
  <c r="J89" i="39" s="1"/>
  <c r="I89" i="25" s="1"/>
  <c r="E93" i="12"/>
  <c r="G93" i="12" s="1"/>
  <c r="H93" i="12" s="1"/>
  <c r="I93" i="12" s="1"/>
  <c r="J93" i="12" s="1"/>
  <c r="E93" i="39"/>
  <c r="G93" i="39" s="1"/>
  <c r="H93" i="39" s="1"/>
  <c r="I93" i="39" s="1"/>
  <c r="J93" i="39" s="1"/>
  <c r="I93" i="25" s="1"/>
  <c r="E170" i="12"/>
  <c r="G170" i="12" s="1"/>
  <c r="H170" i="12" s="1"/>
  <c r="I170" i="12" s="1"/>
  <c r="J170" i="12" s="1"/>
  <c r="E170" i="39"/>
  <c r="G170" i="39" s="1"/>
  <c r="H170" i="39" s="1"/>
  <c r="I170" i="39" s="1"/>
  <c r="J170" i="39" s="1"/>
  <c r="I170" i="25" s="1"/>
  <c r="E154" i="12"/>
  <c r="G154" i="12" s="1"/>
  <c r="H154" i="12" s="1"/>
  <c r="I154" i="12" s="1"/>
  <c r="J154" i="12" s="1"/>
  <c r="E154" i="39"/>
  <c r="G154" i="39" s="1"/>
  <c r="H154" i="39" s="1"/>
  <c r="I154" i="39" s="1"/>
  <c r="J154" i="39" s="1"/>
  <c r="I154" i="25" s="1"/>
  <c r="E138" i="12"/>
  <c r="G138" i="12" s="1"/>
  <c r="H138" i="12" s="1"/>
  <c r="I138" i="12" s="1"/>
  <c r="J138" i="12" s="1"/>
  <c r="E138" i="39"/>
  <c r="G138" i="39" s="1"/>
  <c r="H138" i="39" s="1"/>
  <c r="I138" i="39" s="1"/>
  <c r="J138" i="39" s="1"/>
  <c r="I138" i="25" s="1"/>
  <c r="E122" i="12"/>
  <c r="G122" i="12" s="1"/>
  <c r="H122" i="12" s="1"/>
  <c r="I122" i="12" s="1"/>
  <c r="E122" i="39"/>
  <c r="G122" i="39" s="1"/>
  <c r="H122" i="39" s="1"/>
  <c r="I122" i="39" s="1"/>
  <c r="J122" i="39" s="1"/>
  <c r="I122" i="25" s="1"/>
  <c r="E105" i="12"/>
  <c r="G105" i="12" s="1"/>
  <c r="H105" i="12" s="1"/>
  <c r="I105" i="12" s="1"/>
  <c r="E105" i="39"/>
  <c r="G105" i="39" s="1"/>
  <c r="H105" i="39" s="1"/>
  <c r="I105" i="39" s="1"/>
  <c r="J105" i="39" s="1"/>
  <c r="I105" i="25" s="1"/>
  <c r="E65" i="12"/>
  <c r="G65" i="12" s="1"/>
  <c r="H65" i="12" s="1"/>
  <c r="I65" i="12" s="1"/>
  <c r="J65" i="12" s="1"/>
  <c r="E65" i="39"/>
  <c r="G65" i="39" s="1"/>
  <c r="H65" i="39" s="1"/>
  <c r="I65" i="39" s="1"/>
  <c r="J65" i="39" s="1"/>
  <c r="I65" i="25" s="1"/>
  <c r="E165" i="12"/>
  <c r="G165" i="12" s="1"/>
  <c r="H165" i="12" s="1"/>
  <c r="I165" i="12" s="1"/>
  <c r="J165" i="12" s="1"/>
  <c r="E165" i="39"/>
  <c r="G165" i="39" s="1"/>
  <c r="H165" i="39" s="1"/>
  <c r="I165" i="39" s="1"/>
  <c r="J165" i="39" s="1"/>
  <c r="I165" i="25" s="1"/>
  <c r="E149" i="12"/>
  <c r="G149" i="12" s="1"/>
  <c r="H149" i="12" s="1"/>
  <c r="I149" i="12" s="1"/>
  <c r="E149" i="39"/>
  <c r="G149" i="39" s="1"/>
  <c r="H149" i="39" s="1"/>
  <c r="I149" i="39" s="1"/>
  <c r="J149" i="39" s="1"/>
  <c r="I149" i="25" s="1"/>
  <c r="E133" i="12"/>
  <c r="G133" i="12" s="1"/>
  <c r="H133" i="12" s="1"/>
  <c r="I133" i="12" s="1"/>
  <c r="J133" i="12" s="1"/>
  <c r="E133" i="39"/>
  <c r="G133" i="39" s="1"/>
  <c r="H133" i="39" s="1"/>
  <c r="I133" i="39" s="1"/>
  <c r="J133" i="39" s="1"/>
  <c r="I133" i="25" s="1"/>
  <c r="E85" i="12"/>
  <c r="G85" i="12" s="1"/>
  <c r="H85" i="12" s="1"/>
  <c r="I85" i="12" s="1"/>
  <c r="J85" i="12" s="1"/>
  <c r="E85" i="39"/>
  <c r="G85" i="39" s="1"/>
  <c r="H85" i="39" s="1"/>
  <c r="I85" i="39" s="1"/>
  <c r="J85" i="39" s="1"/>
  <c r="I85" i="25" s="1"/>
  <c r="E30" i="12"/>
  <c r="G30" i="12" s="1"/>
  <c r="H30" i="12" s="1"/>
  <c r="I30" i="12" s="1"/>
  <c r="J30" i="12" s="1"/>
  <c r="E30" i="39"/>
  <c r="G30" i="39" s="1"/>
  <c r="H30" i="39" s="1"/>
  <c r="I30" i="39" s="1"/>
  <c r="J30" i="39" s="1"/>
  <c r="I30" i="25" s="1"/>
  <c r="E14" i="12"/>
  <c r="G14" i="12" s="1"/>
  <c r="H14" i="12" s="1"/>
  <c r="I14" i="12" s="1"/>
  <c r="J14" i="12" s="1"/>
  <c r="E14" i="39"/>
  <c r="G14" i="39" s="1"/>
  <c r="H14" i="39" s="1"/>
  <c r="I14" i="39" s="1"/>
  <c r="J14" i="39" s="1"/>
  <c r="I14" i="25" s="1"/>
  <c r="E86" i="12"/>
  <c r="G86" i="12" s="1"/>
  <c r="H86" i="12" s="1"/>
  <c r="I86" i="12" s="1"/>
  <c r="J86" i="12" s="1"/>
  <c r="E86" i="39"/>
  <c r="G86" i="39" s="1"/>
  <c r="H86" i="39" s="1"/>
  <c r="I86" i="39" s="1"/>
  <c r="J86" i="39" s="1"/>
  <c r="I86" i="25" s="1"/>
  <c r="E70" i="12"/>
  <c r="G70" i="12" s="1"/>
  <c r="H70" i="12" s="1"/>
  <c r="I70" i="12" s="1"/>
  <c r="J70" i="12" s="1"/>
  <c r="E70" i="39"/>
  <c r="G70" i="39" s="1"/>
  <c r="H70" i="39" s="1"/>
  <c r="I70" i="39" s="1"/>
  <c r="J70" i="39" s="1"/>
  <c r="I70" i="25" s="1"/>
  <c r="E54" i="12"/>
  <c r="G54" i="12" s="1"/>
  <c r="H54" i="12" s="1"/>
  <c r="I54" i="12" s="1"/>
  <c r="J54" i="12" s="1"/>
  <c r="E54" i="39"/>
  <c r="G54" i="39" s="1"/>
  <c r="H54" i="39" s="1"/>
  <c r="I54" i="39" s="1"/>
  <c r="J54" i="39" s="1"/>
  <c r="I54" i="25" s="1"/>
  <c r="E38" i="12"/>
  <c r="G38" i="12" s="1"/>
  <c r="H38" i="12" s="1"/>
  <c r="I38" i="12" s="1"/>
  <c r="J38" i="12" s="1"/>
  <c r="E38" i="39"/>
  <c r="G38" i="39" s="1"/>
  <c r="H38" i="39" s="1"/>
  <c r="I38" i="39" s="1"/>
  <c r="J38" i="39" s="1"/>
  <c r="I38" i="25" s="1"/>
  <c r="E23" i="12"/>
  <c r="G23" i="12" s="1"/>
  <c r="H23" i="12" s="1"/>
  <c r="I23" i="12" s="1"/>
  <c r="E23" i="39"/>
  <c r="G23" i="39" s="1"/>
  <c r="H23" i="39" s="1"/>
  <c r="I23" i="39" s="1"/>
  <c r="J23" i="39" s="1"/>
  <c r="I23" i="25" s="1"/>
  <c r="E7" i="12"/>
  <c r="G7" i="12" s="1"/>
  <c r="H7" i="12" s="1"/>
  <c r="I7" i="12" s="1"/>
  <c r="J7" i="12" s="1"/>
  <c r="E7" i="39"/>
  <c r="G7" i="39" s="1"/>
  <c r="H7" i="39" s="1"/>
  <c r="I7" i="39" s="1"/>
  <c r="J7" i="39" s="1"/>
  <c r="I7" i="25" s="1"/>
  <c r="I56" i="12"/>
  <c r="J56" i="12" s="1"/>
  <c r="I203" i="12"/>
  <c r="J203" i="12" s="1"/>
  <c r="I67" i="12"/>
  <c r="J67" i="12" s="1"/>
  <c r="F41" i="48"/>
  <c r="G75" i="25"/>
  <c r="G19" i="25"/>
  <c r="G152" i="25"/>
  <c r="G168" i="25"/>
  <c r="G286" i="25"/>
  <c r="G37" i="25"/>
  <c r="G18" i="25"/>
  <c r="G221" i="25"/>
  <c r="G306" i="25"/>
  <c r="G250" i="25"/>
  <c r="G34" i="25"/>
  <c r="G288" i="25"/>
  <c r="G101" i="25"/>
  <c r="G216" i="25"/>
  <c r="G61" i="25"/>
  <c r="G105" i="25"/>
  <c r="G194" i="25"/>
  <c r="G154" i="25"/>
  <c r="G299" i="25"/>
  <c r="G246" i="25"/>
  <c r="G258" i="25"/>
  <c r="G85" i="25"/>
  <c r="G175" i="25"/>
  <c r="G28" i="25"/>
  <c r="G78" i="25"/>
  <c r="G253" i="25"/>
  <c r="G48" i="25"/>
  <c r="G241" i="25"/>
  <c r="G226" i="25"/>
  <c r="G66" i="25"/>
  <c r="G230" i="25"/>
  <c r="G192" i="25"/>
  <c r="G90" i="25"/>
  <c r="G196" i="25"/>
  <c r="G264" i="25"/>
  <c r="G118" i="25"/>
  <c r="G156" i="25"/>
  <c r="G243" i="25"/>
  <c r="G89" i="25"/>
  <c r="G100" i="25"/>
  <c r="G145" i="25"/>
  <c r="G60" i="25"/>
  <c r="G260" i="25"/>
  <c r="G132" i="25"/>
  <c r="G163" i="25"/>
  <c r="G237" i="25"/>
  <c r="G301" i="25"/>
  <c r="G63" i="25"/>
  <c r="G45" i="25"/>
  <c r="G86" i="25"/>
  <c r="G261" i="25"/>
  <c r="G248" i="25"/>
  <c r="G170" i="25"/>
  <c r="G38" i="25"/>
  <c r="G238" i="25"/>
  <c r="G27" i="25"/>
  <c r="G169" i="25"/>
  <c r="G312" i="25"/>
  <c r="G231" i="25"/>
  <c r="G302" i="25"/>
  <c r="G209" i="25"/>
  <c r="G259" i="25"/>
  <c r="G244" i="25"/>
  <c r="G167" i="25"/>
  <c r="G80" i="25"/>
  <c r="G121" i="25"/>
  <c r="G273" i="25"/>
  <c r="G197" i="25"/>
  <c r="G184" i="25"/>
  <c r="G144" i="25"/>
  <c r="G249" i="25"/>
  <c r="G182" i="25"/>
  <c r="G52" i="25"/>
  <c r="G198" i="25"/>
  <c r="G150" i="25"/>
  <c r="G84" i="25"/>
  <c r="G275" i="25"/>
  <c r="G133" i="25"/>
  <c r="G137" i="25"/>
  <c r="G185" i="25"/>
  <c r="G126" i="25"/>
  <c r="G174" i="25"/>
  <c r="G72" i="25"/>
  <c r="G287" i="25"/>
  <c r="G20" i="25"/>
  <c r="G263" i="25"/>
  <c r="G206" i="25"/>
  <c r="G284" i="25"/>
  <c r="G158" i="25"/>
  <c r="G23" i="25"/>
  <c r="G62" i="25"/>
  <c r="G178" i="25"/>
  <c r="G212" i="25"/>
  <c r="G297" i="25"/>
  <c r="G267" i="25"/>
  <c r="G308" i="25"/>
  <c r="G201" i="25"/>
  <c r="G228" i="25"/>
  <c r="G193" i="25"/>
  <c r="G10" i="25"/>
  <c r="G123" i="25"/>
  <c r="G236" i="25"/>
  <c r="G190" i="25"/>
  <c r="G22" i="25"/>
  <c r="G124" i="25"/>
  <c r="G211" i="25"/>
  <c r="G155" i="25"/>
  <c r="G82" i="25"/>
  <c r="G16" i="25"/>
  <c r="G107" i="25"/>
  <c r="G199" i="25"/>
  <c r="G117" i="25"/>
  <c r="G283" i="25"/>
  <c r="G122" i="25"/>
  <c r="G77" i="25"/>
  <c r="G21" i="25"/>
  <c r="G179" i="25"/>
  <c r="G50" i="25"/>
  <c r="G254" i="25"/>
  <c r="G235" i="25"/>
  <c r="G219" i="25"/>
  <c r="G141" i="25"/>
  <c r="G222" i="25"/>
  <c r="G96" i="25"/>
  <c r="G177" i="25"/>
  <c r="G17" i="25"/>
  <c r="G311" i="25"/>
  <c r="G257" i="25"/>
  <c r="G180" i="25"/>
  <c r="G94" i="25"/>
  <c r="G247" i="25"/>
  <c r="G157" i="25"/>
  <c r="G160" i="25"/>
  <c r="G229" i="25"/>
  <c r="G251" i="25"/>
  <c r="G269" i="25"/>
  <c r="G293" i="25"/>
  <c r="G282" i="25"/>
  <c r="G69" i="25"/>
  <c r="G256" i="25"/>
  <c r="G65" i="25"/>
  <c r="G79" i="25"/>
  <c r="G99" i="25"/>
  <c r="G44" i="25"/>
  <c r="G25" i="25"/>
  <c r="G300" i="25"/>
  <c r="G214" i="25"/>
  <c r="G188" i="25"/>
  <c r="G203" i="25"/>
  <c r="G14" i="25"/>
  <c r="G106" i="25"/>
  <c r="G162" i="25"/>
  <c r="G234" i="25"/>
  <c r="G279" i="25"/>
  <c r="G30" i="25"/>
  <c r="G265" i="25"/>
  <c r="G153" i="25"/>
  <c r="G217" i="25"/>
  <c r="G281" i="25"/>
  <c r="G8" i="25"/>
  <c r="G29" i="25"/>
  <c r="G136" i="25"/>
  <c r="G138" i="25"/>
  <c r="G271" i="25"/>
  <c r="G115" i="25"/>
  <c r="G176" i="25"/>
  <c r="G13" i="25"/>
  <c r="G173" i="25"/>
  <c r="G36" i="25"/>
  <c r="G9" i="25"/>
  <c r="G313" i="25"/>
  <c r="G54" i="25"/>
  <c r="G24" i="25"/>
  <c r="G165" i="25"/>
  <c r="G224" i="25"/>
  <c r="G225" i="25"/>
  <c r="G112" i="25"/>
  <c r="G187" i="25"/>
  <c r="G296" i="25"/>
  <c r="G47" i="25"/>
  <c r="G223" i="25"/>
  <c r="G147" i="25"/>
  <c r="G166" i="25"/>
  <c r="G233" i="25"/>
  <c r="I56" i="25"/>
  <c r="G56" i="25"/>
  <c r="G74" i="25"/>
  <c r="G49" i="25"/>
  <c r="G210" i="25"/>
  <c r="G215" i="25"/>
  <c r="G70" i="25"/>
  <c r="G87" i="25"/>
  <c r="F314" i="25"/>
  <c r="D314" i="12"/>
  <c r="D314" i="39"/>
  <c r="G95" i="25"/>
  <c r="G139" i="25"/>
  <c r="G277" i="25"/>
  <c r="G205" i="25"/>
  <c r="G278" i="25"/>
  <c r="G207" i="25"/>
  <c r="G227" i="25"/>
  <c r="G7" i="25"/>
  <c r="G149" i="25"/>
  <c r="G40" i="25"/>
  <c r="G310" i="25"/>
  <c r="G309" i="25"/>
  <c r="G189" i="25"/>
  <c r="G268" i="25"/>
  <c r="G292" i="25"/>
  <c r="G114" i="25"/>
  <c r="G57" i="25"/>
  <c r="G53" i="25"/>
  <c r="G270" i="25"/>
  <c r="G164" i="25"/>
  <c r="G46" i="25"/>
  <c r="G181" i="25"/>
  <c r="G307" i="25"/>
  <c r="G11" i="25"/>
  <c r="G135" i="25"/>
  <c r="G191" i="25"/>
  <c r="G151" i="25"/>
  <c r="G129" i="25"/>
  <c r="G186" i="25"/>
  <c r="G276" i="25"/>
  <c r="G291" i="25"/>
  <c r="G33" i="25"/>
  <c r="G146" i="25"/>
  <c r="G240" i="25"/>
  <c r="G71" i="25"/>
  <c r="G43" i="25"/>
  <c r="G294" i="25"/>
  <c r="G102" i="25"/>
  <c r="G204" i="25"/>
  <c r="G213" i="25"/>
  <c r="G272" i="25"/>
  <c r="G76" i="25"/>
  <c r="G255" i="25"/>
  <c r="G242" i="25"/>
  <c r="G295" i="25"/>
  <c r="G83" i="25"/>
  <c r="G103" i="25"/>
  <c r="G143" i="25"/>
  <c r="G245" i="25"/>
  <c r="G58" i="25"/>
  <c r="G142" i="25"/>
  <c r="G148" i="25"/>
  <c r="G26" i="25"/>
  <c r="G93" i="25"/>
  <c r="G110" i="25"/>
  <c r="G161" i="25"/>
  <c r="G195" i="25"/>
  <c r="G274" i="25"/>
  <c r="G200" i="25"/>
  <c r="G108" i="25"/>
  <c r="G120" i="25"/>
  <c r="G298" i="25"/>
  <c r="G31" i="25"/>
  <c r="G39" i="25"/>
  <c r="G127" i="25"/>
  <c r="G98" i="25"/>
  <c r="G208" i="25"/>
  <c r="G290" i="25"/>
  <c r="G51" i="25"/>
  <c r="G266" i="25"/>
  <c r="G285" i="25"/>
  <c r="G73" i="25"/>
  <c r="G140" i="25"/>
  <c r="G88" i="25"/>
  <c r="G92" i="25"/>
  <c r="G12" i="25"/>
  <c r="G218" i="25"/>
  <c r="G41" i="25"/>
  <c r="G42" i="25"/>
  <c r="G202" i="25"/>
  <c r="G262" i="25"/>
  <c r="G125" i="25"/>
  <c r="G232" i="25"/>
  <c r="G159" i="25"/>
  <c r="G305" i="25"/>
  <c r="G32" i="25"/>
  <c r="G104" i="25"/>
  <c r="G68" i="25"/>
  <c r="G81" i="25"/>
  <c r="G131" i="25"/>
  <c r="G116" i="25"/>
  <c r="G109" i="25"/>
  <c r="G280" i="25"/>
  <c r="G67" i="25"/>
  <c r="G172" i="25"/>
  <c r="G119" i="25"/>
  <c r="G91" i="25"/>
  <c r="G111" i="25"/>
  <c r="G64" i="25"/>
  <c r="G183" i="25"/>
  <c r="G97" i="25"/>
  <c r="G171" i="25"/>
  <c r="G55" i="25"/>
  <c r="G252" i="25"/>
  <c r="G113" i="25"/>
  <c r="G220" i="25"/>
  <c r="G239" i="25"/>
  <c r="G303" i="25"/>
  <c r="G128" i="25"/>
  <c r="G134" i="25"/>
  <c r="G304" i="25"/>
  <c r="G130" i="25"/>
  <c r="G59" i="25"/>
  <c r="G35" i="25"/>
  <c r="G289" i="25"/>
  <c r="I16" i="34"/>
  <c r="E324" i="34"/>
  <c r="G15" i="25"/>
  <c r="K20" i="12" l="1"/>
  <c r="K247" i="12"/>
  <c r="K298" i="12"/>
  <c r="K302" i="12"/>
  <c r="K73" i="12"/>
  <c r="K118" i="12"/>
  <c r="K37" i="12"/>
  <c r="K59" i="12"/>
  <c r="K184" i="12"/>
  <c r="K107" i="12"/>
  <c r="K252" i="12"/>
  <c r="K267" i="12"/>
  <c r="K179" i="12"/>
  <c r="K93" i="12"/>
  <c r="K163" i="12"/>
  <c r="K72" i="12"/>
  <c r="K106" i="12"/>
  <c r="K303" i="12"/>
  <c r="K203" i="12"/>
  <c r="K227" i="12"/>
  <c r="K176" i="12"/>
  <c r="K112" i="12"/>
  <c r="K119" i="12"/>
  <c r="K293" i="12"/>
  <c r="K32" i="12"/>
  <c r="K196" i="12"/>
  <c r="K80" i="12"/>
  <c r="K66" i="12"/>
  <c r="K70" i="12"/>
  <c r="K79" i="12"/>
  <c r="K169" i="12"/>
  <c r="K45" i="12"/>
  <c r="K264" i="12"/>
  <c r="K84" i="12"/>
  <c r="K22" i="12"/>
  <c r="K266" i="12"/>
  <c r="K305" i="12"/>
  <c r="J201" i="12"/>
  <c r="K201" i="12"/>
  <c r="J168" i="12"/>
  <c r="K168" i="12"/>
  <c r="J151" i="12"/>
  <c r="K151" i="12"/>
  <c r="J142" i="12"/>
  <c r="K142" i="12"/>
  <c r="J221" i="12"/>
  <c r="K221" i="12"/>
  <c r="J15" i="12"/>
  <c r="K15" i="12"/>
  <c r="J182" i="12"/>
  <c r="K182" i="12"/>
  <c r="J139" i="12"/>
  <c r="K139" i="12"/>
  <c r="J257" i="12"/>
  <c r="K257" i="12"/>
  <c r="J92" i="12"/>
  <c r="K92" i="12"/>
  <c r="J149" i="12"/>
  <c r="K149" i="12"/>
  <c r="J309" i="12"/>
  <c r="K309" i="12"/>
  <c r="J292" i="12"/>
  <c r="K292" i="12"/>
  <c r="J212" i="12"/>
  <c r="K212" i="12"/>
  <c r="J244" i="12"/>
  <c r="K244" i="12"/>
  <c r="J236" i="12"/>
  <c r="K236" i="12"/>
  <c r="J23" i="12"/>
  <c r="K23" i="12"/>
  <c r="J259" i="12"/>
  <c r="K259" i="12"/>
  <c r="J278" i="12"/>
  <c r="K278" i="12"/>
  <c r="J136" i="12"/>
  <c r="K136" i="12"/>
  <c r="J173" i="12"/>
  <c r="K173" i="12"/>
  <c r="J279" i="12"/>
  <c r="K279" i="12"/>
  <c r="J100" i="12"/>
  <c r="K100" i="12"/>
  <c r="J241" i="12"/>
  <c r="K241" i="12"/>
  <c r="K226" i="12"/>
  <c r="K156" i="12"/>
  <c r="K229" i="12"/>
  <c r="K166" i="12"/>
  <c r="K180" i="12"/>
  <c r="K253" i="12"/>
  <c r="K58" i="12"/>
  <c r="K249" i="12"/>
  <c r="K125" i="12"/>
  <c r="K269" i="12"/>
  <c r="K98" i="12"/>
  <c r="K277" i="12"/>
  <c r="K171" i="12"/>
  <c r="K153" i="12"/>
  <c r="K81" i="12"/>
  <c r="K282" i="12"/>
  <c r="J105" i="12"/>
  <c r="K105" i="12"/>
  <c r="K110" i="12"/>
  <c r="J174" i="12"/>
  <c r="K174" i="12"/>
  <c r="K35" i="12"/>
  <c r="J261" i="12"/>
  <c r="K261" i="12"/>
  <c r="J276" i="12"/>
  <c r="K276" i="12"/>
  <c r="J270" i="12"/>
  <c r="K270" i="12"/>
  <c r="J300" i="12"/>
  <c r="K300" i="12"/>
  <c r="K104" i="12"/>
  <c r="K27" i="12"/>
  <c r="J101" i="12"/>
  <c r="K101" i="12"/>
  <c r="J290" i="12"/>
  <c r="K290" i="12"/>
  <c r="K265" i="12"/>
  <c r="J183" i="12"/>
  <c r="K183" i="12"/>
  <c r="J157" i="12"/>
  <c r="K157" i="12"/>
  <c r="J122" i="12"/>
  <c r="K122" i="12"/>
  <c r="J55" i="12"/>
  <c r="K55" i="12"/>
  <c r="J208" i="12"/>
  <c r="K208" i="12"/>
  <c r="J291" i="12"/>
  <c r="K291" i="12"/>
  <c r="J43" i="12"/>
  <c r="K43" i="12"/>
  <c r="J90" i="12"/>
  <c r="K90" i="12"/>
  <c r="J214" i="12"/>
  <c r="K214" i="12"/>
  <c r="J127" i="12"/>
  <c r="K127" i="12"/>
  <c r="J46" i="12"/>
  <c r="K46" i="12"/>
  <c r="K14" i="12"/>
  <c r="J209" i="12"/>
  <c r="K209" i="12"/>
  <c r="J295" i="12"/>
  <c r="K295" i="12"/>
  <c r="J115" i="12"/>
  <c r="K115" i="12"/>
  <c r="K148" i="12"/>
  <c r="K121" i="12"/>
  <c r="J230" i="12"/>
  <c r="K230" i="12"/>
  <c r="J132" i="12"/>
  <c r="K132" i="12"/>
  <c r="J205" i="12"/>
  <c r="K205" i="12"/>
  <c r="K280" i="12"/>
  <c r="K42" i="12"/>
  <c r="K158" i="12"/>
  <c r="K124" i="12"/>
  <c r="K44" i="12"/>
  <c r="K63" i="12"/>
  <c r="K75" i="12"/>
  <c r="K204" i="12"/>
  <c r="K78" i="12"/>
  <c r="K97" i="12"/>
  <c r="K130" i="12"/>
  <c r="K235" i="12"/>
  <c r="K310" i="12"/>
  <c r="K16" i="12"/>
  <c r="K147" i="12"/>
  <c r="K288" i="12"/>
  <c r="K64" i="12"/>
  <c r="K26" i="12"/>
  <c r="K255" i="12"/>
  <c r="K123" i="12"/>
  <c r="K202" i="12"/>
  <c r="K224" i="12"/>
  <c r="K159" i="12"/>
  <c r="K28" i="12"/>
  <c r="K83" i="12"/>
  <c r="K52" i="12"/>
  <c r="K10" i="12"/>
  <c r="K69" i="12"/>
  <c r="K77" i="12"/>
  <c r="N8" i="13"/>
  <c r="N39" i="13"/>
  <c r="N71" i="13"/>
  <c r="N15" i="13"/>
  <c r="N86" i="13"/>
  <c r="N150" i="13"/>
  <c r="N66" i="13"/>
  <c r="N123" i="13"/>
  <c r="N155" i="13"/>
  <c r="N94" i="13"/>
  <c r="N111" i="13"/>
  <c r="N210" i="13"/>
  <c r="N195" i="13"/>
  <c r="N227" i="13"/>
  <c r="N259" i="13"/>
  <c r="N192" i="13"/>
  <c r="N228" i="13"/>
  <c r="N260" i="13"/>
  <c r="N175" i="13"/>
  <c r="N217" i="13"/>
  <c r="N303" i="13"/>
  <c r="N290" i="13"/>
  <c r="N249" i="13"/>
  <c r="N157" i="13"/>
  <c r="N80" i="13"/>
  <c r="N56" i="13"/>
  <c r="N297" i="13"/>
  <c r="N253" i="13"/>
  <c r="N152" i="13"/>
  <c r="N36" i="13"/>
  <c r="N296" i="13"/>
  <c r="N209" i="13"/>
  <c r="N177" i="13"/>
  <c r="N93" i="13"/>
  <c r="N60" i="13"/>
  <c r="N277" i="13"/>
  <c r="N137" i="13"/>
  <c r="N26" i="13"/>
  <c r="N116" i="13"/>
  <c r="N28" i="13"/>
  <c r="N59" i="13"/>
  <c r="N91" i="13"/>
  <c r="N38" i="13"/>
  <c r="N138" i="13"/>
  <c r="N170" i="13"/>
  <c r="N107" i="13"/>
  <c r="N143" i="13"/>
  <c r="N46" i="13"/>
  <c r="N102" i="13"/>
  <c r="N198" i="13"/>
  <c r="N186" i="13"/>
  <c r="N215" i="13"/>
  <c r="N247" i="13"/>
  <c r="N279" i="13"/>
  <c r="N216" i="13"/>
  <c r="N248" i="13"/>
  <c r="N280" i="13"/>
  <c r="N197" i="13"/>
  <c r="N291" i="13"/>
  <c r="N310" i="13"/>
  <c r="N304" i="13"/>
  <c r="N266" i="13"/>
  <c r="N133" i="13"/>
  <c r="N45" i="13"/>
  <c r="N14" i="13"/>
  <c r="N265" i="13"/>
  <c r="N185" i="13"/>
  <c r="N10" i="13"/>
  <c r="N100" i="13"/>
  <c r="N230" i="13"/>
  <c r="N141" i="13"/>
  <c r="N64" i="13"/>
  <c r="N40" i="13"/>
  <c r="N246" i="13"/>
  <c r="N164" i="13"/>
  <c r="N109" i="13"/>
  <c r="N97" i="13"/>
  <c r="N16" i="13"/>
  <c r="N47" i="13"/>
  <c r="N79" i="13"/>
  <c r="N23" i="13"/>
  <c r="N126" i="13"/>
  <c r="N158" i="13"/>
  <c r="N98" i="13"/>
  <c r="N131" i="13"/>
  <c r="N163" i="13"/>
  <c r="N58" i="13"/>
  <c r="N119" i="13"/>
  <c r="N218" i="13"/>
  <c r="N203" i="13"/>
  <c r="N235" i="13"/>
  <c r="N267" i="13"/>
  <c r="N200" i="13"/>
  <c r="N236" i="13"/>
  <c r="N268" i="13"/>
  <c r="N183" i="13"/>
  <c r="N225" i="13"/>
  <c r="N311" i="13"/>
  <c r="N306" i="13"/>
  <c r="N270" i="13"/>
  <c r="N160" i="13"/>
  <c r="N17" i="13"/>
  <c r="N108" i="13"/>
  <c r="N274" i="13"/>
  <c r="N148" i="13"/>
  <c r="N101" i="13"/>
  <c r="N81" i="13"/>
  <c r="N288" i="13"/>
  <c r="N245" i="13"/>
  <c r="N180" i="13"/>
  <c r="N29" i="13"/>
  <c r="N289" i="13"/>
  <c r="N269" i="13"/>
  <c r="N140" i="13"/>
  <c r="N84" i="13"/>
  <c r="N53" i="13"/>
  <c r="N35" i="13"/>
  <c r="N67" i="13"/>
  <c r="N11" i="13"/>
  <c r="N70" i="13"/>
  <c r="N146" i="13"/>
  <c r="N50" i="13"/>
  <c r="N115" i="13"/>
  <c r="N151" i="13"/>
  <c r="N78" i="13"/>
  <c r="N110" i="13"/>
  <c r="N206" i="13"/>
  <c r="N191" i="13"/>
  <c r="N223" i="13"/>
  <c r="N255" i="13"/>
  <c r="N188" i="13"/>
  <c r="N224" i="13"/>
  <c r="N256" i="13"/>
  <c r="N174" i="13"/>
  <c r="N213" i="13"/>
  <c r="N299" i="13"/>
  <c r="N287" i="13"/>
  <c r="N281" i="13"/>
  <c r="N181" i="13"/>
  <c r="N129" i="13"/>
  <c r="N88" i="13"/>
  <c r="N301" i="13"/>
  <c r="N234" i="13"/>
  <c r="N124" i="13"/>
  <c r="N68" i="13"/>
  <c r="N37" i="13"/>
  <c r="N258" i="13"/>
  <c r="N144" i="13"/>
  <c r="N121" i="13"/>
  <c r="N92" i="13"/>
  <c r="N204" i="13"/>
  <c r="N169" i="13"/>
  <c r="N57" i="13"/>
  <c r="N33" i="13"/>
  <c r="K38" i="12"/>
  <c r="K154" i="12"/>
  <c r="K194" i="12"/>
  <c r="K191" i="12"/>
  <c r="K216" i="12"/>
  <c r="K248" i="12"/>
  <c r="K197" i="12"/>
  <c r="K113" i="12"/>
  <c r="K256" i="12"/>
  <c r="N24" i="13"/>
  <c r="N55" i="13"/>
  <c r="N87" i="13"/>
  <c r="N31" i="13"/>
  <c r="N134" i="13"/>
  <c r="N166" i="13"/>
  <c r="N106" i="13"/>
  <c r="N139" i="13"/>
  <c r="N171" i="13"/>
  <c r="N90" i="13"/>
  <c r="N194" i="13"/>
  <c r="N179" i="13"/>
  <c r="N211" i="13"/>
  <c r="N243" i="13"/>
  <c r="N275" i="13"/>
  <c r="N212" i="13"/>
  <c r="N244" i="13"/>
  <c r="N276" i="13"/>
  <c r="N193" i="13"/>
  <c r="N261" i="13"/>
  <c r="N302" i="13"/>
  <c r="N308" i="13"/>
  <c r="N241" i="13"/>
  <c r="N165" i="13"/>
  <c r="N77" i="13"/>
  <c r="N44" i="13"/>
  <c r="N278" i="13"/>
  <c r="N153" i="13"/>
  <c r="N41" i="13"/>
  <c r="N18" i="13"/>
  <c r="N262" i="13"/>
  <c r="N173" i="13"/>
  <c r="N96" i="13"/>
  <c r="N72" i="13"/>
  <c r="N309" i="13"/>
  <c r="N238" i="13"/>
  <c r="N136" i="13"/>
  <c r="N22" i="13"/>
  <c r="N12" i="13"/>
  <c r="N43" i="13"/>
  <c r="N75" i="13"/>
  <c r="N19" i="13"/>
  <c r="N122" i="13"/>
  <c r="N154" i="13"/>
  <c r="N82" i="13"/>
  <c r="N127" i="13"/>
  <c r="N159" i="13"/>
  <c r="N42" i="13"/>
  <c r="N118" i="13"/>
  <c r="N214" i="13"/>
  <c r="N199" i="13"/>
  <c r="N231" i="13"/>
  <c r="N263" i="13"/>
  <c r="N196" i="13"/>
  <c r="N232" i="13"/>
  <c r="N264" i="13"/>
  <c r="N182" i="13"/>
  <c r="N221" i="13"/>
  <c r="N307" i="13"/>
  <c r="N298" i="13"/>
  <c r="N285" i="13"/>
  <c r="N125" i="13"/>
  <c r="N48" i="13"/>
  <c r="N25" i="13"/>
  <c r="N293" i="13"/>
  <c r="N222" i="13"/>
  <c r="N117" i="13"/>
  <c r="N113" i="13"/>
  <c r="N292" i="13"/>
  <c r="N282" i="13"/>
  <c r="N149" i="13"/>
  <c r="N61" i="13"/>
  <c r="N30" i="13"/>
  <c r="N250" i="13"/>
  <c r="N172" i="13"/>
  <c r="N120" i="13"/>
  <c r="N85" i="13"/>
  <c r="N32" i="13"/>
  <c r="N63" i="13"/>
  <c r="N95" i="13"/>
  <c r="N54" i="13"/>
  <c r="N142" i="13"/>
  <c r="N34" i="13"/>
  <c r="N114" i="13"/>
  <c r="N147" i="13"/>
  <c r="N62" i="13"/>
  <c r="N103" i="13"/>
  <c r="N202" i="13"/>
  <c r="N187" i="13"/>
  <c r="N219" i="13"/>
  <c r="N251" i="13"/>
  <c r="N283" i="13"/>
  <c r="N220" i="13"/>
  <c r="N252" i="13"/>
  <c r="N284" i="13"/>
  <c r="N201" i="13"/>
  <c r="N295" i="13"/>
  <c r="N314" i="13"/>
  <c r="N300" i="13"/>
  <c r="N233" i="13"/>
  <c r="N161" i="13"/>
  <c r="N13" i="13"/>
  <c r="N305" i="13"/>
  <c r="N226" i="13"/>
  <c r="N156" i="13"/>
  <c r="N104" i="13"/>
  <c r="N69" i="13"/>
  <c r="N286" i="13"/>
  <c r="N176" i="13"/>
  <c r="N9" i="13"/>
  <c r="N257" i="13"/>
  <c r="N132" i="13"/>
  <c r="N89" i="13"/>
  <c r="N65" i="13"/>
  <c r="N20" i="13"/>
  <c r="N51" i="13"/>
  <c r="N83" i="13"/>
  <c r="N27" i="13"/>
  <c r="N130" i="13"/>
  <c r="N162" i="13"/>
  <c r="N99" i="13"/>
  <c r="N135" i="13"/>
  <c r="N167" i="13"/>
  <c r="N74" i="13"/>
  <c r="N190" i="13"/>
  <c r="N178" i="13"/>
  <c r="N207" i="13"/>
  <c r="N239" i="13"/>
  <c r="N271" i="13"/>
  <c r="N208" i="13"/>
  <c r="N240" i="13"/>
  <c r="N272" i="13"/>
  <c r="N189" i="13"/>
  <c r="N229" i="13"/>
  <c r="N294" i="13"/>
  <c r="N312" i="13"/>
  <c r="N242" i="13"/>
  <c r="N128" i="13"/>
  <c r="N112" i="13"/>
  <c r="N76" i="13"/>
  <c r="N237" i="13"/>
  <c r="N184" i="13"/>
  <c r="N73" i="13"/>
  <c r="N49" i="13"/>
  <c r="N254" i="13"/>
  <c r="N205" i="13"/>
  <c r="N145" i="13"/>
  <c r="N105" i="13"/>
  <c r="N313" i="13"/>
  <c r="N273" i="13"/>
  <c r="N168" i="13"/>
  <c r="N52" i="13"/>
  <c r="N21" i="13"/>
  <c r="K7" i="12"/>
  <c r="K85" i="12"/>
  <c r="K65" i="12"/>
  <c r="K258" i="12"/>
  <c r="K289" i="12"/>
  <c r="K296" i="12"/>
  <c r="K25" i="12"/>
  <c r="K29" i="12"/>
  <c r="K161" i="12"/>
  <c r="K189" i="12"/>
  <c r="K238" i="12"/>
  <c r="K223" i="12"/>
  <c r="K272" i="12"/>
  <c r="K137" i="12"/>
  <c r="K185" i="12"/>
  <c r="K246" i="12"/>
  <c r="K215" i="12"/>
  <c r="K13" i="12"/>
  <c r="K187" i="12"/>
  <c r="K162" i="12"/>
  <c r="K57" i="12"/>
  <c r="K217" i="12"/>
  <c r="K234" i="12"/>
  <c r="K199" i="12"/>
  <c r="K273" i="12"/>
  <c r="K287" i="12"/>
  <c r="K268" i="12"/>
  <c r="K34" i="12"/>
  <c r="K145" i="12"/>
  <c r="K177" i="12"/>
  <c r="K254" i="12"/>
  <c r="K87" i="12"/>
  <c r="K91" i="12"/>
  <c r="K56" i="12"/>
  <c r="K54" i="12"/>
  <c r="K86" i="12"/>
  <c r="K30" i="12"/>
  <c r="K133" i="12"/>
  <c r="K165" i="12"/>
  <c r="K138" i="12"/>
  <c r="K170" i="12"/>
  <c r="K89" i="12"/>
  <c r="K193" i="12"/>
  <c r="K178" i="12"/>
  <c r="K210" i="12"/>
  <c r="K242" i="12"/>
  <c r="K274" i="12"/>
  <c r="K211" i="12"/>
  <c r="K243" i="12"/>
  <c r="K275" i="12"/>
  <c r="K192" i="12"/>
  <c r="K260" i="12"/>
  <c r="K301" i="12"/>
  <c r="K307" i="12"/>
  <c r="K240" i="12"/>
  <c r="K164" i="12"/>
  <c r="K76" i="12"/>
  <c r="K152" i="12"/>
  <c r="K40" i="12"/>
  <c r="K17" i="12"/>
  <c r="K172" i="12"/>
  <c r="K95" i="12"/>
  <c r="K71" i="12"/>
  <c r="K308" i="12"/>
  <c r="K237" i="12"/>
  <c r="K135" i="12"/>
  <c r="K21" i="12"/>
  <c r="K116" i="12"/>
  <c r="K99" i="12"/>
  <c r="K140" i="12"/>
  <c r="K60" i="12"/>
  <c r="K245" i="12"/>
  <c r="K96" i="12"/>
  <c r="K134" i="12"/>
  <c r="K190" i="12"/>
  <c r="K271" i="12"/>
  <c r="K228" i="12"/>
  <c r="K111" i="12"/>
  <c r="K233" i="12"/>
  <c r="K48" i="12"/>
  <c r="K143" i="12"/>
  <c r="K312" i="12"/>
  <c r="K167" i="12"/>
  <c r="K11" i="12"/>
  <c r="K74" i="12"/>
  <c r="K18" i="12"/>
  <c r="K126" i="12"/>
  <c r="K41" i="12"/>
  <c r="K117" i="12"/>
  <c r="K213" i="12"/>
  <c r="K198" i="12"/>
  <c r="K262" i="12"/>
  <c r="K195" i="12"/>
  <c r="K231" i="12"/>
  <c r="K263" i="12"/>
  <c r="K181" i="12"/>
  <c r="K220" i="12"/>
  <c r="K306" i="12"/>
  <c r="K297" i="12"/>
  <c r="K284" i="12"/>
  <c r="K47" i="12"/>
  <c r="K24" i="12"/>
  <c r="K9" i="12"/>
  <c r="K281" i="12"/>
  <c r="K39" i="12"/>
  <c r="K108" i="12"/>
  <c r="K114" i="12"/>
  <c r="K222" i="12"/>
  <c r="K239" i="12"/>
  <c r="K311" i="12"/>
  <c r="K67" i="12"/>
  <c r="K120" i="12"/>
  <c r="K51" i="12"/>
  <c r="K31" i="12"/>
  <c r="K62" i="12"/>
  <c r="K94" i="12"/>
  <c r="K53" i="12"/>
  <c r="K141" i="12"/>
  <c r="K33" i="12"/>
  <c r="K146" i="12"/>
  <c r="K61" i="12"/>
  <c r="K102" i="12"/>
  <c r="K186" i="12"/>
  <c r="K218" i="12"/>
  <c r="K250" i="12"/>
  <c r="K219" i="12"/>
  <c r="K251" i="12"/>
  <c r="K283" i="12"/>
  <c r="K200" i="12"/>
  <c r="K294" i="12"/>
  <c r="K313" i="12"/>
  <c r="K299" i="12"/>
  <c r="K232" i="12"/>
  <c r="K160" i="12"/>
  <c r="K12" i="12"/>
  <c r="K304" i="12"/>
  <c r="K225" i="12"/>
  <c r="K155" i="12"/>
  <c r="K103" i="12"/>
  <c r="K68" i="12"/>
  <c r="K285" i="12"/>
  <c r="K175" i="12"/>
  <c r="K8" i="12"/>
  <c r="K131" i="12"/>
  <c r="K88" i="12"/>
  <c r="K19" i="12"/>
  <c r="K50" i="12"/>
  <c r="K82" i="12"/>
  <c r="K129" i="12"/>
  <c r="K49" i="12"/>
  <c r="K150" i="12"/>
  <c r="K109" i="12"/>
  <c r="K206" i="12"/>
  <c r="K207" i="12"/>
  <c r="K188" i="12"/>
  <c r="K286" i="12"/>
  <c r="K128" i="12"/>
  <c r="K144" i="12"/>
  <c r="K36" i="12"/>
  <c r="I211" i="25"/>
  <c r="E38" i="48"/>
  <c r="E6" i="39"/>
  <c r="G6" i="39" s="1"/>
  <c r="H6" i="39" s="1"/>
  <c r="I6" i="39" s="1"/>
  <c r="J6" i="39" s="1"/>
  <c r="E6" i="12"/>
  <c r="G6" i="12" s="1"/>
  <c r="G6" i="25"/>
  <c r="C5" i="34"/>
  <c r="C11" i="34" s="1"/>
  <c r="I324" i="34"/>
  <c r="J273" i="25" l="1"/>
  <c r="J271" i="25"/>
  <c r="O272" i="13"/>
  <c r="P272" i="13" s="1"/>
  <c r="Q272" i="13" s="1"/>
  <c r="K271" i="25" s="1"/>
  <c r="O274" i="13"/>
  <c r="P274" i="13" s="1"/>
  <c r="Q274" i="13" s="1"/>
  <c r="K273" i="25" s="1"/>
  <c r="E314" i="39"/>
  <c r="G314" i="39" s="1"/>
  <c r="H314" i="39" s="1"/>
  <c r="G314" i="25"/>
  <c r="E314" i="12"/>
  <c r="G314" i="12" s="1"/>
  <c r="D11" i="34"/>
  <c r="D12" i="34" s="1"/>
  <c r="C12" i="34"/>
  <c r="H6" i="12"/>
  <c r="I6" i="25"/>
  <c r="J314" i="39"/>
  <c r="I314" i="25" s="1"/>
  <c r="O271" i="25" l="1"/>
  <c r="H271" i="54" s="1"/>
  <c r="O273" i="25"/>
  <c r="H273" i="54" s="1"/>
  <c r="L273" i="25"/>
  <c r="N273" i="25" s="1"/>
  <c r="L271" i="25"/>
  <c r="N271" i="25" s="1"/>
  <c r="O52" i="13"/>
  <c r="O185" i="13"/>
  <c r="O148" i="13"/>
  <c r="O111" i="13"/>
  <c r="O166" i="13"/>
  <c r="O127" i="13"/>
  <c r="O237" i="13"/>
  <c r="O165" i="13"/>
  <c r="O123" i="13"/>
  <c r="O279" i="13"/>
  <c r="O149" i="13"/>
  <c r="O86" i="13"/>
  <c r="O64" i="13"/>
  <c r="O135" i="13"/>
  <c r="O73" i="13"/>
  <c r="O276" i="13"/>
  <c r="O125" i="13"/>
  <c r="O78" i="13"/>
  <c r="O75" i="13"/>
  <c r="O180" i="13"/>
  <c r="O126" i="13"/>
  <c r="O89" i="13"/>
  <c r="O200" i="13"/>
  <c r="O42" i="13"/>
  <c r="O65" i="13"/>
  <c r="O141" i="13"/>
  <c r="O234" i="13"/>
  <c r="O26" i="13"/>
  <c r="O221" i="13"/>
  <c r="O310" i="13"/>
  <c r="O44" i="13"/>
  <c r="O133" i="13"/>
  <c r="O30" i="13"/>
  <c r="O228" i="13"/>
  <c r="O128" i="13"/>
  <c r="O60" i="13"/>
  <c r="O57" i="13"/>
  <c r="O265" i="13"/>
  <c r="O137" i="13"/>
  <c r="O113" i="13"/>
  <c r="O202" i="13"/>
  <c r="O63" i="13"/>
  <c r="O90" i="13"/>
  <c r="O94" i="13"/>
  <c r="O198" i="13"/>
  <c r="O172" i="13"/>
  <c r="O16" i="13"/>
  <c r="O54" i="13"/>
  <c r="O305" i="13"/>
  <c r="O167" i="13"/>
  <c r="O23" i="13"/>
  <c r="O176" i="13"/>
  <c r="O189" i="13"/>
  <c r="O246" i="13"/>
  <c r="O312" i="13"/>
  <c r="O245" i="13"/>
  <c r="O217" i="13"/>
  <c r="O40" i="13"/>
  <c r="O224" i="13"/>
  <c r="O236" i="13"/>
  <c r="O232" i="13"/>
  <c r="O11" i="13"/>
  <c r="O150" i="13"/>
  <c r="O278" i="13"/>
  <c r="O84" i="13"/>
  <c r="O223" i="13"/>
  <c r="O260" i="13"/>
  <c r="O173" i="13"/>
  <c r="O13" i="13"/>
  <c r="O182" i="13"/>
  <c r="O230" i="13"/>
  <c r="O85" i="13"/>
  <c r="O79" i="13"/>
  <c r="O14" i="13"/>
  <c r="O161" i="13"/>
  <c r="O99" i="13"/>
  <c r="O120" i="13"/>
  <c r="O147" i="13"/>
  <c r="O25" i="13"/>
  <c r="O213" i="13"/>
  <c r="O258" i="13"/>
  <c r="O38" i="13"/>
  <c r="O270" i="13"/>
  <c r="O188" i="13"/>
  <c r="O285" i="13"/>
  <c r="O43" i="13"/>
  <c r="O153" i="13"/>
  <c r="O212" i="13"/>
  <c r="O82" i="13"/>
  <c r="O262" i="13"/>
  <c r="O21" i="13"/>
  <c r="O93" i="13"/>
  <c r="O269" i="13"/>
  <c r="O158" i="13"/>
  <c r="O151" i="13"/>
  <c r="O129" i="13"/>
  <c r="O284" i="13"/>
  <c r="O101" i="13"/>
  <c r="O32" i="13"/>
  <c r="O177" i="13"/>
  <c r="O98" i="13"/>
  <c r="O187" i="13"/>
  <c r="O37" i="13"/>
  <c r="O159" i="13"/>
  <c r="O304" i="13"/>
  <c r="O206" i="13"/>
  <c r="O156" i="13"/>
  <c r="O171" i="13"/>
  <c r="O205" i="13"/>
  <c r="O116" i="13"/>
  <c r="O46" i="13"/>
  <c r="O41" i="13"/>
  <c r="O19" i="13"/>
  <c r="O48" i="13"/>
  <c r="O154" i="13"/>
  <c r="O96" i="13"/>
  <c r="O314" i="13"/>
  <c r="O191" i="13"/>
  <c r="O87" i="13"/>
  <c r="O295" i="13"/>
  <c r="O209" i="13"/>
  <c r="O155" i="13"/>
  <c r="O216" i="13"/>
  <c r="O18" i="13"/>
  <c r="O35" i="13"/>
  <c r="O121" i="13"/>
  <c r="O83" i="13"/>
  <c r="O103" i="13"/>
  <c r="O109" i="13"/>
  <c r="O132" i="13"/>
  <c r="O12" i="13"/>
  <c r="O282" i="13"/>
  <c r="O179" i="13"/>
  <c r="O273" i="13"/>
  <c r="O203" i="13"/>
  <c r="O175" i="13"/>
  <c r="O69" i="13"/>
  <c r="O114" i="13"/>
  <c r="O299" i="13"/>
  <c r="O231" i="13"/>
  <c r="O145" i="13"/>
  <c r="O267" i="13"/>
  <c r="O211" i="13"/>
  <c r="O97" i="13"/>
  <c r="O251" i="13"/>
  <c r="O124" i="13"/>
  <c r="O193" i="13"/>
  <c r="O190" i="13"/>
  <c r="O162" i="13"/>
  <c r="O163" i="13"/>
  <c r="O160" i="13"/>
  <c r="O271" i="13"/>
  <c r="O107" i="13"/>
  <c r="O303" i="13"/>
  <c r="O241" i="13"/>
  <c r="O263" i="13"/>
  <c r="O215" i="13"/>
  <c r="O244" i="13"/>
  <c r="O45" i="13"/>
  <c r="O288" i="13"/>
  <c r="O157" i="13"/>
  <c r="O47" i="13"/>
  <c r="O81" i="13"/>
  <c r="O92" i="13"/>
  <c r="O105" i="13"/>
  <c r="O112" i="13"/>
  <c r="O301" i="13"/>
  <c r="O24" i="13"/>
  <c r="O91" i="13"/>
  <c r="O233" i="13"/>
  <c r="O296" i="13"/>
  <c r="O220" i="13"/>
  <c r="O20" i="13"/>
  <c r="O144" i="13"/>
  <c r="O39" i="13"/>
  <c r="O115" i="13"/>
  <c r="O247" i="13"/>
  <c r="O50" i="13"/>
  <c r="O214" i="13"/>
  <c r="O219" i="13"/>
  <c r="O311" i="13"/>
  <c r="O51" i="13"/>
  <c r="O15" i="13"/>
  <c r="O194" i="13"/>
  <c r="O72" i="13"/>
  <c r="O53" i="13"/>
  <c r="O226" i="13"/>
  <c r="O136" i="13"/>
  <c r="O227" i="13"/>
  <c r="O139" i="13"/>
  <c r="O291" i="13"/>
  <c r="O77" i="13"/>
  <c r="O222" i="13"/>
  <c r="O143" i="13"/>
  <c r="O293" i="13"/>
  <c r="O164" i="13"/>
  <c r="J130" i="25"/>
  <c r="O131" i="13"/>
  <c r="J69" i="25"/>
  <c r="O70" i="13"/>
  <c r="J169" i="25"/>
  <c r="O170" i="13"/>
  <c r="J285" i="25"/>
  <c r="O286" i="13"/>
  <c r="J191" i="25"/>
  <c r="O192" i="13"/>
  <c r="J54" i="25"/>
  <c r="O55" i="13"/>
  <c r="J137" i="25"/>
  <c r="O138" i="13"/>
  <c r="J291" i="25"/>
  <c r="O292" i="13"/>
  <c r="J79" i="25"/>
  <c r="O80" i="13"/>
  <c r="J185" i="25"/>
  <c r="O186" i="13"/>
  <c r="J209" i="25"/>
  <c r="O210" i="13"/>
  <c r="J234" i="25"/>
  <c r="O235" i="13"/>
  <c r="J67" i="25"/>
  <c r="O68" i="13"/>
  <c r="J249" i="25"/>
  <c r="O250" i="13"/>
  <c r="J55" i="25"/>
  <c r="O56" i="13"/>
  <c r="J203" i="25"/>
  <c r="O204" i="13"/>
  <c r="J274" i="25"/>
  <c r="O275" i="13"/>
  <c r="J282" i="25"/>
  <c r="O283" i="13"/>
  <c r="J258" i="25"/>
  <c r="O259" i="13"/>
  <c r="J109" i="25"/>
  <c r="O110" i="13"/>
  <c r="J151" i="25"/>
  <c r="O152" i="13"/>
  <c r="J167" i="25"/>
  <c r="O168" i="13"/>
  <c r="J286" i="25"/>
  <c r="O287" i="13"/>
  <c r="J239" i="25"/>
  <c r="O240" i="13"/>
  <c r="J196" i="25"/>
  <c r="O197" i="13"/>
  <c r="H314" i="12"/>
  <c r="K314" i="12"/>
  <c r="J129" i="25"/>
  <c r="O130" i="13"/>
  <c r="J308" i="25"/>
  <c r="O309" i="13"/>
  <c r="J305" i="25"/>
  <c r="O306" i="13"/>
  <c r="J276" i="25"/>
  <c r="O277" i="13"/>
  <c r="J182" i="25"/>
  <c r="O183" i="13"/>
  <c r="J61" i="25"/>
  <c r="O62" i="13"/>
  <c r="J58" i="25"/>
  <c r="O59" i="13"/>
  <c r="J280" i="25"/>
  <c r="O281" i="13"/>
  <c r="J87" i="25"/>
  <c r="O88" i="13"/>
  <c r="J141" i="25"/>
  <c r="O142" i="13"/>
  <c r="J248" i="25"/>
  <c r="O249" i="13"/>
  <c r="J300" i="25"/>
  <c r="J251" i="25"/>
  <c r="O252" i="13"/>
  <c r="J311" i="25"/>
  <c r="J259" i="25"/>
  <c r="J170" i="25"/>
  <c r="J90" i="25"/>
  <c r="J216" i="25"/>
  <c r="J294" i="25"/>
  <c r="J181" i="25"/>
  <c r="J150" i="25"/>
  <c r="J42" i="25"/>
  <c r="J46" i="25"/>
  <c r="J68" i="25"/>
  <c r="J189" i="25"/>
  <c r="J225" i="25"/>
  <c r="J240" i="25"/>
  <c r="J53" i="25"/>
  <c r="R274" i="13"/>
  <c r="S274" i="13" s="1"/>
  <c r="J153" i="25"/>
  <c r="J304" i="25"/>
  <c r="J135" i="25"/>
  <c r="J158" i="25"/>
  <c r="J80" i="25"/>
  <c r="J246" i="25"/>
  <c r="J134" i="25"/>
  <c r="J272" i="25"/>
  <c r="J187" i="25"/>
  <c r="J113" i="25"/>
  <c r="J76" i="25"/>
  <c r="J278" i="25"/>
  <c r="J179" i="25"/>
  <c r="J284" i="25"/>
  <c r="J233" i="25"/>
  <c r="J283" i="25"/>
  <c r="J197" i="25"/>
  <c r="J91" i="25"/>
  <c r="J290" i="25"/>
  <c r="J303" i="25"/>
  <c r="J165" i="25"/>
  <c r="J50" i="25"/>
  <c r="J111" i="25"/>
  <c r="J219" i="25"/>
  <c r="J275" i="25"/>
  <c r="J63" i="25"/>
  <c r="J168" i="25"/>
  <c r="O169" i="13"/>
  <c r="J204" i="25"/>
  <c r="J115" i="25"/>
  <c r="J107" i="25"/>
  <c r="O108" i="13"/>
  <c r="J231" i="25"/>
  <c r="J45" i="25"/>
  <c r="J37" i="25"/>
  <c r="J13" i="25"/>
  <c r="J40" i="25"/>
  <c r="J269" i="25"/>
  <c r="J81" i="25"/>
  <c r="J292" i="25"/>
  <c r="J102" i="25"/>
  <c r="J302" i="25"/>
  <c r="J244" i="25"/>
  <c r="J86" i="25"/>
  <c r="J220" i="25"/>
  <c r="J210" i="25"/>
  <c r="J257" i="25"/>
  <c r="J84" i="25"/>
  <c r="J34" i="25"/>
  <c r="J178" i="25"/>
  <c r="J149" i="25"/>
  <c r="J15" i="25"/>
  <c r="J119" i="25"/>
  <c r="J43" i="25"/>
  <c r="J147" i="25"/>
  <c r="J159" i="25"/>
  <c r="J51" i="25"/>
  <c r="J124" i="25"/>
  <c r="J172" i="25"/>
  <c r="J41" i="25"/>
  <c r="J190" i="25"/>
  <c r="J20" i="25"/>
  <c r="J144" i="25"/>
  <c r="J143" i="25"/>
  <c r="J207" i="25"/>
  <c r="O208" i="13"/>
  <c r="J173" i="25"/>
  <c r="O174" i="13"/>
  <c r="J265" i="25"/>
  <c r="O266" i="13"/>
  <c r="J247" i="25"/>
  <c r="O248" i="13"/>
  <c r="J254" i="25"/>
  <c r="O255" i="13"/>
  <c r="J267" i="25"/>
  <c r="O268" i="13"/>
  <c r="J238" i="25"/>
  <c r="O239" i="13"/>
  <c r="J301" i="25"/>
  <c r="O302" i="13"/>
  <c r="J66" i="25"/>
  <c r="O67" i="13"/>
  <c r="J103" i="25"/>
  <c r="O104" i="13"/>
  <c r="J217" i="25"/>
  <c r="O218" i="13"/>
  <c r="J16" i="25"/>
  <c r="O17" i="13"/>
  <c r="J237" i="25"/>
  <c r="O238" i="13"/>
  <c r="J48" i="25"/>
  <c r="O49" i="13"/>
  <c r="J279" i="25"/>
  <c r="O280" i="13"/>
  <c r="J252" i="25"/>
  <c r="O253" i="13"/>
  <c r="J57" i="25"/>
  <c r="O58" i="13"/>
  <c r="J296" i="25"/>
  <c r="O297" i="13"/>
  <c r="J228" i="25"/>
  <c r="O229" i="13"/>
  <c r="J253" i="25"/>
  <c r="O254" i="13"/>
  <c r="J121" i="25"/>
  <c r="O122" i="13"/>
  <c r="J117" i="25"/>
  <c r="O118" i="13"/>
  <c r="J288" i="25"/>
  <c r="O289" i="13"/>
  <c r="J101" i="25"/>
  <c r="O102" i="13"/>
  <c r="J266" i="25"/>
  <c r="J232" i="25"/>
  <c r="J29" i="25"/>
  <c r="J163" i="25"/>
  <c r="J104" i="25"/>
  <c r="J298" i="25"/>
  <c r="J23" i="25"/>
  <c r="J157" i="25"/>
  <c r="J235" i="25"/>
  <c r="J123" i="25"/>
  <c r="J174" i="25"/>
  <c r="J30" i="25"/>
  <c r="O31" i="13"/>
  <c r="J99" i="25"/>
  <c r="O100" i="13"/>
  <c r="J180" i="25"/>
  <c r="O181" i="13"/>
  <c r="J297" i="25"/>
  <c r="O298" i="13"/>
  <c r="J27" i="25"/>
  <c r="O28" i="13"/>
  <c r="J241" i="25"/>
  <c r="O242" i="13"/>
  <c r="J105" i="25"/>
  <c r="O106" i="13"/>
  <c r="J32" i="25"/>
  <c r="O33" i="13"/>
  <c r="J73" i="25"/>
  <c r="O74" i="13"/>
  <c r="J242" i="25"/>
  <c r="O243" i="13"/>
  <c r="J307" i="25"/>
  <c r="O308" i="13"/>
  <c r="J256" i="25"/>
  <c r="O257" i="13"/>
  <c r="J21" i="25"/>
  <c r="O22" i="13"/>
  <c r="J198" i="25"/>
  <c r="O199" i="13"/>
  <c r="J145" i="25"/>
  <c r="O146" i="13"/>
  <c r="J299" i="25"/>
  <c r="O300" i="13"/>
  <c r="J306" i="25"/>
  <c r="O307" i="13"/>
  <c r="J75" i="25"/>
  <c r="O76" i="13"/>
  <c r="J7" i="25"/>
  <c r="O8" i="13"/>
  <c r="J255" i="25"/>
  <c r="O256" i="13"/>
  <c r="J206" i="25"/>
  <c r="O207" i="13"/>
  <c r="J118" i="25"/>
  <c r="O119" i="13"/>
  <c r="J28" i="25"/>
  <c r="O29" i="13"/>
  <c r="J70" i="25"/>
  <c r="O71" i="13"/>
  <c r="J224" i="25"/>
  <c r="O225" i="13"/>
  <c r="J35" i="25"/>
  <c r="O36" i="13"/>
  <c r="J116" i="25"/>
  <c r="O117" i="13"/>
  <c r="J33" i="25"/>
  <c r="O34" i="13"/>
  <c r="J177" i="25"/>
  <c r="O178" i="13"/>
  <c r="J146" i="25"/>
  <c r="J11" i="25"/>
  <c r="J132" i="25"/>
  <c r="J313" i="25"/>
  <c r="R272" i="13"/>
  <c r="S272" i="13" s="1"/>
  <c r="J94" i="25"/>
  <c r="O95" i="13"/>
  <c r="J183" i="25"/>
  <c r="O184" i="13"/>
  <c r="J200" i="25"/>
  <c r="O201" i="13"/>
  <c r="J133" i="25"/>
  <c r="O134" i="13"/>
  <c r="J289" i="25"/>
  <c r="O290" i="13"/>
  <c r="J139" i="25"/>
  <c r="O140" i="13"/>
  <c r="J195" i="25"/>
  <c r="O196" i="13"/>
  <c r="J260" i="25"/>
  <c r="O261" i="13"/>
  <c r="J26" i="25"/>
  <c r="O27" i="13"/>
  <c r="J293" i="25"/>
  <c r="O294" i="13"/>
  <c r="J8" i="25"/>
  <c r="O9" i="13"/>
  <c r="J263" i="25"/>
  <c r="O264" i="13"/>
  <c r="J60" i="25"/>
  <c r="O61" i="13"/>
  <c r="J194" i="25"/>
  <c r="O195" i="13"/>
  <c r="J65" i="25"/>
  <c r="O66" i="13"/>
  <c r="J9" i="25"/>
  <c r="O10" i="13"/>
  <c r="J312" i="25"/>
  <c r="O313" i="13"/>
  <c r="J214" i="25"/>
  <c r="J222" i="25"/>
  <c r="J92" i="25"/>
  <c r="J44" i="25"/>
  <c r="J78" i="25"/>
  <c r="J140" i="25"/>
  <c r="J72" i="25"/>
  <c r="J18" i="25"/>
  <c r="J74" i="25"/>
  <c r="J110" i="25"/>
  <c r="J125" i="25"/>
  <c r="J85" i="25"/>
  <c r="J88" i="25"/>
  <c r="J39" i="25"/>
  <c r="J112" i="25"/>
  <c r="J287" i="25"/>
  <c r="J89" i="25"/>
  <c r="J114" i="25"/>
  <c r="J192" i="25"/>
  <c r="J161" i="25"/>
  <c r="J218" i="25"/>
  <c r="J148" i="25"/>
  <c r="J95" i="25"/>
  <c r="J226" i="25"/>
  <c r="J221" i="25"/>
  <c r="J25" i="25"/>
  <c r="J136" i="25"/>
  <c r="J245" i="25"/>
  <c r="J164" i="25"/>
  <c r="J205" i="25"/>
  <c r="J155" i="25"/>
  <c r="J243" i="25"/>
  <c r="J154" i="25"/>
  <c r="J12" i="25"/>
  <c r="J268" i="25"/>
  <c r="J250" i="25"/>
  <c r="J93" i="25"/>
  <c r="J128" i="25"/>
  <c r="J120" i="25"/>
  <c r="J171" i="25"/>
  <c r="J49" i="25"/>
  <c r="J213" i="25"/>
  <c r="J176" i="25"/>
  <c r="J262" i="25"/>
  <c r="J186" i="25"/>
  <c r="J310" i="25"/>
  <c r="J36" i="25"/>
  <c r="J22" i="25"/>
  <c r="J175" i="25"/>
  <c r="J199" i="25"/>
  <c r="J31" i="25"/>
  <c r="J47" i="25"/>
  <c r="J108" i="25"/>
  <c r="J59" i="25"/>
  <c r="J270" i="25"/>
  <c r="J56" i="25"/>
  <c r="J106" i="25"/>
  <c r="J212" i="25"/>
  <c r="J10" i="25"/>
  <c r="J100" i="25"/>
  <c r="J98" i="25"/>
  <c r="J162" i="25"/>
  <c r="J166" i="25"/>
  <c r="J14" i="25"/>
  <c r="I6" i="12"/>
  <c r="N7" i="13" s="1"/>
  <c r="J208" i="25"/>
  <c r="J295" i="25"/>
  <c r="J236" i="25"/>
  <c r="J227" i="25"/>
  <c r="J17" i="25"/>
  <c r="J122" i="25"/>
  <c r="J62" i="25"/>
  <c r="J38" i="25"/>
  <c r="J71" i="25"/>
  <c r="J82" i="25"/>
  <c r="J184" i="25"/>
  <c r="J97" i="25"/>
  <c r="J24" i="25"/>
  <c r="J277" i="25"/>
  <c r="J64" i="25"/>
  <c r="J223" i="25"/>
  <c r="J152" i="25"/>
  <c r="J142" i="25"/>
  <c r="J131" i="25"/>
  <c r="J202" i="25"/>
  <c r="J127" i="25"/>
  <c r="J281" i="25"/>
  <c r="J230" i="25"/>
  <c r="J83" i="25"/>
  <c r="J77" i="25"/>
  <c r="J201" i="25"/>
  <c r="J126" i="25"/>
  <c r="J19" i="25"/>
  <c r="J215" i="25"/>
  <c r="J138" i="25"/>
  <c r="J229" i="25"/>
  <c r="J96" i="25"/>
  <c r="J193" i="25"/>
  <c r="J261" i="25"/>
  <c r="J156" i="25"/>
  <c r="J309" i="25"/>
  <c r="J160" i="25"/>
  <c r="J52" i="25"/>
  <c r="J264" i="25"/>
  <c r="J188" i="25"/>
  <c r="J211" i="25" l="1"/>
  <c r="E37" i="48"/>
  <c r="P127" i="13"/>
  <c r="Q127" i="13" s="1"/>
  <c r="K126" i="25" s="1"/>
  <c r="L126" i="25" s="1"/>
  <c r="N126" i="25" s="1"/>
  <c r="P282" i="13"/>
  <c r="Q282" i="13" s="1"/>
  <c r="K281" i="25" s="1"/>
  <c r="L281" i="25" s="1"/>
  <c r="N281" i="25" s="1"/>
  <c r="P15" i="13"/>
  <c r="Q15" i="13" s="1"/>
  <c r="K14" i="25" s="1"/>
  <c r="L14" i="25" s="1"/>
  <c r="N14" i="25" s="1"/>
  <c r="P101" i="13"/>
  <c r="Q101" i="13" s="1"/>
  <c r="K100" i="25" s="1"/>
  <c r="L100" i="25" s="1"/>
  <c r="N100" i="25" s="1"/>
  <c r="P60" i="13"/>
  <c r="Q60" i="13" s="1"/>
  <c r="K59" i="25" s="1"/>
  <c r="L59" i="25" s="1"/>
  <c r="N59" i="25" s="1"/>
  <c r="P244" i="13"/>
  <c r="Q244" i="13" s="1"/>
  <c r="K243" i="25" s="1"/>
  <c r="L243" i="25" s="1"/>
  <c r="N243" i="25" s="1"/>
  <c r="P246" i="13"/>
  <c r="Q246" i="13" s="1"/>
  <c r="K245" i="25" s="1"/>
  <c r="L245" i="25" s="1"/>
  <c r="N245" i="25" s="1"/>
  <c r="P227" i="13"/>
  <c r="Q227" i="13" s="1"/>
  <c r="K226" i="25" s="1"/>
  <c r="L226" i="25" s="1"/>
  <c r="N226" i="25" s="1"/>
  <c r="P219" i="13"/>
  <c r="Q219" i="13" s="1"/>
  <c r="K218" i="25" s="1"/>
  <c r="L218" i="25" s="1"/>
  <c r="N218" i="25" s="1"/>
  <c r="P113" i="13"/>
  <c r="Q113" i="13" s="1"/>
  <c r="K112" i="25" s="1"/>
  <c r="L112" i="25" s="1"/>
  <c r="N112" i="25" s="1"/>
  <c r="P126" i="13"/>
  <c r="Q126" i="13" s="1"/>
  <c r="K125" i="25" s="1"/>
  <c r="L125" i="25" s="1"/>
  <c r="N125" i="25" s="1"/>
  <c r="P79" i="13"/>
  <c r="Q79" i="13" s="1"/>
  <c r="K78" i="25" s="1"/>
  <c r="L78" i="25" s="1"/>
  <c r="N78" i="25" s="1"/>
  <c r="P10" i="13"/>
  <c r="Q10" i="13" s="1"/>
  <c r="K9" i="25" s="1"/>
  <c r="L9" i="25" s="1"/>
  <c r="N9" i="25" s="1"/>
  <c r="P294" i="13"/>
  <c r="Q294" i="13" s="1"/>
  <c r="K293" i="25" s="1"/>
  <c r="L293" i="25" s="1"/>
  <c r="N293" i="25" s="1"/>
  <c r="P140" i="13"/>
  <c r="Q140" i="13" s="1"/>
  <c r="K139" i="25" s="1"/>
  <c r="L139" i="25" s="1"/>
  <c r="N139" i="25" s="1"/>
  <c r="P12" i="13"/>
  <c r="Q12" i="13" s="1"/>
  <c r="K11" i="25" s="1"/>
  <c r="L11" i="25" s="1"/>
  <c r="N11" i="25" s="1"/>
  <c r="P117" i="13"/>
  <c r="Q117" i="13" s="1"/>
  <c r="K116" i="25" s="1"/>
  <c r="L116" i="25" s="1"/>
  <c r="N116" i="25" s="1"/>
  <c r="P8" i="13"/>
  <c r="Q8" i="13" s="1"/>
  <c r="K7" i="25" s="1"/>
  <c r="L7" i="25" s="1"/>
  <c r="N7" i="25" s="1"/>
  <c r="P146" i="13"/>
  <c r="Q146" i="13" s="1"/>
  <c r="K145" i="25" s="1"/>
  <c r="L145" i="25" s="1"/>
  <c r="N145" i="25" s="1"/>
  <c r="P22" i="13"/>
  <c r="Q22" i="13" s="1"/>
  <c r="K21" i="25" s="1"/>
  <c r="L21" i="25" s="1"/>
  <c r="N21" i="25" s="1"/>
  <c r="P106" i="13"/>
  <c r="Q106" i="13" s="1"/>
  <c r="K105" i="25" s="1"/>
  <c r="L105" i="25" s="1"/>
  <c r="N105" i="25" s="1"/>
  <c r="P181" i="13"/>
  <c r="Q181" i="13" s="1"/>
  <c r="K180" i="25" s="1"/>
  <c r="L180" i="25" s="1"/>
  <c r="N180" i="25" s="1"/>
  <c r="P158" i="13"/>
  <c r="Q158" i="13" s="1"/>
  <c r="K157" i="25" s="1"/>
  <c r="L157" i="25" s="1"/>
  <c r="N157" i="25" s="1"/>
  <c r="P299" i="13"/>
  <c r="Q299" i="13" s="1"/>
  <c r="K298" i="25" s="1"/>
  <c r="L298" i="25" s="1"/>
  <c r="N298" i="25" s="1"/>
  <c r="P233" i="13"/>
  <c r="Q233" i="13" s="1"/>
  <c r="K232" i="25" s="1"/>
  <c r="L232" i="25" s="1"/>
  <c r="N232" i="25" s="1"/>
  <c r="P102" i="13"/>
  <c r="Q102" i="13" s="1"/>
  <c r="K101" i="25" s="1"/>
  <c r="L101" i="25" s="1"/>
  <c r="N101" i="25" s="1"/>
  <c r="P118" i="13"/>
  <c r="Q118" i="13" s="1"/>
  <c r="K117" i="25" s="1"/>
  <c r="L117" i="25" s="1"/>
  <c r="N117" i="25" s="1"/>
  <c r="P254" i="13"/>
  <c r="Q254" i="13" s="1"/>
  <c r="K253" i="25" s="1"/>
  <c r="L253" i="25" s="1"/>
  <c r="N253" i="25" s="1"/>
  <c r="P297" i="13"/>
  <c r="Q297" i="13" s="1"/>
  <c r="K296" i="25" s="1"/>
  <c r="L296" i="25" s="1"/>
  <c r="N296" i="25" s="1"/>
  <c r="P49" i="13"/>
  <c r="Q49" i="13" s="1"/>
  <c r="K48" i="25" s="1"/>
  <c r="L48" i="25" s="1"/>
  <c r="N48" i="25" s="1"/>
  <c r="P104" i="13"/>
  <c r="Q104" i="13" s="1"/>
  <c r="K103" i="25" s="1"/>
  <c r="L103" i="25" s="1"/>
  <c r="N103" i="25" s="1"/>
  <c r="P302" i="13"/>
  <c r="Q302" i="13" s="1"/>
  <c r="K301" i="25" s="1"/>
  <c r="L301" i="25" s="1"/>
  <c r="N301" i="25" s="1"/>
  <c r="P268" i="13"/>
  <c r="Q268" i="13" s="1"/>
  <c r="K267" i="25" s="1"/>
  <c r="L267" i="25" s="1"/>
  <c r="N267" i="25" s="1"/>
  <c r="P248" i="13"/>
  <c r="Q248" i="13" s="1"/>
  <c r="K247" i="25" s="1"/>
  <c r="L247" i="25" s="1"/>
  <c r="N247" i="25" s="1"/>
  <c r="P174" i="13"/>
  <c r="Q174" i="13" s="1"/>
  <c r="K173" i="25" s="1"/>
  <c r="L173" i="25" s="1"/>
  <c r="N173" i="25" s="1"/>
  <c r="P144" i="13"/>
  <c r="Q144" i="13" s="1"/>
  <c r="K143" i="25" s="1"/>
  <c r="L143" i="25" s="1"/>
  <c r="N143" i="25" s="1"/>
  <c r="P21" i="13"/>
  <c r="Q21" i="13" s="1"/>
  <c r="K20" i="25" s="1"/>
  <c r="L20" i="25" s="1"/>
  <c r="N20" i="25" s="1"/>
  <c r="P42" i="13"/>
  <c r="Q42" i="13" s="1"/>
  <c r="K41" i="25" s="1"/>
  <c r="L41" i="25" s="1"/>
  <c r="N41" i="25" s="1"/>
  <c r="P125" i="13"/>
  <c r="Q125" i="13" s="1"/>
  <c r="K124" i="25" s="1"/>
  <c r="L124" i="25" s="1"/>
  <c r="N124" i="25" s="1"/>
  <c r="P160" i="13"/>
  <c r="Q160" i="13" s="1"/>
  <c r="K159" i="25" s="1"/>
  <c r="L159" i="25" s="1"/>
  <c r="N159" i="25" s="1"/>
  <c r="P87" i="13"/>
  <c r="Q87" i="13" s="1"/>
  <c r="K86" i="25" s="1"/>
  <c r="L86" i="25" s="1"/>
  <c r="N86" i="25" s="1"/>
  <c r="P103" i="13"/>
  <c r="Q103" i="13" s="1"/>
  <c r="K102" i="25" s="1"/>
  <c r="L102" i="25" s="1"/>
  <c r="N102" i="25" s="1"/>
  <c r="P82" i="13"/>
  <c r="Q82" i="13" s="1"/>
  <c r="K81" i="25" s="1"/>
  <c r="L81" i="25" s="1"/>
  <c r="N81" i="25" s="1"/>
  <c r="P41" i="13"/>
  <c r="Q41" i="13" s="1"/>
  <c r="K40" i="25" s="1"/>
  <c r="L40" i="25" s="1"/>
  <c r="N40" i="25" s="1"/>
  <c r="P38" i="13"/>
  <c r="Q38" i="13" s="1"/>
  <c r="K37" i="25" s="1"/>
  <c r="L37" i="25" s="1"/>
  <c r="N37" i="25" s="1"/>
  <c r="P232" i="13"/>
  <c r="Q232" i="13" s="1"/>
  <c r="K231" i="25" s="1"/>
  <c r="L231" i="25" s="1"/>
  <c r="N231" i="25" s="1"/>
  <c r="P116" i="13"/>
  <c r="Q116" i="13" s="1"/>
  <c r="K115" i="25" s="1"/>
  <c r="L115" i="25" s="1"/>
  <c r="N115" i="25" s="1"/>
  <c r="P169" i="13"/>
  <c r="Q169" i="13" s="1"/>
  <c r="K168" i="25" s="1"/>
  <c r="L168" i="25" s="1"/>
  <c r="N168" i="25" s="1"/>
  <c r="P276" i="13"/>
  <c r="Q276" i="13" s="1"/>
  <c r="K275" i="25" s="1"/>
  <c r="L275" i="25" s="1"/>
  <c r="N275" i="25" s="1"/>
  <c r="P112" i="13"/>
  <c r="Q112" i="13" s="1"/>
  <c r="K111" i="25" s="1"/>
  <c r="L111" i="25" s="1"/>
  <c r="N111" i="25" s="1"/>
  <c r="P166" i="13"/>
  <c r="Q166" i="13" s="1"/>
  <c r="K165" i="25" s="1"/>
  <c r="L165" i="25" s="1"/>
  <c r="N165" i="25" s="1"/>
  <c r="P291" i="13"/>
  <c r="Q291" i="13" s="1"/>
  <c r="K290" i="25" s="1"/>
  <c r="L290" i="25" s="1"/>
  <c r="N290" i="25" s="1"/>
  <c r="P198" i="13"/>
  <c r="Q198" i="13" s="1"/>
  <c r="K197" i="25" s="1"/>
  <c r="L197" i="25" s="1"/>
  <c r="N197" i="25" s="1"/>
  <c r="P234" i="13"/>
  <c r="Q234" i="13" s="1"/>
  <c r="K233" i="25" s="1"/>
  <c r="L233" i="25" s="1"/>
  <c r="N233" i="25" s="1"/>
  <c r="P180" i="13"/>
  <c r="Q180" i="13" s="1"/>
  <c r="K179" i="25" s="1"/>
  <c r="L179" i="25" s="1"/>
  <c r="N179" i="25" s="1"/>
  <c r="P77" i="13"/>
  <c r="Q77" i="13" s="1"/>
  <c r="K76" i="25" s="1"/>
  <c r="L76" i="25" s="1"/>
  <c r="N76" i="25" s="1"/>
  <c r="P188" i="13"/>
  <c r="Q188" i="13" s="1"/>
  <c r="K187" i="25" s="1"/>
  <c r="L187" i="25" s="1"/>
  <c r="N187" i="25" s="1"/>
  <c r="P135" i="13"/>
  <c r="Q135" i="13" s="1"/>
  <c r="K134" i="25" s="1"/>
  <c r="L134" i="25" s="1"/>
  <c r="N134" i="25" s="1"/>
  <c r="P81" i="13"/>
  <c r="Q81" i="13" s="1"/>
  <c r="K80" i="25" s="1"/>
  <c r="L80" i="25" s="1"/>
  <c r="N80" i="25" s="1"/>
  <c r="P136" i="13"/>
  <c r="Q136" i="13" s="1"/>
  <c r="K135" i="25" s="1"/>
  <c r="L135" i="25" s="1"/>
  <c r="N135" i="25" s="1"/>
  <c r="P154" i="13"/>
  <c r="Q154" i="13" s="1"/>
  <c r="K153" i="25" s="1"/>
  <c r="L153" i="25" s="1"/>
  <c r="N153" i="25" s="1"/>
  <c r="P265" i="13"/>
  <c r="Q265" i="13" s="1"/>
  <c r="K264" i="25" s="1"/>
  <c r="L264" i="25" s="1"/>
  <c r="N264" i="25" s="1"/>
  <c r="P161" i="13"/>
  <c r="Q161" i="13" s="1"/>
  <c r="K160" i="25" s="1"/>
  <c r="L160" i="25" s="1"/>
  <c r="N160" i="25" s="1"/>
  <c r="P97" i="13"/>
  <c r="Q97" i="13" s="1"/>
  <c r="K96" i="25" s="1"/>
  <c r="L96" i="25" s="1"/>
  <c r="N96" i="25" s="1"/>
  <c r="P139" i="13"/>
  <c r="Q139" i="13" s="1"/>
  <c r="K138" i="25" s="1"/>
  <c r="L138" i="25" s="1"/>
  <c r="N138" i="25" s="1"/>
  <c r="P231" i="13"/>
  <c r="Q231" i="13" s="1"/>
  <c r="K230" i="25" s="1"/>
  <c r="L230" i="25" s="1"/>
  <c r="N230" i="25" s="1"/>
  <c r="P203" i="13"/>
  <c r="Q203" i="13" s="1"/>
  <c r="K202" i="25" s="1"/>
  <c r="L202" i="25" s="1"/>
  <c r="N202" i="25" s="1"/>
  <c r="P153" i="13"/>
  <c r="Q153" i="13" s="1"/>
  <c r="K152" i="25" s="1"/>
  <c r="L152" i="25" s="1"/>
  <c r="N152" i="25" s="1"/>
  <c r="P65" i="13"/>
  <c r="Q65" i="13" s="1"/>
  <c r="K64" i="25" s="1"/>
  <c r="L64" i="25" s="1"/>
  <c r="N64" i="25" s="1"/>
  <c r="P25" i="13"/>
  <c r="Q25" i="13" s="1"/>
  <c r="K24" i="25" s="1"/>
  <c r="L24" i="25" s="1"/>
  <c r="N24" i="25" s="1"/>
  <c r="P228" i="13"/>
  <c r="Q228" i="13" s="1"/>
  <c r="K227" i="25" s="1"/>
  <c r="L227" i="25" s="1"/>
  <c r="N227" i="25" s="1"/>
  <c r="P48" i="13"/>
  <c r="Q48" i="13" s="1"/>
  <c r="K47" i="25" s="1"/>
  <c r="L47" i="25" s="1"/>
  <c r="N47" i="25" s="1"/>
  <c r="P176" i="13"/>
  <c r="Q176" i="13" s="1"/>
  <c r="K175" i="25" s="1"/>
  <c r="L175" i="25" s="1"/>
  <c r="N175" i="25" s="1"/>
  <c r="P23" i="13"/>
  <c r="Q23" i="13" s="1"/>
  <c r="K22" i="25" s="1"/>
  <c r="L22" i="25" s="1"/>
  <c r="N22" i="25" s="1"/>
  <c r="P50" i="13"/>
  <c r="Q50" i="13" s="1"/>
  <c r="K49" i="25" s="1"/>
  <c r="L49" i="25" s="1"/>
  <c r="N49" i="25" s="1"/>
  <c r="P269" i="13"/>
  <c r="Q269" i="13" s="1"/>
  <c r="K268" i="25" s="1"/>
  <c r="L268" i="25" s="1"/>
  <c r="N268" i="25" s="1"/>
  <c r="P155" i="13"/>
  <c r="Q155" i="13" s="1"/>
  <c r="K154" i="25" s="1"/>
  <c r="L154" i="25" s="1"/>
  <c r="N154" i="25" s="1"/>
  <c r="P44" i="13"/>
  <c r="Q44" i="13" s="1"/>
  <c r="K43" i="25" s="1"/>
  <c r="L43" i="25" s="1"/>
  <c r="N43" i="25" s="1"/>
  <c r="P16" i="13"/>
  <c r="Q16" i="13" s="1"/>
  <c r="K15" i="25" s="1"/>
  <c r="L15" i="25" s="1"/>
  <c r="N15" i="25" s="1"/>
  <c r="P85" i="13"/>
  <c r="Q85" i="13" s="1"/>
  <c r="K84" i="25" s="1"/>
  <c r="L84" i="25" s="1"/>
  <c r="N84" i="25" s="1"/>
  <c r="P211" i="13"/>
  <c r="Q211" i="13" s="1"/>
  <c r="K210" i="25" s="1"/>
  <c r="L210" i="25" s="1"/>
  <c r="N210" i="25" s="1"/>
  <c r="P221" i="13"/>
  <c r="Q221" i="13" s="1"/>
  <c r="K220" i="25" s="1"/>
  <c r="L220" i="25" s="1"/>
  <c r="N220" i="25" s="1"/>
  <c r="P241" i="13"/>
  <c r="Q241" i="13" s="1"/>
  <c r="K240" i="25" s="1"/>
  <c r="L240" i="25" s="1"/>
  <c r="N240" i="25" s="1"/>
  <c r="P190" i="13"/>
  <c r="Q190" i="13" s="1"/>
  <c r="K189" i="25" s="1"/>
  <c r="L189" i="25" s="1"/>
  <c r="N189" i="25" s="1"/>
  <c r="P47" i="13"/>
  <c r="Q47" i="13" s="1"/>
  <c r="K46" i="25" s="1"/>
  <c r="L46" i="25" s="1"/>
  <c r="N46" i="25" s="1"/>
  <c r="P151" i="13"/>
  <c r="Q151" i="13" s="1"/>
  <c r="K150" i="25" s="1"/>
  <c r="L150" i="25" s="1"/>
  <c r="N150" i="25" s="1"/>
  <c r="P295" i="13"/>
  <c r="Q295" i="13" s="1"/>
  <c r="K294" i="25" s="1"/>
  <c r="L294" i="25" s="1"/>
  <c r="N294" i="25" s="1"/>
  <c r="P91" i="13"/>
  <c r="Q91" i="13" s="1"/>
  <c r="K90" i="25" s="1"/>
  <c r="L90" i="25" s="1"/>
  <c r="N90" i="25" s="1"/>
  <c r="P260" i="13"/>
  <c r="Q260" i="13" s="1"/>
  <c r="K259" i="25" s="1"/>
  <c r="L259" i="25" s="1"/>
  <c r="N259" i="25" s="1"/>
  <c r="P252" i="13"/>
  <c r="Q252" i="13" s="1"/>
  <c r="K251" i="25" s="1"/>
  <c r="L251" i="25" s="1"/>
  <c r="N251" i="25" s="1"/>
  <c r="P249" i="13"/>
  <c r="Q249" i="13" s="1"/>
  <c r="K248" i="25" s="1"/>
  <c r="L248" i="25" s="1"/>
  <c r="N248" i="25" s="1"/>
  <c r="P88" i="13"/>
  <c r="Q88" i="13" s="1"/>
  <c r="K87" i="25" s="1"/>
  <c r="L87" i="25" s="1"/>
  <c r="N87" i="25" s="1"/>
  <c r="P59" i="13"/>
  <c r="Q59" i="13" s="1"/>
  <c r="K58" i="25" s="1"/>
  <c r="L58" i="25" s="1"/>
  <c r="N58" i="25" s="1"/>
  <c r="P183" i="13"/>
  <c r="Q183" i="13" s="1"/>
  <c r="K182" i="25" s="1"/>
  <c r="L182" i="25" s="1"/>
  <c r="N182" i="25" s="1"/>
  <c r="P306" i="13"/>
  <c r="Q306" i="13" s="1"/>
  <c r="K305" i="25" s="1"/>
  <c r="L305" i="25" s="1"/>
  <c r="N305" i="25" s="1"/>
  <c r="P130" i="13"/>
  <c r="Q130" i="13" s="1"/>
  <c r="K129" i="25" s="1"/>
  <c r="L129" i="25" s="1"/>
  <c r="N129" i="25" s="1"/>
  <c r="P197" i="13"/>
  <c r="Q197" i="13" s="1"/>
  <c r="K196" i="25" s="1"/>
  <c r="L196" i="25" s="1"/>
  <c r="N196" i="25" s="1"/>
  <c r="P287" i="13"/>
  <c r="Q287" i="13" s="1"/>
  <c r="K286" i="25" s="1"/>
  <c r="L286" i="25" s="1"/>
  <c r="N286" i="25" s="1"/>
  <c r="P152" i="13"/>
  <c r="Q152" i="13" s="1"/>
  <c r="K151" i="25" s="1"/>
  <c r="L151" i="25" s="1"/>
  <c r="N151" i="25" s="1"/>
  <c r="P259" i="13"/>
  <c r="Q259" i="13" s="1"/>
  <c r="K258" i="25" s="1"/>
  <c r="L258" i="25" s="1"/>
  <c r="N258" i="25" s="1"/>
  <c r="P275" i="13"/>
  <c r="Q275" i="13" s="1"/>
  <c r="K274" i="25" s="1"/>
  <c r="L274" i="25" s="1"/>
  <c r="N274" i="25" s="1"/>
  <c r="P56" i="13"/>
  <c r="Q56" i="13" s="1"/>
  <c r="K55" i="25" s="1"/>
  <c r="L55" i="25" s="1"/>
  <c r="N55" i="25" s="1"/>
  <c r="P68" i="13"/>
  <c r="Q68" i="13" s="1"/>
  <c r="K67" i="25" s="1"/>
  <c r="L67" i="25" s="1"/>
  <c r="N67" i="25" s="1"/>
  <c r="P210" i="13"/>
  <c r="Q210" i="13" s="1"/>
  <c r="K209" i="25" s="1"/>
  <c r="L209" i="25" s="1"/>
  <c r="N209" i="25" s="1"/>
  <c r="P80" i="13"/>
  <c r="Q80" i="13" s="1"/>
  <c r="K79" i="25" s="1"/>
  <c r="L79" i="25" s="1"/>
  <c r="N79" i="25" s="1"/>
  <c r="P138" i="13"/>
  <c r="Q138" i="13" s="1"/>
  <c r="K137" i="25" s="1"/>
  <c r="L137" i="25" s="1"/>
  <c r="N137" i="25" s="1"/>
  <c r="P192" i="13"/>
  <c r="Q192" i="13" s="1"/>
  <c r="K191" i="25" s="1"/>
  <c r="L191" i="25" s="1"/>
  <c r="N191" i="25" s="1"/>
  <c r="P170" i="13"/>
  <c r="Q170" i="13" s="1"/>
  <c r="K169" i="25" s="1"/>
  <c r="L169" i="25" s="1"/>
  <c r="N169" i="25" s="1"/>
  <c r="P131" i="13"/>
  <c r="Q131" i="13" s="1"/>
  <c r="K130" i="25" s="1"/>
  <c r="L130" i="25" s="1"/>
  <c r="N130" i="25" s="1"/>
  <c r="P39" i="13"/>
  <c r="Q39" i="13" s="1"/>
  <c r="K38" i="25" s="1"/>
  <c r="L38" i="25" s="1"/>
  <c r="N38" i="25" s="1"/>
  <c r="P271" i="13"/>
  <c r="Q271" i="13" s="1"/>
  <c r="K270" i="25" s="1"/>
  <c r="L270" i="25" s="1"/>
  <c r="N270" i="25" s="1"/>
  <c r="P37" i="13"/>
  <c r="Q37" i="13" s="1"/>
  <c r="K36" i="25" s="1"/>
  <c r="L36" i="25" s="1"/>
  <c r="N36" i="25" s="1"/>
  <c r="P251" i="13"/>
  <c r="Q251" i="13" s="1"/>
  <c r="K250" i="25" s="1"/>
  <c r="L250" i="25" s="1"/>
  <c r="N250" i="25" s="1"/>
  <c r="P90" i="13"/>
  <c r="Q90" i="13" s="1"/>
  <c r="K89" i="25" s="1"/>
  <c r="L89" i="25" s="1"/>
  <c r="N89" i="25" s="1"/>
  <c r="P93" i="13"/>
  <c r="Q93" i="13" s="1"/>
  <c r="K92" i="25" s="1"/>
  <c r="L92" i="25" s="1"/>
  <c r="N92" i="25" s="1"/>
  <c r="P195" i="13"/>
  <c r="Q195" i="13" s="1"/>
  <c r="K194" i="25" s="1"/>
  <c r="L194" i="25" s="1"/>
  <c r="N194" i="25" s="1"/>
  <c r="P184" i="13"/>
  <c r="Q184" i="13" s="1"/>
  <c r="K183" i="25" s="1"/>
  <c r="L183" i="25" s="1"/>
  <c r="N183" i="25" s="1"/>
  <c r="P314" i="13"/>
  <c r="Q314" i="13" s="1"/>
  <c r="K313" i="25" s="1"/>
  <c r="L313" i="25" s="1"/>
  <c r="N313" i="25" s="1"/>
  <c r="P207" i="13"/>
  <c r="Q207" i="13" s="1"/>
  <c r="K206" i="25" s="1"/>
  <c r="L206" i="25" s="1"/>
  <c r="N206" i="25" s="1"/>
  <c r="P74" i="13"/>
  <c r="Q74" i="13" s="1"/>
  <c r="K73" i="25" s="1"/>
  <c r="L73" i="25" s="1"/>
  <c r="N73" i="25" s="1"/>
  <c r="P253" i="13"/>
  <c r="Q253" i="13" s="1"/>
  <c r="K252" i="25" s="1"/>
  <c r="L252" i="25" s="1"/>
  <c r="N252" i="25" s="1"/>
  <c r="P20" i="13"/>
  <c r="Q20" i="13" s="1"/>
  <c r="K19" i="25" s="1"/>
  <c r="L19" i="25" s="1"/>
  <c r="N19" i="25" s="1"/>
  <c r="P185" i="13"/>
  <c r="Q185" i="13" s="1"/>
  <c r="K184" i="25" s="1"/>
  <c r="L184" i="25" s="1"/>
  <c r="N184" i="25" s="1"/>
  <c r="P18" i="13"/>
  <c r="Q18" i="13" s="1"/>
  <c r="K17" i="25" s="1"/>
  <c r="L17" i="25" s="1"/>
  <c r="N17" i="25" s="1"/>
  <c r="J6" i="12"/>
  <c r="P57" i="13"/>
  <c r="Q57" i="13" s="1"/>
  <c r="K56" i="25" s="1"/>
  <c r="L56" i="25" s="1"/>
  <c r="N56" i="25" s="1"/>
  <c r="P121" i="13"/>
  <c r="Q121" i="13" s="1"/>
  <c r="K120" i="25" s="1"/>
  <c r="L120" i="25" s="1"/>
  <c r="N120" i="25" s="1"/>
  <c r="P13" i="13"/>
  <c r="Q13" i="13" s="1"/>
  <c r="K12" i="25" s="1"/>
  <c r="L12" i="25" s="1"/>
  <c r="N12" i="25" s="1"/>
  <c r="P165" i="13"/>
  <c r="Q165" i="13" s="1"/>
  <c r="K164" i="25" s="1"/>
  <c r="L164" i="25" s="1"/>
  <c r="N164" i="25" s="1"/>
  <c r="P222" i="13"/>
  <c r="Q222" i="13" s="1"/>
  <c r="K221" i="25" s="1"/>
  <c r="L221" i="25" s="1"/>
  <c r="N221" i="25" s="1"/>
  <c r="P149" i="13"/>
  <c r="Q149" i="13" s="1"/>
  <c r="K148" i="25" s="1"/>
  <c r="L148" i="25" s="1"/>
  <c r="N148" i="25" s="1"/>
  <c r="P288" i="13"/>
  <c r="Q288" i="13" s="1"/>
  <c r="K287" i="25" s="1"/>
  <c r="L287" i="25" s="1"/>
  <c r="N287" i="25" s="1"/>
  <c r="P111" i="13"/>
  <c r="Q111" i="13" s="1"/>
  <c r="K110" i="25" s="1"/>
  <c r="L110" i="25" s="1"/>
  <c r="N110" i="25" s="1"/>
  <c r="P45" i="13"/>
  <c r="Q45" i="13" s="1"/>
  <c r="K44" i="25" s="1"/>
  <c r="L44" i="25" s="1"/>
  <c r="N44" i="25" s="1"/>
  <c r="P61" i="13"/>
  <c r="Q61" i="13" s="1"/>
  <c r="K60" i="25" s="1"/>
  <c r="L60" i="25" s="1"/>
  <c r="N60" i="25" s="1"/>
  <c r="P201" i="13"/>
  <c r="Q201" i="13" s="1"/>
  <c r="K200" i="25" s="1"/>
  <c r="L200" i="25" s="1"/>
  <c r="N200" i="25" s="1"/>
  <c r="P133" i="13"/>
  <c r="Q133" i="13" s="1"/>
  <c r="K132" i="25" s="1"/>
  <c r="L132" i="25" s="1"/>
  <c r="N132" i="25" s="1"/>
  <c r="P34" i="13"/>
  <c r="Q34" i="13" s="1"/>
  <c r="K33" i="25" s="1"/>
  <c r="L33" i="25" s="1"/>
  <c r="N33" i="25" s="1"/>
  <c r="P119" i="13"/>
  <c r="Q119" i="13" s="1"/>
  <c r="K118" i="25" s="1"/>
  <c r="L118" i="25" s="1"/>
  <c r="N118" i="25" s="1"/>
  <c r="P256" i="13"/>
  <c r="Q256" i="13" s="1"/>
  <c r="K255" i="25" s="1"/>
  <c r="L255" i="25" s="1"/>
  <c r="N255" i="25" s="1"/>
  <c r="P300" i="13"/>
  <c r="Q300" i="13" s="1"/>
  <c r="K299" i="25" s="1"/>
  <c r="L299" i="25" s="1"/>
  <c r="N299" i="25" s="1"/>
  <c r="P199" i="13"/>
  <c r="Q199" i="13" s="1"/>
  <c r="K198" i="25" s="1"/>
  <c r="L198" i="25" s="1"/>
  <c r="N198" i="25" s="1"/>
  <c r="P257" i="13"/>
  <c r="Q257" i="13" s="1"/>
  <c r="K256" i="25" s="1"/>
  <c r="L256" i="25" s="1"/>
  <c r="N256" i="25" s="1"/>
  <c r="P243" i="13"/>
  <c r="Q243" i="13" s="1"/>
  <c r="K242" i="25" s="1"/>
  <c r="L242" i="25" s="1"/>
  <c r="N242" i="25" s="1"/>
  <c r="P33" i="13"/>
  <c r="Q33" i="13" s="1"/>
  <c r="K32" i="25" s="1"/>
  <c r="L32" i="25" s="1"/>
  <c r="N32" i="25" s="1"/>
  <c r="P242" i="13"/>
  <c r="Q242" i="13" s="1"/>
  <c r="K241" i="25" s="1"/>
  <c r="L241" i="25" s="1"/>
  <c r="N241" i="25" s="1"/>
  <c r="P298" i="13"/>
  <c r="Q298" i="13" s="1"/>
  <c r="K297" i="25" s="1"/>
  <c r="L297" i="25" s="1"/>
  <c r="N297" i="25" s="1"/>
  <c r="P100" i="13"/>
  <c r="Q100" i="13" s="1"/>
  <c r="K99" i="25" s="1"/>
  <c r="L99" i="25" s="1"/>
  <c r="N99" i="25" s="1"/>
  <c r="P175" i="13"/>
  <c r="Q175" i="13" s="1"/>
  <c r="K174" i="25" s="1"/>
  <c r="L174" i="25" s="1"/>
  <c r="N174" i="25" s="1"/>
  <c r="P236" i="13"/>
  <c r="Q236" i="13" s="1"/>
  <c r="K235" i="25" s="1"/>
  <c r="L235" i="25" s="1"/>
  <c r="N235" i="25" s="1"/>
  <c r="P24" i="13"/>
  <c r="Q24" i="13" s="1"/>
  <c r="K23" i="25" s="1"/>
  <c r="L23" i="25" s="1"/>
  <c r="N23" i="25" s="1"/>
  <c r="P105" i="13"/>
  <c r="Q105" i="13" s="1"/>
  <c r="K104" i="25" s="1"/>
  <c r="L104" i="25" s="1"/>
  <c r="N104" i="25" s="1"/>
  <c r="P30" i="13"/>
  <c r="Q30" i="13" s="1"/>
  <c r="K29" i="25" s="1"/>
  <c r="L29" i="25" s="1"/>
  <c r="N29" i="25" s="1"/>
  <c r="P267" i="13"/>
  <c r="Q267" i="13" s="1"/>
  <c r="K266" i="25" s="1"/>
  <c r="L266" i="25" s="1"/>
  <c r="N266" i="25" s="1"/>
  <c r="P289" i="13"/>
  <c r="Q289" i="13" s="1"/>
  <c r="K288" i="25" s="1"/>
  <c r="L288" i="25" s="1"/>
  <c r="N288" i="25" s="1"/>
  <c r="P122" i="13"/>
  <c r="Q122" i="13" s="1"/>
  <c r="K121" i="25" s="1"/>
  <c r="L121" i="25" s="1"/>
  <c r="N121" i="25" s="1"/>
  <c r="P229" i="13"/>
  <c r="Q229" i="13" s="1"/>
  <c r="K228" i="25" s="1"/>
  <c r="L228" i="25" s="1"/>
  <c r="N228" i="25" s="1"/>
  <c r="P58" i="13"/>
  <c r="Q58" i="13" s="1"/>
  <c r="K57" i="25" s="1"/>
  <c r="L57" i="25" s="1"/>
  <c r="N57" i="25" s="1"/>
  <c r="P280" i="13"/>
  <c r="Q280" i="13" s="1"/>
  <c r="K279" i="25" s="1"/>
  <c r="L279" i="25" s="1"/>
  <c r="N279" i="25" s="1"/>
  <c r="P238" i="13"/>
  <c r="Q238" i="13" s="1"/>
  <c r="K237" i="25" s="1"/>
  <c r="L237" i="25" s="1"/>
  <c r="N237" i="25" s="1"/>
  <c r="P218" i="13"/>
  <c r="Q218" i="13" s="1"/>
  <c r="K217" i="25" s="1"/>
  <c r="L217" i="25" s="1"/>
  <c r="N217" i="25" s="1"/>
  <c r="P67" i="13"/>
  <c r="Q67" i="13" s="1"/>
  <c r="K66" i="25" s="1"/>
  <c r="L66" i="25" s="1"/>
  <c r="N66" i="25" s="1"/>
  <c r="P239" i="13"/>
  <c r="Q239" i="13" s="1"/>
  <c r="K238" i="25" s="1"/>
  <c r="L238" i="25" s="1"/>
  <c r="N238" i="25" s="1"/>
  <c r="P255" i="13"/>
  <c r="Q255" i="13" s="1"/>
  <c r="K254" i="25" s="1"/>
  <c r="L254" i="25" s="1"/>
  <c r="N254" i="25" s="1"/>
  <c r="P266" i="13"/>
  <c r="Q266" i="13" s="1"/>
  <c r="K265" i="25" s="1"/>
  <c r="L265" i="25" s="1"/>
  <c r="N265" i="25" s="1"/>
  <c r="P208" i="13"/>
  <c r="Q208" i="13" s="1"/>
  <c r="K207" i="25" s="1"/>
  <c r="L207" i="25" s="1"/>
  <c r="N207" i="25" s="1"/>
  <c r="P145" i="13"/>
  <c r="Q145" i="13" s="1"/>
  <c r="K144" i="25" s="1"/>
  <c r="L144" i="25" s="1"/>
  <c r="N144" i="25" s="1"/>
  <c r="P191" i="13"/>
  <c r="Q191" i="13" s="1"/>
  <c r="K190" i="25" s="1"/>
  <c r="L190" i="25" s="1"/>
  <c r="N190" i="25" s="1"/>
  <c r="P173" i="13"/>
  <c r="Q173" i="13" s="1"/>
  <c r="K172" i="25" s="1"/>
  <c r="L172" i="25" s="1"/>
  <c r="N172" i="25" s="1"/>
  <c r="P52" i="13"/>
  <c r="Q52" i="13" s="1"/>
  <c r="K51" i="25" s="1"/>
  <c r="L51" i="25" s="1"/>
  <c r="N51" i="25" s="1"/>
  <c r="P179" i="13"/>
  <c r="Q179" i="13" s="1"/>
  <c r="K178" i="25" s="1"/>
  <c r="L178" i="25" s="1"/>
  <c r="N178" i="25" s="1"/>
  <c r="P35" i="13"/>
  <c r="Q35" i="13" s="1"/>
  <c r="K34" i="25" s="1"/>
  <c r="L34" i="25" s="1"/>
  <c r="N34" i="25" s="1"/>
  <c r="P245" i="13"/>
  <c r="Q245" i="13" s="1"/>
  <c r="K244" i="25" s="1"/>
  <c r="L244" i="25" s="1"/>
  <c r="N244" i="25" s="1"/>
  <c r="P303" i="13"/>
  <c r="Q303" i="13" s="1"/>
  <c r="K302" i="25" s="1"/>
  <c r="L302" i="25" s="1"/>
  <c r="N302" i="25" s="1"/>
  <c r="P293" i="13"/>
  <c r="Q293" i="13" s="1"/>
  <c r="K292" i="25" s="1"/>
  <c r="L292" i="25" s="1"/>
  <c r="N292" i="25" s="1"/>
  <c r="P270" i="13"/>
  <c r="Q270" i="13" s="1"/>
  <c r="K269" i="25" s="1"/>
  <c r="L269" i="25" s="1"/>
  <c r="N269" i="25" s="1"/>
  <c r="P14" i="13"/>
  <c r="Q14" i="13" s="1"/>
  <c r="K13" i="25" s="1"/>
  <c r="L13" i="25" s="1"/>
  <c r="N13" i="25" s="1"/>
  <c r="P46" i="13"/>
  <c r="Q46" i="13" s="1"/>
  <c r="K45" i="25" s="1"/>
  <c r="L45" i="25" s="1"/>
  <c r="N45" i="25" s="1"/>
  <c r="P108" i="13"/>
  <c r="Q108" i="13" s="1"/>
  <c r="K107" i="25" s="1"/>
  <c r="L107" i="25" s="1"/>
  <c r="N107" i="25" s="1"/>
  <c r="P205" i="13"/>
  <c r="Q205" i="13" s="1"/>
  <c r="K204" i="25" s="1"/>
  <c r="L204" i="25" s="1"/>
  <c r="N204" i="25" s="1"/>
  <c r="P64" i="13"/>
  <c r="Q64" i="13" s="1"/>
  <c r="K63" i="25" s="1"/>
  <c r="L63" i="25" s="1"/>
  <c r="N63" i="25" s="1"/>
  <c r="P220" i="13"/>
  <c r="Q220" i="13" s="1"/>
  <c r="K219" i="25" s="1"/>
  <c r="L219" i="25" s="1"/>
  <c r="N219" i="25" s="1"/>
  <c r="P51" i="13"/>
  <c r="Q51" i="13" s="1"/>
  <c r="K50" i="25" s="1"/>
  <c r="L50" i="25" s="1"/>
  <c r="N50" i="25" s="1"/>
  <c r="P304" i="13"/>
  <c r="Q304" i="13" s="1"/>
  <c r="K303" i="25" s="1"/>
  <c r="L303" i="25" s="1"/>
  <c r="N303" i="25" s="1"/>
  <c r="P92" i="13"/>
  <c r="Q92" i="13" s="1"/>
  <c r="K91" i="25" s="1"/>
  <c r="L91" i="25" s="1"/>
  <c r="N91" i="25" s="1"/>
  <c r="P284" i="13"/>
  <c r="Q284" i="13" s="1"/>
  <c r="K283" i="25" s="1"/>
  <c r="L283" i="25" s="1"/>
  <c r="N283" i="25" s="1"/>
  <c r="P285" i="13"/>
  <c r="Q285" i="13" s="1"/>
  <c r="K284" i="25" s="1"/>
  <c r="L284" i="25" s="1"/>
  <c r="N284" i="25" s="1"/>
  <c r="P279" i="13"/>
  <c r="Q279" i="13" s="1"/>
  <c r="K278" i="25" s="1"/>
  <c r="L278" i="25" s="1"/>
  <c r="N278" i="25" s="1"/>
  <c r="P114" i="13"/>
  <c r="Q114" i="13" s="1"/>
  <c r="K113" i="25" s="1"/>
  <c r="L113" i="25" s="1"/>
  <c r="N113" i="25" s="1"/>
  <c r="P273" i="13"/>
  <c r="Q273" i="13" s="1"/>
  <c r="K272" i="25" s="1"/>
  <c r="L272" i="25" s="1"/>
  <c r="N272" i="25" s="1"/>
  <c r="P247" i="13"/>
  <c r="Q247" i="13" s="1"/>
  <c r="K246" i="25" s="1"/>
  <c r="L246" i="25" s="1"/>
  <c r="N246" i="25" s="1"/>
  <c r="P159" i="13"/>
  <c r="Q159" i="13" s="1"/>
  <c r="K158" i="25" s="1"/>
  <c r="L158" i="25" s="1"/>
  <c r="N158" i="25" s="1"/>
  <c r="P305" i="13"/>
  <c r="Q305" i="13" s="1"/>
  <c r="K304" i="25" s="1"/>
  <c r="L304" i="25" s="1"/>
  <c r="N304" i="25" s="1"/>
  <c r="P262" i="13"/>
  <c r="Q262" i="13" s="1"/>
  <c r="K261" i="25" s="1"/>
  <c r="L261" i="25" s="1"/>
  <c r="N261" i="25" s="1"/>
  <c r="P78" i="13"/>
  <c r="Q78" i="13" s="1"/>
  <c r="K77" i="25" s="1"/>
  <c r="L77" i="25" s="1"/>
  <c r="N77" i="25" s="1"/>
  <c r="P83" i="13"/>
  <c r="Q83" i="13" s="1"/>
  <c r="K82" i="25" s="1"/>
  <c r="L82" i="25" s="1"/>
  <c r="N82" i="25" s="1"/>
  <c r="P123" i="13"/>
  <c r="Q123" i="13" s="1"/>
  <c r="K122" i="25" s="1"/>
  <c r="L122" i="25" s="1"/>
  <c r="N122" i="25" s="1"/>
  <c r="P209" i="13"/>
  <c r="Q209" i="13" s="1"/>
  <c r="K208" i="25" s="1"/>
  <c r="L208" i="25" s="1"/>
  <c r="N208" i="25" s="1"/>
  <c r="P163" i="13"/>
  <c r="Q163" i="13" s="1"/>
  <c r="K162" i="25" s="1"/>
  <c r="L162" i="25" s="1"/>
  <c r="N162" i="25" s="1"/>
  <c r="P107" i="13"/>
  <c r="Q107" i="13" s="1"/>
  <c r="K106" i="25" s="1"/>
  <c r="L106" i="25" s="1"/>
  <c r="N106" i="25" s="1"/>
  <c r="P187" i="13"/>
  <c r="Q187" i="13" s="1"/>
  <c r="K186" i="25" s="1"/>
  <c r="L186" i="25" s="1"/>
  <c r="N186" i="25" s="1"/>
  <c r="P129" i="13"/>
  <c r="Q129" i="13" s="1"/>
  <c r="K128" i="25" s="1"/>
  <c r="L128" i="25" s="1"/>
  <c r="N128" i="25" s="1"/>
  <c r="P26" i="13"/>
  <c r="Q26" i="13" s="1"/>
  <c r="K25" i="25" s="1"/>
  <c r="L25" i="25" s="1"/>
  <c r="N25" i="25" s="1"/>
  <c r="P96" i="13"/>
  <c r="Q96" i="13" s="1"/>
  <c r="K95" i="25" s="1"/>
  <c r="L95" i="25" s="1"/>
  <c r="N95" i="25" s="1"/>
  <c r="P193" i="13"/>
  <c r="Q193" i="13" s="1"/>
  <c r="K192" i="25" s="1"/>
  <c r="L192" i="25" s="1"/>
  <c r="N192" i="25" s="1"/>
  <c r="P89" i="13"/>
  <c r="Q89" i="13" s="1"/>
  <c r="K88" i="25" s="1"/>
  <c r="L88" i="25" s="1"/>
  <c r="N88" i="25" s="1"/>
  <c r="P75" i="13"/>
  <c r="Q75" i="13" s="1"/>
  <c r="K74" i="25" s="1"/>
  <c r="L74" i="25" s="1"/>
  <c r="N74" i="25" s="1"/>
  <c r="P73" i="13"/>
  <c r="Q73" i="13" s="1"/>
  <c r="K72" i="25" s="1"/>
  <c r="L72" i="25" s="1"/>
  <c r="N72" i="25" s="1"/>
  <c r="P215" i="13"/>
  <c r="Q215" i="13" s="1"/>
  <c r="K214" i="25" s="1"/>
  <c r="L214" i="25" s="1"/>
  <c r="N214" i="25" s="1"/>
  <c r="P264" i="13"/>
  <c r="Q264" i="13" s="1"/>
  <c r="K263" i="25" s="1"/>
  <c r="L263" i="25" s="1"/>
  <c r="N263" i="25" s="1"/>
  <c r="P261" i="13"/>
  <c r="Q261" i="13" s="1"/>
  <c r="K260" i="25" s="1"/>
  <c r="L260" i="25" s="1"/>
  <c r="N260" i="25" s="1"/>
  <c r="P134" i="13"/>
  <c r="Q134" i="13" s="1"/>
  <c r="K133" i="25" s="1"/>
  <c r="L133" i="25" s="1"/>
  <c r="N133" i="25" s="1"/>
  <c r="P178" i="13"/>
  <c r="Q178" i="13" s="1"/>
  <c r="K177" i="25" s="1"/>
  <c r="L177" i="25" s="1"/>
  <c r="N177" i="25" s="1"/>
  <c r="P225" i="13"/>
  <c r="Q225" i="13" s="1"/>
  <c r="K224" i="25" s="1"/>
  <c r="L224" i="25" s="1"/>
  <c r="N224" i="25" s="1"/>
  <c r="P29" i="13"/>
  <c r="Q29" i="13" s="1"/>
  <c r="K28" i="25" s="1"/>
  <c r="L28" i="25" s="1"/>
  <c r="N28" i="25" s="1"/>
  <c r="P307" i="13"/>
  <c r="Q307" i="13" s="1"/>
  <c r="K306" i="25" s="1"/>
  <c r="L306" i="25" s="1"/>
  <c r="N306" i="25" s="1"/>
  <c r="P308" i="13"/>
  <c r="Q308" i="13" s="1"/>
  <c r="K307" i="25" s="1"/>
  <c r="L307" i="25" s="1"/>
  <c r="N307" i="25" s="1"/>
  <c r="P28" i="13"/>
  <c r="Q28" i="13" s="1"/>
  <c r="K27" i="25" s="1"/>
  <c r="L27" i="25" s="1"/>
  <c r="N27" i="25" s="1"/>
  <c r="P31" i="13"/>
  <c r="Q31" i="13" s="1"/>
  <c r="K30" i="25" s="1"/>
  <c r="L30" i="25" s="1"/>
  <c r="N30" i="25" s="1"/>
  <c r="P124" i="13"/>
  <c r="Q124" i="13" s="1"/>
  <c r="K123" i="25" s="1"/>
  <c r="L123" i="25" s="1"/>
  <c r="N123" i="25" s="1"/>
  <c r="P164" i="13"/>
  <c r="Q164" i="13" s="1"/>
  <c r="K163" i="25" s="1"/>
  <c r="L163" i="25" s="1"/>
  <c r="N163" i="25" s="1"/>
  <c r="P17" i="13"/>
  <c r="Q17" i="13" s="1"/>
  <c r="K16" i="25" s="1"/>
  <c r="L16" i="25" s="1"/>
  <c r="N16" i="25" s="1"/>
  <c r="P189" i="13"/>
  <c r="Q189" i="13" s="1"/>
  <c r="K188" i="25" s="1"/>
  <c r="L188" i="25" s="1"/>
  <c r="N188" i="25" s="1"/>
  <c r="P157" i="13"/>
  <c r="Q157" i="13" s="1"/>
  <c r="K156" i="25" s="1"/>
  <c r="L156" i="25" s="1"/>
  <c r="N156" i="25" s="1"/>
  <c r="P202" i="13"/>
  <c r="Q202" i="13" s="1"/>
  <c r="K201" i="25" s="1"/>
  <c r="L201" i="25" s="1"/>
  <c r="N201" i="25" s="1"/>
  <c r="P84" i="13"/>
  <c r="Q84" i="13" s="1"/>
  <c r="K83" i="25" s="1"/>
  <c r="L83" i="25" s="1"/>
  <c r="N83" i="25" s="1"/>
  <c r="P278" i="13"/>
  <c r="Q278" i="13" s="1"/>
  <c r="K277" i="25" s="1"/>
  <c r="L277" i="25" s="1"/>
  <c r="N277" i="25" s="1"/>
  <c r="P63" i="13"/>
  <c r="Q63" i="13" s="1"/>
  <c r="K62" i="25" s="1"/>
  <c r="L62" i="25" s="1"/>
  <c r="N62" i="25" s="1"/>
  <c r="P296" i="13"/>
  <c r="Q296" i="13" s="1"/>
  <c r="K295" i="25" s="1"/>
  <c r="L295" i="25" s="1"/>
  <c r="N295" i="25" s="1"/>
  <c r="P167" i="13"/>
  <c r="Q167" i="13" s="1"/>
  <c r="K166" i="25" s="1"/>
  <c r="L166" i="25" s="1"/>
  <c r="N166" i="25" s="1"/>
  <c r="P99" i="13"/>
  <c r="Q99" i="13" s="1"/>
  <c r="K98" i="25" s="1"/>
  <c r="L98" i="25" s="1"/>
  <c r="N98" i="25" s="1"/>
  <c r="P11" i="13"/>
  <c r="Q11" i="13" s="1"/>
  <c r="K10" i="25" s="1"/>
  <c r="L10" i="25" s="1"/>
  <c r="N10" i="25" s="1"/>
  <c r="P213" i="13"/>
  <c r="Q213" i="13" s="1"/>
  <c r="K212" i="25" s="1"/>
  <c r="L212" i="25" s="1"/>
  <c r="N212" i="25" s="1"/>
  <c r="P311" i="13"/>
  <c r="Q311" i="13" s="1"/>
  <c r="K310" i="25" s="1"/>
  <c r="L310" i="25" s="1"/>
  <c r="N310" i="25" s="1"/>
  <c r="P177" i="13"/>
  <c r="Q177" i="13" s="1"/>
  <c r="K176" i="25" s="1"/>
  <c r="L176" i="25" s="1"/>
  <c r="N176" i="25" s="1"/>
  <c r="P214" i="13"/>
  <c r="Q214" i="13" s="1"/>
  <c r="K213" i="25" s="1"/>
  <c r="L213" i="25" s="1"/>
  <c r="N213" i="25" s="1"/>
  <c r="P94" i="13"/>
  <c r="Q94" i="13" s="1"/>
  <c r="K93" i="25" s="1"/>
  <c r="L93" i="25" s="1"/>
  <c r="N93" i="25" s="1"/>
  <c r="P137" i="13"/>
  <c r="Q137" i="13" s="1"/>
  <c r="K136" i="25" s="1"/>
  <c r="L136" i="25" s="1"/>
  <c r="N136" i="25" s="1"/>
  <c r="P212" i="13"/>
  <c r="Q212" i="13" s="1"/>
  <c r="P162" i="13"/>
  <c r="Q162" i="13" s="1"/>
  <c r="K161" i="25" s="1"/>
  <c r="L161" i="25" s="1"/>
  <c r="N161" i="25" s="1"/>
  <c r="P115" i="13"/>
  <c r="Q115" i="13" s="1"/>
  <c r="K114" i="25" s="1"/>
  <c r="L114" i="25" s="1"/>
  <c r="N114" i="25" s="1"/>
  <c r="P40" i="13"/>
  <c r="Q40" i="13" s="1"/>
  <c r="K39" i="25" s="1"/>
  <c r="O39" i="25" s="1"/>
  <c r="H39" i="54" s="1"/>
  <c r="P86" i="13"/>
  <c r="Q86" i="13" s="1"/>
  <c r="K85" i="25" s="1"/>
  <c r="L85" i="25" s="1"/>
  <c r="N85" i="25" s="1"/>
  <c r="P19" i="13"/>
  <c r="Q19" i="13" s="1"/>
  <c r="K18" i="25" s="1"/>
  <c r="L18" i="25" s="1"/>
  <c r="N18" i="25" s="1"/>
  <c r="P141" i="13"/>
  <c r="Q141" i="13" s="1"/>
  <c r="K140" i="25" s="1"/>
  <c r="L140" i="25" s="1"/>
  <c r="N140" i="25" s="1"/>
  <c r="P223" i="13"/>
  <c r="Q223" i="13" s="1"/>
  <c r="K222" i="25" s="1"/>
  <c r="L222" i="25" s="1"/>
  <c r="N222" i="25" s="1"/>
  <c r="P313" i="13"/>
  <c r="Q313" i="13" s="1"/>
  <c r="K312" i="25" s="1"/>
  <c r="L312" i="25" s="1"/>
  <c r="N312" i="25" s="1"/>
  <c r="P66" i="13"/>
  <c r="Q66" i="13" s="1"/>
  <c r="K65" i="25" s="1"/>
  <c r="L65" i="25" s="1"/>
  <c r="N65" i="25" s="1"/>
  <c r="P9" i="13"/>
  <c r="Q9" i="13" s="1"/>
  <c r="K8" i="25" s="1"/>
  <c r="L8" i="25" s="1"/>
  <c r="N8" i="25" s="1"/>
  <c r="P27" i="13"/>
  <c r="Q27" i="13" s="1"/>
  <c r="K26" i="25" s="1"/>
  <c r="L26" i="25" s="1"/>
  <c r="N26" i="25" s="1"/>
  <c r="P196" i="13"/>
  <c r="Q196" i="13" s="1"/>
  <c r="K195" i="25" s="1"/>
  <c r="L195" i="25" s="1"/>
  <c r="N195" i="25" s="1"/>
  <c r="P290" i="13"/>
  <c r="Q290" i="13" s="1"/>
  <c r="K289" i="25" s="1"/>
  <c r="L289" i="25" s="1"/>
  <c r="N289" i="25" s="1"/>
  <c r="P95" i="13"/>
  <c r="Q95" i="13" s="1"/>
  <c r="K94" i="25" s="1"/>
  <c r="L94" i="25" s="1"/>
  <c r="N94" i="25" s="1"/>
  <c r="P147" i="13"/>
  <c r="Q147" i="13" s="1"/>
  <c r="K146" i="25" s="1"/>
  <c r="L146" i="25" s="1"/>
  <c r="N146" i="25" s="1"/>
  <c r="P36" i="13"/>
  <c r="Q36" i="13" s="1"/>
  <c r="K35" i="25" s="1"/>
  <c r="L35" i="25" s="1"/>
  <c r="N35" i="25" s="1"/>
  <c r="P71" i="13"/>
  <c r="Q71" i="13" s="1"/>
  <c r="K70" i="25" s="1"/>
  <c r="L70" i="25" s="1"/>
  <c r="N70" i="25" s="1"/>
  <c r="P76" i="13"/>
  <c r="Q76" i="13" s="1"/>
  <c r="K75" i="25" s="1"/>
  <c r="L75" i="25" s="1"/>
  <c r="N75" i="25" s="1"/>
  <c r="P53" i="13"/>
  <c r="Q53" i="13" s="1"/>
  <c r="K52" i="25" s="1"/>
  <c r="L52" i="25" s="1"/>
  <c r="N52" i="25" s="1"/>
  <c r="P310" i="13"/>
  <c r="Q310" i="13" s="1"/>
  <c r="K309" i="25" s="1"/>
  <c r="L309" i="25" s="1"/>
  <c r="N309" i="25" s="1"/>
  <c r="P194" i="13"/>
  <c r="Q194" i="13" s="1"/>
  <c r="K193" i="25" s="1"/>
  <c r="L193" i="25" s="1"/>
  <c r="N193" i="25" s="1"/>
  <c r="P230" i="13"/>
  <c r="Q230" i="13" s="1"/>
  <c r="K229" i="25" s="1"/>
  <c r="L229" i="25" s="1"/>
  <c r="N229" i="25" s="1"/>
  <c r="P216" i="13"/>
  <c r="Q216" i="13" s="1"/>
  <c r="K215" i="25" s="1"/>
  <c r="L215" i="25" s="1"/>
  <c r="N215" i="25" s="1"/>
  <c r="P128" i="13"/>
  <c r="Q128" i="13" s="1"/>
  <c r="K127" i="25" s="1"/>
  <c r="L127" i="25" s="1"/>
  <c r="N127" i="25" s="1"/>
  <c r="P132" i="13"/>
  <c r="Q132" i="13" s="1"/>
  <c r="K131" i="25" s="1"/>
  <c r="L131" i="25" s="1"/>
  <c r="N131" i="25" s="1"/>
  <c r="P143" i="13"/>
  <c r="Q143" i="13" s="1"/>
  <c r="K142" i="25" s="1"/>
  <c r="L142" i="25" s="1"/>
  <c r="N142" i="25" s="1"/>
  <c r="P224" i="13"/>
  <c r="Q224" i="13" s="1"/>
  <c r="K223" i="25" s="1"/>
  <c r="L223" i="25" s="1"/>
  <c r="N223" i="25" s="1"/>
  <c r="P98" i="13"/>
  <c r="Q98" i="13" s="1"/>
  <c r="K97" i="25" s="1"/>
  <c r="L97" i="25" s="1"/>
  <c r="N97" i="25" s="1"/>
  <c r="P72" i="13"/>
  <c r="Q72" i="13" s="1"/>
  <c r="K71" i="25" s="1"/>
  <c r="L71" i="25" s="1"/>
  <c r="N71" i="25" s="1"/>
  <c r="P237" i="13"/>
  <c r="Q237" i="13" s="1"/>
  <c r="K236" i="25" s="1"/>
  <c r="L236" i="25" s="1"/>
  <c r="N236" i="25" s="1"/>
  <c r="K6" i="12"/>
  <c r="P109" i="13"/>
  <c r="Q109" i="13" s="1"/>
  <c r="K108" i="25" s="1"/>
  <c r="L108" i="25" s="1"/>
  <c r="N108" i="25" s="1"/>
  <c r="P32" i="13"/>
  <c r="Q32" i="13" s="1"/>
  <c r="K31" i="25" s="1"/>
  <c r="L31" i="25" s="1"/>
  <c r="N31" i="25" s="1"/>
  <c r="P200" i="13"/>
  <c r="Q200" i="13" s="1"/>
  <c r="K199" i="25" s="1"/>
  <c r="L199" i="25" s="1"/>
  <c r="N199" i="25" s="1"/>
  <c r="P263" i="13"/>
  <c r="Q263" i="13" s="1"/>
  <c r="K262" i="25" s="1"/>
  <c r="L262" i="25" s="1"/>
  <c r="N262" i="25" s="1"/>
  <c r="P172" i="13"/>
  <c r="Q172" i="13" s="1"/>
  <c r="K171" i="25" s="1"/>
  <c r="L171" i="25" s="1"/>
  <c r="N171" i="25" s="1"/>
  <c r="P156" i="13"/>
  <c r="Q156" i="13" s="1"/>
  <c r="K155" i="25" s="1"/>
  <c r="L155" i="25" s="1"/>
  <c r="N155" i="25" s="1"/>
  <c r="P206" i="13"/>
  <c r="Q206" i="13" s="1"/>
  <c r="K205" i="25" s="1"/>
  <c r="L205" i="25" s="1"/>
  <c r="N205" i="25" s="1"/>
  <c r="P148" i="13"/>
  <c r="Q148" i="13" s="1"/>
  <c r="K147" i="25" s="1"/>
  <c r="L147" i="25" s="1"/>
  <c r="N147" i="25" s="1"/>
  <c r="P120" i="13"/>
  <c r="Q120" i="13" s="1"/>
  <c r="K119" i="25" s="1"/>
  <c r="L119" i="25" s="1"/>
  <c r="N119" i="25" s="1"/>
  <c r="P150" i="13"/>
  <c r="Q150" i="13" s="1"/>
  <c r="K149" i="25" s="1"/>
  <c r="L149" i="25" s="1"/>
  <c r="N149" i="25" s="1"/>
  <c r="P258" i="13"/>
  <c r="Q258" i="13" s="1"/>
  <c r="K257" i="25" s="1"/>
  <c r="L257" i="25" s="1"/>
  <c r="N257" i="25" s="1"/>
  <c r="P54" i="13"/>
  <c r="Q54" i="13" s="1"/>
  <c r="K53" i="25" s="1"/>
  <c r="L53" i="25" s="1"/>
  <c r="N53" i="25" s="1"/>
  <c r="P226" i="13"/>
  <c r="Q226" i="13" s="1"/>
  <c r="K225" i="25" s="1"/>
  <c r="L225" i="25" s="1"/>
  <c r="N225" i="25" s="1"/>
  <c r="P69" i="13"/>
  <c r="Q69" i="13" s="1"/>
  <c r="K68" i="25" s="1"/>
  <c r="L68" i="25" s="1"/>
  <c r="N68" i="25" s="1"/>
  <c r="P43" i="13"/>
  <c r="Q43" i="13" s="1"/>
  <c r="K42" i="25" s="1"/>
  <c r="L42" i="25" s="1"/>
  <c r="N42" i="25" s="1"/>
  <c r="P182" i="13"/>
  <c r="Q182" i="13" s="1"/>
  <c r="K181" i="25" s="1"/>
  <c r="L181" i="25" s="1"/>
  <c r="N181" i="25" s="1"/>
  <c r="P217" i="13"/>
  <c r="Q217" i="13" s="1"/>
  <c r="K216" i="25" s="1"/>
  <c r="L216" i="25" s="1"/>
  <c r="N216" i="25" s="1"/>
  <c r="P171" i="13"/>
  <c r="Q171" i="13" s="1"/>
  <c r="K170" i="25" s="1"/>
  <c r="L170" i="25" s="1"/>
  <c r="N170" i="25" s="1"/>
  <c r="P312" i="13"/>
  <c r="Q312" i="13" s="1"/>
  <c r="K311" i="25" s="1"/>
  <c r="L311" i="25" s="1"/>
  <c r="N311" i="25" s="1"/>
  <c r="P301" i="13"/>
  <c r="Q301" i="13" s="1"/>
  <c r="K300" i="25" s="1"/>
  <c r="L300" i="25" s="1"/>
  <c r="N300" i="25" s="1"/>
  <c r="P142" i="13"/>
  <c r="Q142" i="13" s="1"/>
  <c r="K141" i="25" s="1"/>
  <c r="L141" i="25" s="1"/>
  <c r="N141" i="25" s="1"/>
  <c r="P281" i="13"/>
  <c r="Q281" i="13" s="1"/>
  <c r="K280" i="25" s="1"/>
  <c r="L280" i="25" s="1"/>
  <c r="N280" i="25" s="1"/>
  <c r="P62" i="13"/>
  <c r="Q62" i="13" s="1"/>
  <c r="K61" i="25" s="1"/>
  <c r="L61" i="25" s="1"/>
  <c r="N61" i="25" s="1"/>
  <c r="P277" i="13"/>
  <c r="Q277" i="13" s="1"/>
  <c r="K276" i="25" s="1"/>
  <c r="L276" i="25" s="1"/>
  <c r="N276" i="25" s="1"/>
  <c r="P309" i="13"/>
  <c r="Q309" i="13" s="1"/>
  <c r="K308" i="25" s="1"/>
  <c r="L308" i="25" s="1"/>
  <c r="N308" i="25" s="1"/>
  <c r="P240" i="13"/>
  <c r="Q240" i="13" s="1"/>
  <c r="K239" i="25" s="1"/>
  <c r="L239" i="25" s="1"/>
  <c r="N239" i="25" s="1"/>
  <c r="P168" i="13"/>
  <c r="Q168" i="13" s="1"/>
  <c r="K167" i="25" s="1"/>
  <c r="L167" i="25" s="1"/>
  <c r="N167" i="25" s="1"/>
  <c r="P110" i="13"/>
  <c r="Q110" i="13" s="1"/>
  <c r="K109" i="25" s="1"/>
  <c r="L109" i="25" s="1"/>
  <c r="N109" i="25" s="1"/>
  <c r="P283" i="13"/>
  <c r="Q283" i="13" s="1"/>
  <c r="K282" i="25" s="1"/>
  <c r="L282" i="25" s="1"/>
  <c r="N282" i="25" s="1"/>
  <c r="P204" i="13"/>
  <c r="Q204" i="13" s="1"/>
  <c r="K203" i="25" s="1"/>
  <c r="L203" i="25" s="1"/>
  <c r="N203" i="25" s="1"/>
  <c r="P250" i="13"/>
  <c r="Q250" i="13" s="1"/>
  <c r="K249" i="25" s="1"/>
  <c r="L249" i="25" s="1"/>
  <c r="N249" i="25" s="1"/>
  <c r="P235" i="13"/>
  <c r="Q235" i="13" s="1"/>
  <c r="K234" i="25" s="1"/>
  <c r="L234" i="25" s="1"/>
  <c r="N234" i="25" s="1"/>
  <c r="P186" i="13"/>
  <c r="Q186" i="13" s="1"/>
  <c r="K185" i="25" s="1"/>
  <c r="L185" i="25" s="1"/>
  <c r="N185" i="25" s="1"/>
  <c r="P292" i="13"/>
  <c r="Q292" i="13" s="1"/>
  <c r="K291" i="25" s="1"/>
  <c r="L291" i="25" s="1"/>
  <c r="N291" i="25" s="1"/>
  <c r="P55" i="13"/>
  <c r="Q55" i="13" s="1"/>
  <c r="K54" i="25" s="1"/>
  <c r="L54" i="25" s="1"/>
  <c r="N54" i="25" s="1"/>
  <c r="P286" i="13"/>
  <c r="Q286" i="13" s="1"/>
  <c r="K285" i="25" s="1"/>
  <c r="L285" i="25" s="1"/>
  <c r="N285" i="25" s="1"/>
  <c r="P70" i="13"/>
  <c r="Q70" i="13" s="1"/>
  <c r="K69" i="25" s="1"/>
  <c r="L69" i="25" s="1"/>
  <c r="N69" i="25" s="1"/>
  <c r="L39" i="25" l="1"/>
  <c r="N39" i="25" s="1"/>
  <c r="O285" i="25"/>
  <c r="H285" i="54" s="1"/>
  <c r="O234" i="25"/>
  <c r="H234" i="54" s="1"/>
  <c r="O109" i="25"/>
  <c r="H109" i="54" s="1"/>
  <c r="O276" i="25"/>
  <c r="H276" i="54" s="1"/>
  <c r="O300" i="25"/>
  <c r="H300" i="54" s="1"/>
  <c r="O240" i="25"/>
  <c r="H240" i="54" s="1"/>
  <c r="O284" i="25"/>
  <c r="H284" i="54" s="1"/>
  <c r="O115" i="25"/>
  <c r="H115" i="54" s="1"/>
  <c r="O210" i="25"/>
  <c r="H210" i="54" s="1"/>
  <c r="O20" i="25"/>
  <c r="H20" i="54" s="1"/>
  <c r="O99" i="25"/>
  <c r="H99" i="54" s="1"/>
  <c r="O242" i="25"/>
  <c r="H242" i="54" s="1"/>
  <c r="O75" i="25"/>
  <c r="H75" i="54" s="1"/>
  <c r="O35" i="25"/>
  <c r="H35" i="54" s="1"/>
  <c r="O140" i="25"/>
  <c r="H140" i="54" s="1"/>
  <c r="O148" i="25"/>
  <c r="H148" i="54" s="1"/>
  <c r="O128" i="25"/>
  <c r="H128" i="54" s="1"/>
  <c r="O59" i="25"/>
  <c r="H59" i="54" s="1"/>
  <c r="O17" i="25"/>
  <c r="H17" i="54" s="1"/>
  <c r="O202" i="25"/>
  <c r="H202" i="54" s="1"/>
  <c r="O309" i="25"/>
  <c r="H309" i="54" s="1"/>
  <c r="O166" i="25"/>
  <c r="H166" i="54" s="1"/>
  <c r="O160" i="25"/>
  <c r="H160" i="54" s="1"/>
  <c r="O251" i="25"/>
  <c r="H251" i="54" s="1"/>
  <c r="O53" i="25"/>
  <c r="H53" i="54" s="1"/>
  <c r="O233" i="25"/>
  <c r="H233" i="54" s="1"/>
  <c r="O107" i="25"/>
  <c r="H107" i="54" s="1"/>
  <c r="O257" i="25"/>
  <c r="H257" i="54" s="1"/>
  <c r="O144" i="25"/>
  <c r="H144" i="54" s="1"/>
  <c r="O301" i="25"/>
  <c r="H301" i="54" s="1"/>
  <c r="O252" i="25"/>
  <c r="H252" i="54" s="1"/>
  <c r="O101" i="25"/>
  <c r="H101" i="54" s="1"/>
  <c r="O11" i="25"/>
  <c r="H11" i="54" s="1"/>
  <c r="O195" i="25"/>
  <c r="H195" i="54" s="1"/>
  <c r="O65" i="25"/>
  <c r="H65" i="54" s="1"/>
  <c r="O125" i="25"/>
  <c r="H125" i="54" s="1"/>
  <c r="O136" i="25"/>
  <c r="H136" i="54" s="1"/>
  <c r="O270" i="25"/>
  <c r="H270" i="54" s="1"/>
  <c r="O138" i="25"/>
  <c r="H138" i="54" s="1"/>
  <c r="O137" i="25"/>
  <c r="H137" i="54" s="1"/>
  <c r="O55" i="25"/>
  <c r="H55" i="54" s="1"/>
  <c r="O286" i="25"/>
  <c r="H286" i="54" s="1"/>
  <c r="O182" i="25"/>
  <c r="H182" i="54" s="1"/>
  <c r="O90" i="25"/>
  <c r="H90" i="54" s="1"/>
  <c r="O272" i="25"/>
  <c r="H272" i="54" s="1"/>
  <c r="O219" i="25"/>
  <c r="H219" i="54" s="1"/>
  <c r="O84" i="25"/>
  <c r="H84" i="54" s="1"/>
  <c r="O143" i="25"/>
  <c r="H143" i="54" s="1"/>
  <c r="O180" i="25"/>
  <c r="H180" i="54" s="1"/>
  <c r="O307" i="25"/>
  <c r="H307" i="54" s="1"/>
  <c r="O7" i="25"/>
  <c r="H7" i="54" s="1"/>
  <c r="O116" i="25"/>
  <c r="H116" i="54" s="1"/>
  <c r="O18" i="25"/>
  <c r="H18" i="54" s="1"/>
  <c r="O226" i="25"/>
  <c r="H226" i="54" s="1"/>
  <c r="O171" i="25"/>
  <c r="H171" i="54" s="1"/>
  <c r="O56" i="25"/>
  <c r="H56" i="54" s="1"/>
  <c r="O281" i="25"/>
  <c r="H281" i="54" s="1"/>
  <c r="O225" i="25"/>
  <c r="H225" i="54" s="1"/>
  <c r="O179" i="25"/>
  <c r="H179" i="54" s="1"/>
  <c r="O204" i="25"/>
  <c r="H204" i="54" s="1"/>
  <c r="O220" i="25"/>
  <c r="H220" i="54" s="1"/>
  <c r="O190" i="25"/>
  <c r="H190" i="54" s="1"/>
  <c r="O238" i="25"/>
  <c r="H238" i="54" s="1"/>
  <c r="O279" i="25"/>
  <c r="H279" i="54" s="1"/>
  <c r="O288" i="25"/>
  <c r="H288" i="54" s="1"/>
  <c r="O313" i="25"/>
  <c r="H313" i="54" s="1"/>
  <c r="O260" i="25"/>
  <c r="H260" i="54" s="1"/>
  <c r="O9" i="25"/>
  <c r="H9" i="54" s="1"/>
  <c r="O88" i="25"/>
  <c r="H88" i="54" s="1"/>
  <c r="O164" i="25"/>
  <c r="H164" i="54" s="1"/>
  <c r="O186" i="25"/>
  <c r="H186" i="54" s="1"/>
  <c r="O98" i="25"/>
  <c r="H98" i="54" s="1"/>
  <c r="O64" i="25"/>
  <c r="H64" i="54" s="1"/>
  <c r="O229" i="25"/>
  <c r="H229" i="54" s="1"/>
  <c r="O10" i="25"/>
  <c r="H10" i="54" s="1"/>
  <c r="O193" i="25"/>
  <c r="H193" i="54" s="1"/>
  <c r="O54" i="25"/>
  <c r="H54" i="54" s="1"/>
  <c r="O249" i="25"/>
  <c r="H249" i="54" s="1"/>
  <c r="O167" i="25"/>
  <c r="H167" i="54" s="1"/>
  <c r="O61" i="25"/>
  <c r="H61" i="54" s="1"/>
  <c r="O259" i="25"/>
  <c r="H259" i="54" s="1"/>
  <c r="O304" i="25"/>
  <c r="H304" i="54" s="1"/>
  <c r="O91" i="25"/>
  <c r="H91" i="54" s="1"/>
  <c r="O45" i="25"/>
  <c r="H45" i="54" s="1"/>
  <c r="O178" i="25"/>
  <c r="H178" i="54" s="1"/>
  <c r="O232" i="25"/>
  <c r="H232" i="54" s="1"/>
  <c r="O297" i="25"/>
  <c r="O256" i="25"/>
  <c r="H256" i="54" s="1"/>
  <c r="O255" i="25"/>
  <c r="H255" i="54" s="1"/>
  <c r="O33" i="25"/>
  <c r="H33" i="54" s="1"/>
  <c r="O110" i="25"/>
  <c r="H110" i="54" s="1"/>
  <c r="O25" i="25"/>
  <c r="H25" i="54" s="1"/>
  <c r="O213" i="25"/>
  <c r="H213" i="54" s="1"/>
  <c r="O212" i="25"/>
  <c r="H212" i="54" s="1"/>
  <c r="O83" i="25"/>
  <c r="H83" i="54" s="1"/>
  <c r="O188" i="25"/>
  <c r="H188" i="54" s="1"/>
  <c r="O71" i="25"/>
  <c r="H71" i="54" s="1"/>
  <c r="O82" i="25"/>
  <c r="H82" i="54" s="1"/>
  <c r="O170" i="25"/>
  <c r="H170" i="54" s="1"/>
  <c r="O135" i="25"/>
  <c r="H135" i="54" s="1"/>
  <c r="O290" i="25"/>
  <c r="H290" i="54" s="1"/>
  <c r="O37" i="25"/>
  <c r="H37" i="54" s="1"/>
  <c r="O149" i="25"/>
  <c r="H149" i="54" s="1"/>
  <c r="O173" i="25"/>
  <c r="H173" i="54" s="1"/>
  <c r="O103" i="25"/>
  <c r="H103" i="54" s="1"/>
  <c r="O296" i="25"/>
  <c r="H296" i="54" s="1"/>
  <c r="O29" i="25"/>
  <c r="H29" i="54" s="1"/>
  <c r="O94" i="25"/>
  <c r="H94" i="54" s="1"/>
  <c r="O26" i="25"/>
  <c r="H26" i="54" s="1"/>
  <c r="O312" i="25"/>
  <c r="H312" i="54" s="1"/>
  <c r="O112" i="25"/>
  <c r="H112" i="54" s="1"/>
  <c r="O155" i="25"/>
  <c r="H155" i="54" s="1"/>
  <c r="O122" i="25"/>
  <c r="H122" i="54" s="1"/>
  <c r="O130" i="25"/>
  <c r="H130" i="54" s="1"/>
  <c r="O79" i="25"/>
  <c r="H79" i="54" s="1"/>
  <c r="O274" i="25"/>
  <c r="H274" i="54" s="1"/>
  <c r="O196" i="25"/>
  <c r="H196" i="54" s="1"/>
  <c r="O58" i="25"/>
  <c r="H58" i="54" s="1"/>
  <c r="O150" i="25"/>
  <c r="H150" i="54" s="1"/>
  <c r="O278" i="25"/>
  <c r="H278" i="54" s="1"/>
  <c r="O13" i="25"/>
  <c r="H13" i="54" s="1"/>
  <c r="O15" i="25"/>
  <c r="H15" i="54" s="1"/>
  <c r="O163" i="25"/>
  <c r="H163" i="54" s="1"/>
  <c r="O27" i="25"/>
  <c r="H27" i="54" s="1"/>
  <c r="O21" i="25"/>
  <c r="H21" i="54" s="1"/>
  <c r="O206" i="25"/>
  <c r="H206" i="54" s="1"/>
  <c r="O177" i="25"/>
  <c r="H177" i="54" s="1"/>
  <c r="O85" i="25"/>
  <c r="H85" i="54" s="1"/>
  <c r="O245" i="25"/>
  <c r="H245" i="54" s="1"/>
  <c r="O262" i="25"/>
  <c r="H262" i="54" s="1"/>
  <c r="O100" i="25"/>
  <c r="H100" i="54" s="1"/>
  <c r="O311" i="25"/>
  <c r="H311" i="54" s="1"/>
  <c r="O153" i="25"/>
  <c r="H153" i="54" s="1"/>
  <c r="O197" i="25"/>
  <c r="H197" i="54" s="1"/>
  <c r="O231" i="25"/>
  <c r="H231" i="54" s="1"/>
  <c r="O34" i="25"/>
  <c r="H34" i="54" s="1"/>
  <c r="O207" i="25"/>
  <c r="H207" i="54" s="1"/>
  <c r="O66" i="25"/>
  <c r="H66" i="54" s="1"/>
  <c r="O57" i="25"/>
  <c r="H57" i="54" s="1"/>
  <c r="O266" i="25"/>
  <c r="H266" i="54" s="1"/>
  <c r="O183" i="25"/>
  <c r="H183" i="54" s="1"/>
  <c r="O293" i="25"/>
  <c r="H293" i="54" s="1"/>
  <c r="O214" i="25"/>
  <c r="H214" i="54" s="1"/>
  <c r="O89" i="25"/>
  <c r="H89" i="54" s="1"/>
  <c r="O154" i="25"/>
  <c r="H154" i="54" s="1"/>
  <c r="O175" i="25"/>
  <c r="H175" i="54" s="1"/>
  <c r="O227" i="25"/>
  <c r="H227" i="54" s="1"/>
  <c r="O131" i="25"/>
  <c r="H131" i="54" s="1"/>
  <c r="O156" i="25"/>
  <c r="H156" i="54" s="1"/>
  <c r="O295" i="25"/>
  <c r="H295" i="54" s="1"/>
  <c r="O236" i="25"/>
  <c r="H236" i="54" s="1"/>
  <c r="O291" i="25"/>
  <c r="H291" i="54" s="1"/>
  <c r="O203" i="25"/>
  <c r="H203" i="54" s="1"/>
  <c r="O239" i="25"/>
  <c r="H239" i="54" s="1"/>
  <c r="O280" i="25"/>
  <c r="H280" i="54" s="1"/>
  <c r="O294" i="25"/>
  <c r="H294" i="54" s="1"/>
  <c r="O246" i="25"/>
  <c r="H246" i="54" s="1"/>
  <c r="O50" i="25"/>
  <c r="H50" i="54" s="1"/>
  <c r="O269" i="25"/>
  <c r="H269" i="54" s="1"/>
  <c r="O43" i="25"/>
  <c r="H43" i="54" s="1"/>
  <c r="O298" i="25"/>
  <c r="H298" i="54" s="1"/>
  <c r="O241" i="25"/>
  <c r="H241" i="54" s="1"/>
  <c r="O198" i="25"/>
  <c r="H198" i="54" s="1"/>
  <c r="O118" i="25"/>
  <c r="H118" i="54" s="1"/>
  <c r="O146" i="25"/>
  <c r="H146" i="54" s="1"/>
  <c r="O205" i="25"/>
  <c r="H205" i="54" s="1"/>
  <c r="O310" i="25"/>
  <c r="H310" i="54" s="1"/>
  <c r="O162" i="25"/>
  <c r="H162" i="54" s="1"/>
  <c r="O97" i="25"/>
  <c r="H97" i="54" s="1"/>
  <c r="O19" i="25"/>
  <c r="H19" i="54" s="1"/>
  <c r="O120" i="25"/>
  <c r="H120" i="54" s="1"/>
  <c r="O152" i="25"/>
  <c r="H152" i="54" s="1"/>
  <c r="O201" i="25"/>
  <c r="H201" i="54" s="1"/>
  <c r="O181" i="25"/>
  <c r="H181" i="54" s="1"/>
  <c r="O134" i="25"/>
  <c r="H134" i="54" s="1"/>
  <c r="O111" i="25"/>
  <c r="H111" i="54" s="1"/>
  <c r="O81" i="25"/>
  <c r="H81" i="54" s="1"/>
  <c r="O147" i="25"/>
  <c r="H147" i="54" s="1"/>
  <c r="O247" i="25"/>
  <c r="H247" i="54" s="1"/>
  <c r="O16" i="25"/>
  <c r="H16" i="54" s="1"/>
  <c r="O253" i="25"/>
  <c r="H253" i="54" s="1"/>
  <c r="O23" i="25"/>
  <c r="H23" i="54" s="1"/>
  <c r="O200" i="25"/>
  <c r="H200" i="54" s="1"/>
  <c r="O8" i="25"/>
  <c r="H8" i="54" s="1"/>
  <c r="O92" i="25"/>
  <c r="H92" i="54" s="1"/>
  <c r="O192" i="25"/>
  <c r="H192" i="54" s="1"/>
  <c r="O268" i="25"/>
  <c r="H268" i="54" s="1"/>
  <c r="O77" i="25"/>
  <c r="H77" i="54" s="1"/>
  <c r="O169" i="25"/>
  <c r="H169" i="54" s="1"/>
  <c r="O209" i="25"/>
  <c r="H209" i="54" s="1"/>
  <c r="O258" i="25"/>
  <c r="H258" i="54" s="1"/>
  <c r="O129" i="25"/>
  <c r="H129" i="54" s="1"/>
  <c r="O87" i="25"/>
  <c r="H87" i="54" s="1"/>
  <c r="O189" i="25"/>
  <c r="H189" i="54" s="1"/>
  <c r="O283" i="25"/>
  <c r="H283" i="54" s="1"/>
  <c r="O292" i="25"/>
  <c r="H292" i="54" s="1"/>
  <c r="O159" i="25"/>
  <c r="H159" i="54" s="1"/>
  <c r="O157" i="25"/>
  <c r="H157" i="54" s="1"/>
  <c r="O105" i="25"/>
  <c r="H105" i="54" s="1"/>
  <c r="O145" i="25"/>
  <c r="H145" i="54" s="1"/>
  <c r="O28" i="25"/>
  <c r="H28" i="54" s="1"/>
  <c r="O132" i="25"/>
  <c r="H132" i="54" s="1"/>
  <c r="O287" i="25"/>
  <c r="H287" i="54" s="1"/>
  <c r="O243" i="25"/>
  <c r="H243" i="54" s="1"/>
  <c r="O22" i="25"/>
  <c r="H22" i="54" s="1"/>
  <c r="O14" i="25"/>
  <c r="H14" i="54" s="1"/>
  <c r="O216" i="25"/>
  <c r="H216" i="54" s="1"/>
  <c r="O80" i="25"/>
  <c r="H80" i="54" s="1"/>
  <c r="O165" i="25"/>
  <c r="H165" i="54" s="1"/>
  <c r="O40" i="25"/>
  <c r="H40" i="54" s="1"/>
  <c r="O119" i="25"/>
  <c r="H119" i="54" s="1"/>
  <c r="O265" i="25"/>
  <c r="H265" i="54" s="1"/>
  <c r="O217" i="25"/>
  <c r="H217" i="54" s="1"/>
  <c r="O228" i="25"/>
  <c r="H228" i="54" s="1"/>
  <c r="O104" i="25"/>
  <c r="H104" i="54" s="1"/>
  <c r="O133" i="25"/>
  <c r="H133" i="54" s="1"/>
  <c r="O263" i="25"/>
  <c r="H263" i="54" s="1"/>
  <c r="O78" i="25"/>
  <c r="H78" i="54" s="1"/>
  <c r="O218" i="25"/>
  <c r="H218" i="54" s="1"/>
  <c r="O93" i="25"/>
  <c r="H93" i="54" s="1"/>
  <c r="O108" i="25"/>
  <c r="H108" i="54" s="1"/>
  <c r="O38" i="25"/>
  <c r="H38" i="54" s="1"/>
  <c r="O230" i="25"/>
  <c r="H230" i="54" s="1"/>
  <c r="O264" i="25"/>
  <c r="H264" i="54" s="1"/>
  <c r="O24" i="25"/>
  <c r="H24" i="54" s="1"/>
  <c r="O142" i="25"/>
  <c r="H142" i="54" s="1"/>
  <c r="O69" i="25"/>
  <c r="H69" i="54" s="1"/>
  <c r="O185" i="25"/>
  <c r="H185" i="54" s="1"/>
  <c r="O282" i="25"/>
  <c r="H282" i="54" s="1"/>
  <c r="O308" i="25"/>
  <c r="H308" i="54" s="1"/>
  <c r="O141" i="25"/>
  <c r="H141" i="54" s="1"/>
  <c r="O46" i="25"/>
  <c r="H46" i="54" s="1"/>
  <c r="O113" i="25"/>
  <c r="H113" i="54" s="1"/>
  <c r="O63" i="25"/>
  <c r="H63" i="54" s="1"/>
  <c r="O302" i="25"/>
  <c r="H302" i="54" s="1"/>
  <c r="O124" i="25"/>
  <c r="H124" i="54" s="1"/>
  <c r="O123" i="25"/>
  <c r="H123" i="54" s="1"/>
  <c r="O32" i="25"/>
  <c r="H32" i="54" s="1"/>
  <c r="O299" i="25"/>
  <c r="H299" i="54" s="1"/>
  <c r="O70" i="25"/>
  <c r="H70" i="54" s="1"/>
  <c r="O222" i="25"/>
  <c r="H222" i="54" s="1"/>
  <c r="O114" i="25"/>
  <c r="H114" i="54" s="1"/>
  <c r="O12" i="25"/>
  <c r="H12" i="54" s="1"/>
  <c r="O199" i="25"/>
  <c r="H199" i="54" s="1"/>
  <c r="O208" i="25"/>
  <c r="H208" i="54" s="1"/>
  <c r="O223" i="25"/>
  <c r="H223" i="54" s="1"/>
  <c r="O96" i="25"/>
  <c r="H96" i="54" s="1"/>
  <c r="O31" i="25"/>
  <c r="H31" i="54" s="1"/>
  <c r="O215" i="25"/>
  <c r="H215" i="54" s="1"/>
  <c r="O52" i="25"/>
  <c r="H52" i="54" s="1"/>
  <c r="O68" i="25"/>
  <c r="H68" i="54" s="1"/>
  <c r="O76" i="25"/>
  <c r="H76" i="54" s="1"/>
  <c r="O168" i="25"/>
  <c r="H168" i="54" s="1"/>
  <c r="O244" i="25"/>
  <c r="H244" i="54" s="1"/>
  <c r="O172" i="25"/>
  <c r="H172" i="54" s="1"/>
  <c r="O267" i="25"/>
  <c r="H267" i="54" s="1"/>
  <c r="O48" i="25"/>
  <c r="H48" i="54" s="1"/>
  <c r="O117" i="25"/>
  <c r="H117" i="54" s="1"/>
  <c r="O174" i="25"/>
  <c r="H174" i="54" s="1"/>
  <c r="O289" i="25"/>
  <c r="H289" i="54" s="1"/>
  <c r="O60" i="25"/>
  <c r="H60" i="54" s="1"/>
  <c r="O72" i="25"/>
  <c r="H72" i="54" s="1"/>
  <c r="O95" i="25"/>
  <c r="H95" i="54" s="1"/>
  <c r="O176" i="25"/>
  <c r="H176" i="54" s="1"/>
  <c r="O277" i="25"/>
  <c r="H277" i="54" s="1"/>
  <c r="O191" i="25"/>
  <c r="H191" i="54" s="1"/>
  <c r="O67" i="25"/>
  <c r="H67" i="54" s="1"/>
  <c r="O151" i="25"/>
  <c r="H151" i="54" s="1"/>
  <c r="O305" i="25"/>
  <c r="H305" i="54" s="1"/>
  <c r="O248" i="25"/>
  <c r="H248" i="54" s="1"/>
  <c r="O158" i="25"/>
  <c r="H158" i="54" s="1"/>
  <c r="O303" i="25"/>
  <c r="H303" i="54" s="1"/>
  <c r="O86" i="25"/>
  <c r="H86" i="54" s="1"/>
  <c r="O41" i="25"/>
  <c r="H41" i="54" s="1"/>
  <c r="O30" i="25"/>
  <c r="H30" i="54" s="1"/>
  <c r="O73" i="25"/>
  <c r="H73" i="54" s="1"/>
  <c r="O306" i="25"/>
  <c r="H306" i="54" s="1"/>
  <c r="O224" i="25"/>
  <c r="H224" i="54" s="1"/>
  <c r="O44" i="25"/>
  <c r="H44" i="54" s="1"/>
  <c r="O161" i="25"/>
  <c r="H161" i="54" s="1"/>
  <c r="O250" i="25"/>
  <c r="H250" i="54" s="1"/>
  <c r="O47" i="25"/>
  <c r="H47" i="54" s="1"/>
  <c r="O62" i="25"/>
  <c r="H62" i="54" s="1"/>
  <c r="O42" i="25"/>
  <c r="H42" i="54" s="1"/>
  <c r="O187" i="25"/>
  <c r="H187" i="54" s="1"/>
  <c r="O275" i="25"/>
  <c r="H275" i="54" s="1"/>
  <c r="O102" i="25"/>
  <c r="H102" i="54" s="1"/>
  <c r="O51" i="25"/>
  <c r="H51" i="54" s="1"/>
  <c r="O254" i="25"/>
  <c r="H254" i="54" s="1"/>
  <c r="O237" i="25"/>
  <c r="H237" i="54" s="1"/>
  <c r="O121" i="25"/>
  <c r="H121" i="54" s="1"/>
  <c r="O235" i="25"/>
  <c r="H235" i="54" s="1"/>
  <c r="O139" i="25"/>
  <c r="H139" i="54" s="1"/>
  <c r="O194" i="25"/>
  <c r="H194" i="54" s="1"/>
  <c r="O74" i="25"/>
  <c r="H74" i="54" s="1"/>
  <c r="O221" i="25"/>
  <c r="H221" i="54" s="1"/>
  <c r="O49" i="25"/>
  <c r="H49" i="54" s="1"/>
  <c r="O106" i="25"/>
  <c r="H106" i="54" s="1"/>
  <c r="O184" i="25"/>
  <c r="H184" i="54" s="1"/>
  <c r="O126" i="25"/>
  <c r="H126" i="54" s="1"/>
  <c r="O36" i="25"/>
  <c r="H36" i="54" s="1"/>
  <c r="O127" i="25"/>
  <c r="H127" i="54" s="1"/>
  <c r="O261" i="25"/>
  <c r="H261" i="54" s="1"/>
  <c r="K211" i="25"/>
  <c r="L211" i="25" s="1"/>
  <c r="N211" i="25" s="1"/>
  <c r="E39" i="48"/>
  <c r="F39" i="48" s="1"/>
  <c r="F43" i="48" s="1"/>
  <c r="F54" i="48" s="1"/>
  <c r="R232" i="13"/>
  <c r="S232" i="13" s="1"/>
  <c r="R133" i="13"/>
  <c r="S133" i="13" s="1"/>
  <c r="R45" i="13"/>
  <c r="S45" i="13" s="1"/>
  <c r="R176" i="13"/>
  <c r="S176" i="13" s="1"/>
  <c r="R145" i="13"/>
  <c r="S145" i="13" s="1"/>
  <c r="R241" i="13"/>
  <c r="S241" i="13" s="1"/>
  <c r="R97" i="13"/>
  <c r="S97" i="13" s="1"/>
  <c r="R42" i="13"/>
  <c r="S42" i="13" s="1"/>
  <c r="R174" i="13"/>
  <c r="S174" i="13" s="1"/>
  <c r="R302" i="13"/>
  <c r="S302" i="13" s="1"/>
  <c r="R233" i="13"/>
  <c r="S233" i="13" s="1"/>
  <c r="R294" i="13"/>
  <c r="S294" i="13" s="1"/>
  <c r="R194" i="13"/>
  <c r="S194" i="13" s="1"/>
  <c r="R141" i="13"/>
  <c r="S141" i="13" s="1"/>
  <c r="R40" i="13"/>
  <c r="S40" i="13" s="1"/>
  <c r="R308" i="13"/>
  <c r="S308" i="13" s="1"/>
  <c r="R265" i="13"/>
  <c r="S265" i="13" s="1"/>
  <c r="R237" i="13"/>
  <c r="S237" i="13" s="1"/>
  <c r="R207" i="13"/>
  <c r="S207" i="13" s="1"/>
  <c r="R101" i="13"/>
  <c r="S101" i="13" s="1"/>
  <c r="R312" i="13"/>
  <c r="S312" i="13" s="1"/>
  <c r="R196" i="13"/>
  <c r="S196" i="13" s="1"/>
  <c r="R167" i="13"/>
  <c r="S167" i="13" s="1"/>
  <c r="R74" i="13"/>
  <c r="S74" i="13" s="1"/>
  <c r="R234" i="13"/>
  <c r="S234" i="13" s="1"/>
  <c r="R206" i="13"/>
  <c r="S206" i="13" s="1"/>
  <c r="R177" i="13"/>
  <c r="S177" i="13" s="1"/>
  <c r="R84" i="13"/>
  <c r="S84" i="13" s="1"/>
  <c r="R129" i="13"/>
  <c r="S129" i="13" s="1"/>
  <c r="R83" i="13"/>
  <c r="S83" i="13" s="1"/>
  <c r="R136" i="13"/>
  <c r="S136" i="13" s="1"/>
  <c r="R41" i="13"/>
  <c r="S41" i="13" s="1"/>
  <c r="R186" i="13"/>
  <c r="S186" i="13" s="1"/>
  <c r="R313" i="13"/>
  <c r="S313" i="13" s="1"/>
  <c r="R123" i="13"/>
  <c r="S123" i="13" s="1"/>
  <c r="R298" i="13"/>
  <c r="S298" i="13" s="1"/>
  <c r="R291" i="13"/>
  <c r="S291" i="13" s="1"/>
  <c r="R171" i="13"/>
  <c r="S171" i="13" s="1"/>
  <c r="R235" i="13"/>
  <c r="S235" i="13" s="1"/>
  <c r="R283" i="13"/>
  <c r="S283" i="13" s="1"/>
  <c r="R240" i="13"/>
  <c r="S240" i="13" s="1"/>
  <c r="R62" i="13"/>
  <c r="S62" i="13" s="1"/>
  <c r="R69" i="13"/>
  <c r="S69" i="13" s="1"/>
  <c r="R94" i="13"/>
  <c r="S94" i="13" s="1"/>
  <c r="R214" i="13"/>
  <c r="S214" i="13" s="1"/>
  <c r="R311" i="13"/>
  <c r="S311" i="13" s="1"/>
  <c r="R296" i="13"/>
  <c r="S296" i="13" s="1"/>
  <c r="R187" i="13"/>
  <c r="S187" i="13" s="1"/>
  <c r="R105" i="13"/>
  <c r="S105" i="13" s="1"/>
  <c r="R222" i="13"/>
  <c r="S222" i="13" s="1"/>
  <c r="R13" i="13"/>
  <c r="S13" i="13" s="1"/>
  <c r="R139" i="13"/>
  <c r="S139" i="13" s="1"/>
  <c r="R60" i="13"/>
  <c r="S60" i="13" s="1"/>
  <c r="R15" i="13"/>
  <c r="S15" i="13" s="1"/>
  <c r="R156" i="13"/>
  <c r="S156" i="13" s="1"/>
  <c r="R230" i="13"/>
  <c r="S230" i="13" s="1"/>
  <c r="R223" i="13"/>
  <c r="S223" i="13" s="1"/>
  <c r="R115" i="13"/>
  <c r="S115" i="13" s="1"/>
  <c r="R137" i="13"/>
  <c r="S137" i="13" s="1"/>
  <c r="R28" i="13"/>
  <c r="S28" i="13" s="1"/>
  <c r="R100" i="13"/>
  <c r="S100" i="13" s="1"/>
  <c r="R34" i="13"/>
  <c r="S34" i="13" s="1"/>
  <c r="R104" i="13"/>
  <c r="S104" i="13" s="1"/>
  <c r="R63" i="13"/>
  <c r="S63" i="13" s="1"/>
  <c r="R75" i="13"/>
  <c r="S75" i="13" s="1"/>
  <c r="R165" i="13"/>
  <c r="S165" i="13" s="1"/>
  <c r="R180" i="13"/>
  <c r="S180" i="13" s="1"/>
  <c r="R198" i="13"/>
  <c r="S198" i="13" s="1"/>
  <c r="R166" i="13"/>
  <c r="S166" i="13" s="1"/>
  <c r="R38" i="13"/>
  <c r="S38" i="13" s="1"/>
  <c r="R219" i="13"/>
  <c r="S219" i="13" s="1"/>
  <c r="R55" i="13"/>
  <c r="S55" i="13" s="1"/>
  <c r="R142" i="13"/>
  <c r="S142" i="13" s="1"/>
  <c r="R182" i="13"/>
  <c r="S182" i="13" s="1"/>
  <c r="R72" i="13"/>
  <c r="S72" i="13" s="1"/>
  <c r="R224" i="13"/>
  <c r="S224" i="13" s="1"/>
  <c r="R36" i="13"/>
  <c r="S36" i="13" s="1"/>
  <c r="R9" i="13"/>
  <c r="S9" i="13" s="1"/>
  <c r="R213" i="13"/>
  <c r="S213" i="13" s="1"/>
  <c r="R124" i="13"/>
  <c r="S124" i="13" s="1"/>
  <c r="R193" i="13"/>
  <c r="S193" i="13" s="1"/>
  <c r="R163" i="13"/>
  <c r="S163" i="13" s="1"/>
  <c r="R304" i="13"/>
  <c r="S304" i="13" s="1"/>
  <c r="R220" i="13"/>
  <c r="S220" i="13" s="1"/>
  <c r="R108" i="13"/>
  <c r="S108" i="13" s="1"/>
  <c r="R14" i="13"/>
  <c r="S14" i="13" s="1"/>
  <c r="R173" i="13"/>
  <c r="S173" i="13" s="1"/>
  <c r="R239" i="13"/>
  <c r="S239" i="13" s="1"/>
  <c r="R218" i="13"/>
  <c r="S218" i="13" s="1"/>
  <c r="R289" i="13"/>
  <c r="S289" i="13" s="1"/>
  <c r="R236" i="13"/>
  <c r="S236" i="13" s="1"/>
  <c r="R33" i="13"/>
  <c r="S33" i="13" s="1"/>
  <c r="R257" i="13"/>
  <c r="S257" i="13" s="1"/>
  <c r="R288" i="13"/>
  <c r="S288" i="13" s="1"/>
  <c r="R57" i="13"/>
  <c r="S57" i="13" s="1"/>
  <c r="R195" i="13"/>
  <c r="S195" i="13" s="1"/>
  <c r="R90" i="13"/>
  <c r="S90" i="13" s="1"/>
  <c r="R271" i="13"/>
  <c r="S271" i="13" s="1"/>
  <c r="R138" i="13"/>
  <c r="S138" i="13" s="1"/>
  <c r="R259" i="13"/>
  <c r="S259" i="13" s="1"/>
  <c r="R287" i="13"/>
  <c r="S287" i="13" s="1"/>
  <c r="R306" i="13"/>
  <c r="S306" i="13" s="1"/>
  <c r="R59" i="13"/>
  <c r="S59" i="13" s="1"/>
  <c r="R85" i="13"/>
  <c r="S85" i="13" s="1"/>
  <c r="R50" i="13"/>
  <c r="S50" i="13" s="1"/>
  <c r="R153" i="13"/>
  <c r="S153" i="13" s="1"/>
  <c r="R135" i="13"/>
  <c r="S135" i="13" s="1"/>
  <c r="R22" i="13"/>
  <c r="S22" i="13" s="1"/>
  <c r="R117" i="13"/>
  <c r="S117" i="13" s="1"/>
  <c r="R79" i="13"/>
  <c r="S79" i="13" s="1"/>
  <c r="R120" i="13"/>
  <c r="S120" i="13" s="1"/>
  <c r="R200" i="13"/>
  <c r="S200" i="13" s="1"/>
  <c r="R143" i="13"/>
  <c r="S143" i="13" s="1"/>
  <c r="R11" i="13"/>
  <c r="S11" i="13" s="1"/>
  <c r="R157" i="13"/>
  <c r="S157" i="13" s="1"/>
  <c r="R164" i="13"/>
  <c r="S164" i="13" s="1"/>
  <c r="R178" i="13"/>
  <c r="S178" i="13" s="1"/>
  <c r="R96" i="13"/>
  <c r="S96" i="13" s="1"/>
  <c r="R78" i="13"/>
  <c r="S78" i="13" s="1"/>
  <c r="R279" i="13"/>
  <c r="S279" i="13" s="1"/>
  <c r="R92" i="13"/>
  <c r="S92" i="13" s="1"/>
  <c r="R51" i="13"/>
  <c r="S51" i="13" s="1"/>
  <c r="R46" i="13"/>
  <c r="S46" i="13" s="1"/>
  <c r="R270" i="13"/>
  <c r="S270" i="13" s="1"/>
  <c r="R52" i="13"/>
  <c r="S52" i="13" s="1"/>
  <c r="R67" i="13"/>
  <c r="S67" i="13" s="1"/>
  <c r="R238" i="13"/>
  <c r="S238" i="13" s="1"/>
  <c r="R267" i="13"/>
  <c r="S267" i="13" s="1"/>
  <c r="R243" i="13"/>
  <c r="S243" i="13" s="1"/>
  <c r="R199" i="13"/>
  <c r="S199" i="13" s="1"/>
  <c r="R184" i="13"/>
  <c r="S184" i="13" s="1"/>
  <c r="R93" i="13"/>
  <c r="S93" i="13" s="1"/>
  <c r="R37" i="13"/>
  <c r="S37" i="13" s="1"/>
  <c r="R39" i="13"/>
  <c r="S39" i="13" s="1"/>
  <c r="R192" i="13"/>
  <c r="S192" i="13" s="1"/>
  <c r="R80" i="13"/>
  <c r="S80" i="13" s="1"/>
  <c r="R152" i="13"/>
  <c r="S152" i="13" s="1"/>
  <c r="R183" i="13"/>
  <c r="S183" i="13" s="1"/>
  <c r="R88" i="13"/>
  <c r="S88" i="13" s="1"/>
  <c r="R260" i="13"/>
  <c r="S260" i="13" s="1"/>
  <c r="R16" i="13"/>
  <c r="S16" i="13" s="1"/>
  <c r="R269" i="13"/>
  <c r="S269" i="13" s="1"/>
  <c r="R228" i="13"/>
  <c r="S228" i="13" s="1"/>
  <c r="R188" i="13"/>
  <c r="S188" i="13" s="1"/>
  <c r="R118" i="13"/>
  <c r="S118" i="13" s="1"/>
  <c r="R106" i="13"/>
  <c r="S106" i="13" s="1"/>
  <c r="R12" i="13"/>
  <c r="S12" i="13" s="1"/>
  <c r="R126" i="13"/>
  <c r="S126" i="13" s="1"/>
  <c r="R286" i="13"/>
  <c r="S286" i="13" s="1"/>
  <c r="R292" i="13"/>
  <c r="S292" i="13" s="1"/>
  <c r="R204" i="13"/>
  <c r="S204" i="13" s="1"/>
  <c r="R110" i="13"/>
  <c r="S110" i="13" s="1"/>
  <c r="R277" i="13"/>
  <c r="S277" i="13" s="1"/>
  <c r="R281" i="13"/>
  <c r="S281" i="13" s="1"/>
  <c r="R301" i="13"/>
  <c r="S301" i="13" s="1"/>
  <c r="R54" i="13"/>
  <c r="S54" i="13" s="1"/>
  <c r="R258" i="13"/>
  <c r="S258" i="13" s="1"/>
  <c r="R150" i="13"/>
  <c r="S150" i="13" s="1"/>
  <c r="R148" i="13"/>
  <c r="S148" i="13" s="1"/>
  <c r="R32" i="13"/>
  <c r="S32" i="13" s="1"/>
  <c r="R132" i="13"/>
  <c r="S132" i="13" s="1"/>
  <c r="R216" i="13"/>
  <c r="S216" i="13" s="1"/>
  <c r="R53" i="13"/>
  <c r="S53" i="13" s="1"/>
  <c r="R76" i="13"/>
  <c r="S76" i="13" s="1"/>
  <c r="R95" i="13"/>
  <c r="S95" i="13" s="1"/>
  <c r="R86" i="13"/>
  <c r="S86" i="13" s="1"/>
  <c r="R212" i="13"/>
  <c r="S212" i="13" s="1"/>
  <c r="R99" i="13"/>
  <c r="S99" i="13" s="1"/>
  <c r="R278" i="13"/>
  <c r="S278" i="13" s="1"/>
  <c r="R17" i="13"/>
  <c r="S17" i="13" s="1"/>
  <c r="R307" i="13"/>
  <c r="S307" i="13" s="1"/>
  <c r="R225" i="13"/>
  <c r="S225" i="13" s="1"/>
  <c r="R134" i="13"/>
  <c r="S134" i="13" s="1"/>
  <c r="R264" i="13"/>
  <c r="S264" i="13" s="1"/>
  <c r="R73" i="13"/>
  <c r="S73" i="13" s="1"/>
  <c r="R89" i="13"/>
  <c r="S89" i="13" s="1"/>
  <c r="R262" i="13"/>
  <c r="S262" i="13" s="1"/>
  <c r="R159" i="13"/>
  <c r="S159" i="13" s="1"/>
  <c r="R273" i="13"/>
  <c r="S273" i="13" s="1"/>
  <c r="R284" i="13"/>
  <c r="S284" i="13" s="1"/>
  <c r="R205" i="13"/>
  <c r="S205" i="13" s="1"/>
  <c r="R303" i="13"/>
  <c r="S303" i="13" s="1"/>
  <c r="R35" i="13"/>
  <c r="S35" i="13" s="1"/>
  <c r="R266" i="13"/>
  <c r="S266" i="13" s="1"/>
  <c r="R280" i="13"/>
  <c r="S280" i="13" s="1"/>
  <c r="R229" i="13"/>
  <c r="S229" i="13" s="1"/>
  <c r="R30" i="13"/>
  <c r="S30" i="13" s="1"/>
  <c r="R24" i="13"/>
  <c r="S24" i="13" s="1"/>
  <c r="R175" i="13"/>
  <c r="S175" i="13" s="1"/>
  <c r="R300" i="13"/>
  <c r="S300" i="13" s="1"/>
  <c r="R119" i="13"/>
  <c r="S119" i="13" s="1"/>
  <c r="R61" i="13"/>
  <c r="S61" i="13" s="1"/>
  <c r="R111" i="13"/>
  <c r="S111" i="13" s="1"/>
  <c r="R149" i="13"/>
  <c r="S149" i="13" s="1"/>
  <c r="R121" i="13"/>
  <c r="S121" i="13" s="1"/>
  <c r="O7" i="13"/>
  <c r="N315" i="13"/>
  <c r="R185" i="13"/>
  <c r="S185" i="13" s="1"/>
  <c r="R20" i="13"/>
  <c r="S20" i="13" s="1"/>
  <c r="R314" i="13"/>
  <c r="S314" i="13" s="1"/>
  <c r="R251" i="13"/>
  <c r="S251" i="13" s="1"/>
  <c r="R170" i="13"/>
  <c r="S170" i="13" s="1"/>
  <c r="R210" i="13"/>
  <c r="S210" i="13" s="1"/>
  <c r="R56" i="13"/>
  <c r="S56" i="13" s="1"/>
  <c r="R130" i="13"/>
  <c r="S130" i="13" s="1"/>
  <c r="R252" i="13"/>
  <c r="S252" i="13" s="1"/>
  <c r="R91" i="13"/>
  <c r="S91" i="13" s="1"/>
  <c r="R151" i="13"/>
  <c r="S151" i="13" s="1"/>
  <c r="R190" i="13"/>
  <c r="S190" i="13" s="1"/>
  <c r="R221" i="13"/>
  <c r="S221" i="13" s="1"/>
  <c r="R44" i="13"/>
  <c r="S44" i="13" s="1"/>
  <c r="R23" i="13"/>
  <c r="S23" i="13" s="1"/>
  <c r="R48" i="13"/>
  <c r="S48" i="13" s="1"/>
  <c r="R25" i="13"/>
  <c r="S25" i="13" s="1"/>
  <c r="R231" i="13"/>
  <c r="S231" i="13" s="1"/>
  <c r="R154" i="13"/>
  <c r="S154" i="13" s="1"/>
  <c r="R81" i="13"/>
  <c r="S81" i="13" s="1"/>
  <c r="R276" i="13"/>
  <c r="S276" i="13" s="1"/>
  <c r="R116" i="13"/>
  <c r="S116" i="13" s="1"/>
  <c r="R82" i="13"/>
  <c r="S82" i="13" s="1"/>
  <c r="R87" i="13"/>
  <c r="S87" i="13" s="1"/>
  <c r="R125" i="13"/>
  <c r="S125" i="13" s="1"/>
  <c r="R21" i="13"/>
  <c r="S21" i="13" s="1"/>
  <c r="R268" i="13"/>
  <c r="S268" i="13" s="1"/>
  <c r="R297" i="13"/>
  <c r="S297" i="13" s="1"/>
  <c r="R158" i="13"/>
  <c r="S158" i="13" s="1"/>
  <c r="R146" i="13"/>
  <c r="S146" i="13" s="1"/>
  <c r="R140" i="13"/>
  <c r="S140" i="13" s="1"/>
  <c r="R10" i="13"/>
  <c r="S10" i="13" s="1"/>
  <c r="R246" i="13"/>
  <c r="S246" i="13" s="1"/>
  <c r="R127" i="13"/>
  <c r="S127" i="13" s="1"/>
  <c r="J6" i="25"/>
  <c r="J314" i="12"/>
  <c r="R70" i="13"/>
  <c r="S70" i="13" s="1"/>
  <c r="R250" i="13"/>
  <c r="S250" i="13" s="1"/>
  <c r="R168" i="13"/>
  <c r="S168" i="13" s="1"/>
  <c r="R309" i="13"/>
  <c r="S309" i="13" s="1"/>
  <c r="R217" i="13"/>
  <c r="S217" i="13" s="1"/>
  <c r="R43" i="13"/>
  <c r="S43" i="13" s="1"/>
  <c r="R226" i="13"/>
  <c r="S226" i="13" s="1"/>
  <c r="R172" i="13"/>
  <c r="S172" i="13" s="1"/>
  <c r="R263" i="13"/>
  <c r="S263" i="13" s="1"/>
  <c r="R109" i="13"/>
  <c r="S109" i="13" s="1"/>
  <c r="R98" i="13"/>
  <c r="S98" i="13" s="1"/>
  <c r="R128" i="13"/>
  <c r="S128" i="13" s="1"/>
  <c r="R310" i="13"/>
  <c r="S310" i="13" s="1"/>
  <c r="R71" i="13"/>
  <c r="S71" i="13" s="1"/>
  <c r="R147" i="13"/>
  <c r="S147" i="13" s="1"/>
  <c r="R290" i="13"/>
  <c r="S290" i="13" s="1"/>
  <c r="R27" i="13"/>
  <c r="S27" i="13" s="1"/>
  <c r="R66" i="13"/>
  <c r="S66" i="13" s="1"/>
  <c r="R19" i="13"/>
  <c r="S19" i="13" s="1"/>
  <c r="R162" i="13"/>
  <c r="S162" i="13" s="1"/>
  <c r="R202" i="13"/>
  <c r="S202" i="13" s="1"/>
  <c r="R189" i="13"/>
  <c r="S189" i="13" s="1"/>
  <c r="R31" i="13"/>
  <c r="S31" i="13" s="1"/>
  <c r="R29" i="13"/>
  <c r="S29" i="13" s="1"/>
  <c r="R261" i="13"/>
  <c r="S261" i="13" s="1"/>
  <c r="R215" i="13"/>
  <c r="S215" i="13" s="1"/>
  <c r="R26" i="13"/>
  <c r="S26" i="13" s="1"/>
  <c r="R107" i="13"/>
  <c r="S107" i="13" s="1"/>
  <c r="R209" i="13"/>
  <c r="S209" i="13" s="1"/>
  <c r="R305" i="13"/>
  <c r="S305" i="13" s="1"/>
  <c r="R247" i="13"/>
  <c r="S247" i="13" s="1"/>
  <c r="R114" i="13"/>
  <c r="S114" i="13" s="1"/>
  <c r="R285" i="13"/>
  <c r="S285" i="13" s="1"/>
  <c r="R64" i="13"/>
  <c r="S64" i="13" s="1"/>
  <c r="R293" i="13"/>
  <c r="S293" i="13" s="1"/>
  <c r="R245" i="13"/>
  <c r="S245" i="13" s="1"/>
  <c r="R179" i="13"/>
  <c r="S179" i="13" s="1"/>
  <c r="R191" i="13"/>
  <c r="S191" i="13" s="1"/>
  <c r="R208" i="13"/>
  <c r="S208" i="13" s="1"/>
  <c r="R255" i="13"/>
  <c r="S255" i="13" s="1"/>
  <c r="R58" i="13"/>
  <c r="S58" i="13" s="1"/>
  <c r="R122" i="13"/>
  <c r="S122" i="13" s="1"/>
  <c r="R242" i="13"/>
  <c r="S242" i="13" s="1"/>
  <c r="R256" i="13"/>
  <c r="S256" i="13" s="1"/>
  <c r="R201" i="13"/>
  <c r="S201" i="13" s="1"/>
  <c r="R18" i="13"/>
  <c r="S18" i="13" s="1"/>
  <c r="R253" i="13"/>
  <c r="S253" i="13" s="1"/>
  <c r="R131" i="13"/>
  <c r="S131" i="13" s="1"/>
  <c r="R68" i="13"/>
  <c r="S68" i="13" s="1"/>
  <c r="R275" i="13"/>
  <c r="S275" i="13" s="1"/>
  <c r="R197" i="13"/>
  <c r="S197" i="13" s="1"/>
  <c r="R249" i="13"/>
  <c r="S249" i="13" s="1"/>
  <c r="R295" i="13"/>
  <c r="S295" i="13" s="1"/>
  <c r="R47" i="13"/>
  <c r="S47" i="13" s="1"/>
  <c r="R211" i="13"/>
  <c r="S211" i="13" s="1"/>
  <c r="R155" i="13"/>
  <c r="S155" i="13" s="1"/>
  <c r="R65" i="13"/>
  <c r="S65" i="13" s="1"/>
  <c r="R203" i="13"/>
  <c r="S203" i="13" s="1"/>
  <c r="R161" i="13"/>
  <c r="S161" i="13" s="1"/>
  <c r="R77" i="13"/>
  <c r="S77" i="13" s="1"/>
  <c r="R112" i="13"/>
  <c r="S112" i="13" s="1"/>
  <c r="R169" i="13"/>
  <c r="S169" i="13" s="1"/>
  <c r="R103" i="13"/>
  <c r="S103" i="13" s="1"/>
  <c r="R160" i="13"/>
  <c r="S160" i="13" s="1"/>
  <c r="R144" i="13"/>
  <c r="S144" i="13" s="1"/>
  <c r="R248" i="13"/>
  <c r="S248" i="13" s="1"/>
  <c r="R49" i="13"/>
  <c r="S49" i="13" s="1"/>
  <c r="R254" i="13"/>
  <c r="S254" i="13" s="1"/>
  <c r="R102" i="13"/>
  <c r="S102" i="13" s="1"/>
  <c r="R299" i="13"/>
  <c r="S299" i="13" s="1"/>
  <c r="R181" i="13"/>
  <c r="S181" i="13" s="1"/>
  <c r="R8" i="13"/>
  <c r="S8" i="13" s="1"/>
  <c r="R113" i="13"/>
  <c r="S113" i="13" s="1"/>
  <c r="R227" i="13"/>
  <c r="S227" i="13" s="1"/>
  <c r="R244" i="13"/>
  <c r="S244" i="13" s="1"/>
  <c r="R282" i="13"/>
  <c r="S282" i="13" s="1"/>
  <c r="E60" i="48" l="1"/>
  <c r="H297" i="54"/>
  <c r="O211" i="25"/>
  <c r="H211" i="54" s="1"/>
  <c r="P7" i="13"/>
  <c r="Q7" i="13" s="1"/>
  <c r="J314" i="25"/>
  <c r="C60" i="48" l="1"/>
  <c r="E61" i="48"/>
  <c r="C61" i="48" s="1"/>
  <c r="K6" i="25"/>
  <c r="Q315" i="13"/>
  <c r="R7" i="13"/>
  <c r="S7" i="13" s="1"/>
  <c r="N6" i="25" l="1"/>
  <c r="N314" i="25" s="1"/>
  <c r="O6" i="25"/>
  <c r="K314" i="25"/>
  <c r="L314" i="25" s="1"/>
  <c r="C32" i="40" s="1"/>
  <c r="D32" i="40"/>
  <c r="O314" i="25" l="1"/>
  <c r="G314" i="54" l="1"/>
  <c r="H6" i="54"/>
  <c r="H314" i="5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Brochet Antoine</author>
    <author>Clerc Charles-Henri</author>
  </authors>
  <commentList>
    <comment ref="C3" authorId="0" shapeId="0" xr:uid="{55CDA886-B582-406A-8FE9-6E2C56110B9C}">
      <text>
        <r>
          <rPr>
            <b/>
            <sz val="9"/>
            <color indexed="81"/>
            <rFont val="Tahoma"/>
            <family val="2"/>
          </rPr>
          <t>Veuillez indiquer le nom de votre commune</t>
        </r>
      </text>
    </comment>
    <comment ref="E37" authorId="1" shapeId="0" xr:uid="{ED82EB26-950B-42B7-A9D0-22D691E65E64}">
      <text>
        <r>
          <rPr>
            <b/>
            <sz val="9"/>
            <color indexed="81"/>
            <rFont val="Tahoma"/>
            <family val="2"/>
          </rPr>
          <t xml:space="preserve">ATTENTION, Si ce montant n'est pas à zéro, il est remis en question si la commune revendique des dépenses thématiques. Dans un tel cas, la commune voudra bien contacter les finances communales
</t>
        </r>
      </text>
    </comment>
  </commentList>
</comments>
</file>

<file path=xl/sharedStrings.xml><?xml version="1.0" encoding="utf-8"?>
<sst xmlns="http://schemas.openxmlformats.org/spreadsheetml/2006/main" count="1315" uniqueCount="587">
  <si>
    <t>Plafonnement de l'aide</t>
  </si>
  <si>
    <t>L'Isle</t>
  </si>
  <si>
    <t>Lussery-Villars</t>
  </si>
  <si>
    <t>Mauraz</t>
  </si>
  <si>
    <t>Mex</t>
  </si>
  <si>
    <t>Moiry</t>
  </si>
  <si>
    <t>Corcelles-près-Payerne</t>
  </si>
  <si>
    <t>Grandcour</t>
  </si>
  <si>
    <t>Henniez</t>
  </si>
  <si>
    <t>Missy</t>
  </si>
  <si>
    <t>Payerne</t>
  </si>
  <si>
    <t>Trey</t>
  </si>
  <si>
    <t>Villarzel</t>
  </si>
  <si>
    <t>Château-d'Oex</t>
  </si>
  <si>
    <t>Rossinière</t>
  </si>
  <si>
    <t>Rougemont</t>
  </si>
  <si>
    <t>Allaman</t>
  </si>
  <si>
    <t>Bursinel</t>
  </si>
  <si>
    <t>Bursins</t>
  </si>
  <si>
    <t>Burtigny</t>
  </si>
  <si>
    <t>Dully</t>
  </si>
  <si>
    <t>Essertines-sur-Rolle</t>
  </si>
  <si>
    <t>Gilly</t>
  </si>
  <si>
    <t>Luins</t>
  </si>
  <si>
    <t>Mont-sur-Rolle</t>
  </si>
  <si>
    <t>Perroy</t>
  </si>
  <si>
    <t>Rolle</t>
  </si>
  <si>
    <t>Tartegnin</t>
  </si>
  <si>
    <t>Vinzel</t>
  </si>
  <si>
    <t>L'Abbaye</t>
  </si>
  <si>
    <t>Saint-Barthélemy</t>
  </si>
  <si>
    <t>Villars-le-Terroir</t>
  </si>
  <si>
    <t>Vuarrens</t>
  </si>
  <si>
    <t>Bonvillars</t>
  </si>
  <si>
    <t>Bullet</t>
  </si>
  <si>
    <t>Champagne</t>
  </si>
  <si>
    <t>Concise</t>
  </si>
  <si>
    <t>Corcelles-près-Concise</t>
  </si>
  <si>
    <t>Fiez</t>
  </si>
  <si>
    <t>Fontaines-sur-Grandson</t>
  </si>
  <si>
    <t>Giez</t>
  </si>
  <si>
    <t>Grandevent</t>
  </si>
  <si>
    <t>Grandson</t>
  </si>
  <si>
    <t>Mauborget</t>
  </si>
  <si>
    <t>Plafond transports</t>
  </si>
  <si>
    <t>Plafond forêts</t>
  </si>
  <si>
    <t>No OFS</t>
  </si>
  <si>
    <t>Fonds de péréquation</t>
  </si>
  <si>
    <t>IFO normalisé à 100</t>
  </si>
  <si>
    <t>Corsier-sur-Vevey</t>
  </si>
  <si>
    <t>Jongny</t>
  </si>
  <si>
    <t>Montreux</t>
  </si>
  <si>
    <t>La Tour-de-Peilz</t>
  </si>
  <si>
    <t>Vevey</t>
  </si>
  <si>
    <t>Veytaux</t>
  </si>
  <si>
    <t>Belmont-sur-Yverdon</t>
  </si>
  <si>
    <t>Bioley-Magnoux</t>
  </si>
  <si>
    <t>Chamblon</t>
  </si>
  <si>
    <t>Champvent</t>
  </si>
  <si>
    <t>Chavannes-le-Chêne</t>
  </si>
  <si>
    <t>Chêne-Pâquier</t>
  </si>
  <si>
    <t>Cheseaux-Noréaz</t>
  </si>
  <si>
    <t>Cronay</t>
  </si>
  <si>
    <t>Cuarny</t>
  </si>
  <si>
    <t>Démoret</t>
  </si>
  <si>
    <t>Donneloye</t>
  </si>
  <si>
    <t>Ependes</t>
  </si>
  <si>
    <t>Valeur par habitant</t>
  </si>
  <si>
    <t>Nyon</t>
  </si>
  <si>
    <t>Prangins</t>
  </si>
  <si>
    <t>Bougy-Villars</t>
  </si>
  <si>
    <t>Yvorne</t>
  </si>
  <si>
    <t>Apples</t>
  </si>
  <si>
    <t>Aubonne</t>
  </si>
  <si>
    <t>Ballens</t>
  </si>
  <si>
    <t>Berolle</t>
  </si>
  <si>
    <t>Bière</t>
  </si>
  <si>
    <t>Taux communal</t>
  </si>
  <si>
    <t>ISP</t>
  </si>
  <si>
    <t>IPE</t>
  </si>
  <si>
    <t>IBC</t>
  </si>
  <si>
    <t>IET</t>
  </si>
  <si>
    <t>ISO</t>
  </si>
  <si>
    <t>IMM</t>
  </si>
  <si>
    <t>IFO</t>
  </si>
  <si>
    <t>STO</t>
  </si>
  <si>
    <t>IFR</t>
  </si>
  <si>
    <t>ISD</t>
  </si>
  <si>
    <t>DMU</t>
  </si>
  <si>
    <t>IGI</t>
  </si>
  <si>
    <t>TOT</t>
  </si>
  <si>
    <t>Facture sociale à charge des communes</t>
  </si>
  <si>
    <t>Alimentation</t>
  </si>
  <si>
    <t>./. Dép. thématiques</t>
  </si>
  <si>
    <t>Commune</t>
  </si>
  <si>
    <t>Chavannes-sur-Moudon</t>
  </si>
  <si>
    <t>Curtilles</t>
  </si>
  <si>
    <t>Dompierre</t>
  </si>
  <si>
    <t>Hermenches</t>
  </si>
  <si>
    <t>Lovatens</t>
  </si>
  <si>
    <t>Lucens</t>
  </si>
  <si>
    <t>Moudon</t>
  </si>
  <si>
    <t>Ogens</t>
  </si>
  <si>
    <t>Prévonloup</t>
  </si>
  <si>
    <t>Rossenges</t>
  </si>
  <si>
    <t>Syens</t>
  </si>
  <si>
    <t>Villars-le-Comte</t>
  </si>
  <si>
    <t>Vucherens</t>
  </si>
  <si>
    <t>Arnex-sur-Nyon</t>
  </si>
  <si>
    <t>Bassins</t>
  </si>
  <si>
    <t>Chessel</t>
  </si>
  <si>
    <t>Corbeyrier</t>
  </si>
  <si>
    <t>Gryon</t>
  </si>
  <si>
    <t>Lavey-Morcles</t>
  </si>
  <si>
    <t>Leysin</t>
  </si>
  <si>
    <t>Noville</t>
  </si>
  <si>
    <t>Ollon</t>
  </si>
  <si>
    <t>Sainte-Croix</t>
  </si>
  <si>
    <t>Lausanne</t>
  </si>
  <si>
    <t>Le Mont-sur-Lausanne</t>
  </si>
  <si>
    <t>Paudex</t>
  </si>
  <si>
    <t>Prilly</t>
  </si>
  <si>
    <t>Pully</t>
  </si>
  <si>
    <t>Taux projeté</t>
  </si>
  <si>
    <t>Plafonnement du taux</t>
  </si>
  <si>
    <t>Contrôle du taux projeté</t>
  </si>
  <si>
    <t>Rivaz</t>
  </si>
  <si>
    <t>St-Saphorin (Lavaux)</t>
  </si>
  <si>
    <t>Ormont-Dessous</t>
  </si>
  <si>
    <t>Ormont-Dessus</t>
  </si>
  <si>
    <t>Rennaz</t>
  </si>
  <si>
    <t>Roche</t>
  </si>
  <si>
    <t>Villeneuve</t>
  </si>
  <si>
    <t>Romainmôtier-Envy</t>
  </si>
  <si>
    <t>Sergey</t>
  </si>
  <si>
    <t>Valeyres-sous-Rances</t>
  </si>
  <si>
    <t>Total</t>
  </si>
  <si>
    <t>Dépenses thématiques</t>
  </si>
  <si>
    <t>Ferreyres</t>
  </si>
  <si>
    <t>Gollion</t>
  </si>
  <si>
    <t>Grancy</t>
  </si>
  <si>
    <t>Forel (Lavaux)</t>
  </si>
  <si>
    <t>Lutry</t>
  </si>
  <si>
    <t>Bremblens</t>
  </si>
  <si>
    <t>Buchillon</t>
  </si>
  <si>
    <t>Yvonand</t>
  </si>
  <si>
    <t>Yverdon-les-Bains</t>
  </si>
  <si>
    <t>Clarmont</t>
  </si>
  <si>
    <t>Denens</t>
  </si>
  <si>
    <t>Denges</t>
  </si>
  <si>
    <t>Echandens</t>
  </si>
  <si>
    <t>Echichens</t>
  </si>
  <si>
    <t>Ecublens</t>
  </si>
  <si>
    <t>Etoy</t>
  </si>
  <si>
    <t>Lavigny</t>
  </si>
  <si>
    <t>Lonay</t>
  </si>
  <si>
    <t>Lully</t>
  </si>
  <si>
    <t>Lussy-sur-Morges</t>
  </si>
  <si>
    <t>Morges</t>
  </si>
  <si>
    <t>Préverenges</t>
  </si>
  <si>
    <t>Mont-la-Ville</t>
  </si>
  <si>
    <t>Montricher</t>
  </si>
  <si>
    <t>Orny</t>
  </si>
  <si>
    <t>Pampigny</t>
  </si>
  <si>
    <t>Penthalaz</t>
  </si>
  <si>
    <t>Penthaz</t>
  </si>
  <si>
    <t>Pompaples</t>
  </si>
  <si>
    <t>La Sarraz</t>
  </si>
  <si>
    <t>Senarclens</t>
  </si>
  <si>
    <t>Sévery</t>
  </si>
  <si>
    <t>Sullens</t>
  </si>
  <si>
    <t>Vufflens-la-Ville</t>
  </si>
  <si>
    <t>Assens</t>
  </si>
  <si>
    <t>Bercher</t>
  </si>
  <si>
    <t>Bioley-Orjulaz</t>
  </si>
  <si>
    <t>Bottens</t>
  </si>
  <si>
    <t>Bretigny-sur-Morrens</t>
  </si>
  <si>
    <t>Cugy</t>
  </si>
  <si>
    <t>Echallens</t>
  </si>
  <si>
    <t>Essertines-sur-Yverdon</t>
  </si>
  <si>
    <t>Etagnières</t>
  </si>
  <si>
    <t>Fey</t>
  </si>
  <si>
    <t>Froideville</t>
  </si>
  <si>
    <t>Morrens</t>
  </si>
  <si>
    <t>Oulens-sous-Echallens</t>
  </si>
  <si>
    <t>Pailly</t>
  </si>
  <si>
    <t>Penthéréaz</t>
  </si>
  <si>
    <t>Poliez-Pittet</t>
  </si>
  <si>
    <t>Rueyres</t>
  </si>
  <si>
    <t>Sous-total</t>
  </si>
  <si>
    <t>Frontaliers</t>
  </si>
  <si>
    <t>Successions et donations</t>
  </si>
  <si>
    <t>Droits de mutation</t>
  </si>
  <si>
    <t>Gains immobiliers</t>
  </si>
  <si>
    <t>Villars-sous-Yens</t>
  </si>
  <si>
    <t>Vufflens-le-Château</t>
  </si>
  <si>
    <t>Vullierens</t>
  </si>
  <si>
    <t>Yens</t>
  </si>
  <si>
    <t>Boulens</t>
  </si>
  <si>
    <t>Bussy-sur-Moudon</t>
  </si>
  <si>
    <t>Le Chenit</t>
  </si>
  <si>
    <t>Le Lieu</t>
  </si>
  <si>
    <t>Blonay</t>
  </si>
  <si>
    <t>Chardonne</t>
  </si>
  <si>
    <t>Corseaux</t>
  </si>
  <si>
    <t>Boussens</t>
  </si>
  <si>
    <t>La Chaux (Cossonay)</t>
  </si>
  <si>
    <t>Plafonnement de l'effort</t>
  </si>
  <si>
    <t>Prise en charge dépassement</t>
  </si>
  <si>
    <t>Dépassement forêts</t>
  </si>
  <si>
    <t>Romanel-sur-Lausanne</t>
  </si>
  <si>
    <t>La Praz</t>
  </si>
  <si>
    <t>Premier</t>
  </si>
  <si>
    <t>Rances</t>
  </si>
  <si>
    <t>Begnins</t>
  </si>
  <si>
    <t>Bogis-Bossey</t>
  </si>
  <si>
    <t>Borex</t>
  </si>
  <si>
    <t>Chavannes-de-Bogis</t>
  </si>
  <si>
    <t>Chavannes-des-Bois</t>
  </si>
  <si>
    <t>Chéserex</t>
  </si>
  <si>
    <t>Coinsins</t>
  </si>
  <si>
    <t>Commugny</t>
  </si>
  <si>
    <t>Coppet</t>
  </si>
  <si>
    <t>Crans-près-Céligny</t>
  </si>
  <si>
    <t>Crassier</t>
  </si>
  <si>
    <t>Duillier</t>
  </si>
  <si>
    <t>Eysins</t>
  </si>
  <si>
    <t>Founex</t>
  </si>
  <si>
    <t>Genolier</t>
  </si>
  <si>
    <t>Gingins</t>
  </si>
  <si>
    <t>Givrins</t>
  </si>
  <si>
    <t>Gland</t>
  </si>
  <si>
    <t>Grens</t>
  </si>
  <si>
    <t>Mies</t>
  </si>
  <si>
    <t>Cottens</t>
  </si>
  <si>
    <t>Cuarnens</t>
  </si>
  <si>
    <t>Daillens</t>
  </si>
  <si>
    <t>Dizy</t>
  </si>
  <si>
    <t>Eclépens</t>
  </si>
  <si>
    <t>Pertes débiteurs</t>
  </si>
  <si>
    <t>Modif. Ant.</t>
  </si>
  <si>
    <t>Imputation forfaitaire</t>
  </si>
  <si>
    <t>Pers. physiques - revenu/fortune corrigé</t>
  </si>
  <si>
    <t>IRF corrrigé</t>
  </si>
  <si>
    <t xml:space="preserve">Pers. physiques - revenu/fortune </t>
  </si>
  <si>
    <t xml:space="preserve">IRF </t>
  </si>
  <si>
    <t>Plafond effort</t>
  </si>
  <si>
    <t>Plafond taux</t>
  </si>
  <si>
    <t>Chavannes-près-Renens</t>
  </si>
  <si>
    <t>Chigny</t>
  </si>
  <si>
    <t>Diff. De taux</t>
  </si>
  <si>
    <t>Impôt spécial affecté</t>
  </si>
  <si>
    <t>Impôt personnel</t>
  </si>
  <si>
    <t>Pers. morales bénéfice / capital</t>
  </si>
  <si>
    <t>Aigle</t>
  </si>
  <si>
    <t>Bex</t>
  </si>
  <si>
    <t>Taux après déduction de l'effort péréquatif</t>
  </si>
  <si>
    <t>Somme des efforts péréquatifs prévus</t>
  </si>
  <si>
    <t>Arnex-sur-Orbe</t>
  </si>
  <si>
    <t>Ballaigues</t>
  </si>
  <si>
    <t>Baulmes</t>
  </si>
  <si>
    <t>Bavois</t>
  </si>
  <si>
    <t>Bofflens</t>
  </si>
  <si>
    <t>Bretonnières</t>
  </si>
  <si>
    <t>Chavornay</t>
  </si>
  <si>
    <t>Les Clées</t>
  </si>
  <si>
    <t>Montagny-près-Yverdon</t>
  </si>
  <si>
    <t>Oppens</t>
  </si>
  <si>
    <t>Orges</t>
  </si>
  <si>
    <t>Ursins</t>
  </si>
  <si>
    <t>Vugelles-La Mothe</t>
  </si>
  <si>
    <t>./. Gestion du fonds</t>
  </si>
  <si>
    <t>Corcelles-le-Jorat</t>
  </si>
  <si>
    <t>Essertes</t>
  </si>
  <si>
    <t>Maracon</t>
  </si>
  <si>
    <t>Montpreveyres</t>
  </si>
  <si>
    <t>Ropraz</t>
  </si>
  <si>
    <t>Servion</t>
  </si>
  <si>
    <t>Mutrux</t>
  </si>
  <si>
    <t>Novalles</t>
  </si>
  <si>
    <t>Onnens</t>
  </si>
  <si>
    <t>Provence</t>
  </si>
  <si>
    <t>Recettes conjoncturelles en pts</t>
  </si>
  <si>
    <t>A répartir selon clé</t>
  </si>
  <si>
    <t>en % de la moyenne</t>
  </si>
  <si>
    <t>Seuil 1</t>
  </si>
  <si>
    <t>Seuil 2</t>
  </si>
  <si>
    <t>Total écrêtage</t>
  </si>
  <si>
    <t>Montant à recevoir</t>
  </si>
  <si>
    <t>Total à recevoir</t>
  </si>
  <si>
    <t>Savigny</t>
  </si>
  <si>
    <t>Chexbres</t>
  </si>
  <si>
    <t>Villars-Epeney</t>
  </si>
  <si>
    <t>Puidoux</t>
  </si>
  <si>
    <t>Bussy-Chardonney</t>
  </si>
  <si>
    <t>Total transports</t>
  </si>
  <si>
    <t>Dépassement transports</t>
  </si>
  <si>
    <t>Population</t>
  </si>
  <si>
    <t>Capacité fiscale totale</t>
  </si>
  <si>
    <t>Montant perçu</t>
  </si>
  <si>
    <t>Bas</t>
  </si>
  <si>
    <t>Seuils de population</t>
  </si>
  <si>
    <t>Haut</t>
  </si>
  <si>
    <t>Montants</t>
  </si>
  <si>
    <t>Compensation brute</t>
  </si>
  <si>
    <t>Reverolle</t>
  </si>
  <si>
    <t>Romanel-sur-Morges</t>
  </si>
  <si>
    <t>Saint-Prex</t>
  </si>
  <si>
    <t>Saint-Sulpice</t>
  </si>
  <si>
    <t>Tolochenaz</t>
  </si>
  <si>
    <t>Vaux-sur-Morges</t>
  </si>
  <si>
    <t>Villars-Sainte-Croix</t>
  </si>
  <si>
    <t>La Rippe</t>
  </si>
  <si>
    <t>Saint-Cergue</t>
  </si>
  <si>
    <t>Signy-Avenex</t>
  </si>
  <si>
    <t>Tannay</t>
  </si>
  <si>
    <t>Trélex</t>
  </si>
  <si>
    <t>Le Vaud</t>
  </si>
  <si>
    <t>Vich</t>
  </si>
  <si>
    <t>L'Abergement</t>
  </si>
  <si>
    <t>Agiez</t>
  </si>
  <si>
    <t>Péréquation directe</t>
  </si>
  <si>
    <t>Transports publics</t>
  </si>
  <si>
    <t>Transports scolaires</t>
  </si>
  <si>
    <t>Croy</t>
  </si>
  <si>
    <t>Juriens</t>
  </si>
  <si>
    <t>Lignerolle</t>
  </si>
  <si>
    <t>Montcherand</t>
  </si>
  <si>
    <t>Orbe</t>
  </si>
  <si>
    <t>Vallorbe</t>
  </si>
  <si>
    <t>Vaulion</t>
  </si>
  <si>
    <t>Vuiteboeuf</t>
  </si>
  <si>
    <t>Effort plafonné</t>
  </si>
  <si>
    <t>Impôts suivant le taux</t>
  </si>
  <si>
    <t>Féchy</t>
  </si>
  <si>
    <t>Gimel</t>
  </si>
  <si>
    <t>Saint-Livres</t>
  </si>
  <si>
    <t>Saint-Oyens</t>
  </si>
  <si>
    <t>Saubraz</t>
  </si>
  <si>
    <t>Avenches</t>
  </si>
  <si>
    <t>Cudrefin</t>
  </si>
  <si>
    <t>Faoug</t>
  </si>
  <si>
    <t>Bettens</t>
  </si>
  <si>
    <t>Bournens</t>
  </si>
  <si>
    <t>% taux communal moyen</t>
  </si>
  <si>
    <t>Compensation nette</t>
  </si>
  <si>
    <t>Différence à compenser</t>
  </si>
  <si>
    <t>A recevoir population</t>
  </si>
  <si>
    <t>Total péréquation directe</t>
  </si>
  <si>
    <t>Total éléments divers</t>
  </si>
  <si>
    <t>Effort total net</t>
  </si>
  <si>
    <t xml:space="preserve">Taux actuel </t>
  </si>
  <si>
    <t xml:space="preserve">Taux </t>
  </si>
  <si>
    <t>Longirod</t>
  </si>
  <si>
    <t>Marchissy</t>
  </si>
  <si>
    <t>Mollens</t>
  </si>
  <si>
    <t>Saint-George</t>
  </si>
  <si>
    <t>Total des prises en charges</t>
  </si>
  <si>
    <t>Effort total</t>
  </si>
  <si>
    <t>Valeur du point</t>
  </si>
  <si>
    <t>Plafonnement en francs</t>
  </si>
  <si>
    <t>Chavannes-le-Veyron</t>
  </si>
  <si>
    <t>Chevilly</t>
  </si>
  <si>
    <t>Cossonay</t>
  </si>
  <si>
    <t>./. Conjoncturelles</t>
  </si>
  <si>
    <t>./. Ecrêtage</t>
  </si>
  <si>
    <t>Paramétrage des critères de péréquation</t>
  </si>
  <si>
    <t>Prise en charge (%)</t>
  </si>
  <si>
    <t>Montants affectés aux plafonnements</t>
  </si>
  <si>
    <t>Seuil max (pts)</t>
  </si>
  <si>
    <t>Impôt sur les étrangers</t>
  </si>
  <si>
    <t>Impôt à la source</t>
  </si>
  <si>
    <t>Pers. morales immeubles</t>
  </si>
  <si>
    <t>Impôt foncier</t>
  </si>
  <si>
    <t>Vulliens</t>
  </si>
  <si>
    <t>Champtauroz</t>
  </si>
  <si>
    <t>Chevroux</t>
  </si>
  <si>
    <t>Belmont-sur-Lausanne</t>
  </si>
  <si>
    <t>Cheseaux-sur-Lausanne</t>
  </si>
  <si>
    <t>Crissier</t>
  </si>
  <si>
    <t>Epalinges</t>
  </si>
  <si>
    <t>Jouxtens-Mézery</t>
  </si>
  <si>
    <t>Mathod</t>
  </si>
  <si>
    <t>Molondin</t>
  </si>
  <si>
    <t>Renens</t>
  </si>
  <si>
    <t>Valeyres-sous-Montagny</t>
  </si>
  <si>
    <t>Valeyres-sous-Ursins</t>
  </si>
  <si>
    <t>Orzens</t>
  </si>
  <si>
    <t>Pomy</t>
  </si>
  <si>
    <t>Rovray</t>
  </si>
  <si>
    <t>Suchy</t>
  </si>
  <si>
    <t>Suscévaz</t>
  </si>
  <si>
    <t>Treycovagnes</t>
  </si>
  <si>
    <t>Aclens</t>
  </si>
  <si>
    <t>Répartition selon péréquation</t>
  </si>
  <si>
    <t>Solde péréquation directe</t>
  </si>
  <si>
    <t>Points</t>
  </si>
  <si>
    <t>Seuil 3</t>
  </si>
  <si>
    <t>Pers. physiques - revenu</t>
  </si>
  <si>
    <t xml:space="preserve">Pers. physiques - fortune </t>
  </si>
  <si>
    <t>Impôt sur la dépense (étrangers)</t>
  </si>
  <si>
    <t>Impôt récupéré après défalcation</t>
  </si>
  <si>
    <t>PPR</t>
  </si>
  <si>
    <t>PPF</t>
  </si>
  <si>
    <t>PMB</t>
  </si>
  <si>
    <t>PMC</t>
  </si>
  <si>
    <t>Montant plafonnement totaux</t>
  </si>
  <si>
    <t xml:space="preserve">Montant prélevé </t>
  </si>
  <si>
    <t xml:space="preserve">./. Plafonnements totaux </t>
  </si>
  <si>
    <t xml:space="preserve">./. Réserve </t>
  </si>
  <si>
    <t>Recettes conjoncturelles (mutations + gains immob + successions)</t>
  </si>
  <si>
    <t>A recevoir solidarité</t>
  </si>
  <si>
    <t>Solde solidarité et population</t>
  </si>
  <si>
    <t>Bourg-en-Lavaux</t>
  </si>
  <si>
    <t>Tévenon</t>
  </si>
  <si>
    <t>Vully-les-Lacs</t>
  </si>
  <si>
    <t>Goumoëns</t>
  </si>
  <si>
    <t>Montilliez</t>
  </si>
  <si>
    <t>Jorat-Menthue</t>
  </si>
  <si>
    <t>Valbroye</t>
  </si>
  <si>
    <t>Oron</t>
  </si>
  <si>
    <t>Prélèvements conjoncturels</t>
  </si>
  <si>
    <t>Variation point d'impôt</t>
  </si>
  <si>
    <t>Indexation</t>
  </si>
  <si>
    <t>Plafond aide</t>
  </si>
  <si>
    <t>Bussigny</t>
  </si>
  <si>
    <t>Arzier-Le Muids</t>
  </si>
  <si>
    <t>Montanaire</t>
  </si>
  <si>
    <t>Dépassement routes</t>
  </si>
  <si>
    <t>Droits mutations, GI, successions et donations</t>
  </si>
  <si>
    <t>Indice IPC au 1er janvier 2010</t>
  </si>
  <si>
    <t>Indice IPC au 30 juin de l'année du décompte</t>
  </si>
  <si>
    <t>Montant à affecter ajusté à l'IPC</t>
  </si>
  <si>
    <t>Population selon FAO</t>
  </si>
  <si>
    <t xml:space="preserve">Rendement des impôts et taxes communaux  (en CHF)   </t>
  </si>
  <si>
    <t>Année de référence</t>
  </si>
  <si>
    <t>Valeur du point communal</t>
  </si>
  <si>
    <t>Péréquation directe - Couche Population</t>
  </si>
  <si>
    <t>Péréquation directe - Couche Solidarité</t>
  </si>
  <si>
    <t>CHF</t>
  </si>
  <si>
    <t>Pts</t>
  </si>
  <si>
    <t>A rendre en CHF</t>
  </si>
  <si>
    <t>Effort péréquatif en points</t>
  </si>
  <si>
    <t>A) Période de calcul</t>
  </si>
  <si>
    <t>B) Prélèvement sur recettes conjoncturelles</t>
  </si>
  <si>
    <t>C) Ecrêtage</t>
  </si>
  <si>
    <t>pour une capacité dépassant</t>
  </si>
  <si>
    <t>D) Couche population</t>
  </si>
  <si>
    <t>Montant à affecter par habitant</t>
  </si>
  <si>
    <t>E) Couche solidarité</t>
  </si>
  <si>
    <t>F) Ecart péréquation horizontale</t>
  </si>
  <si>
    <t>G) Dépenses thématiques</t>
  </si>
  <si>
    <t>Transports, nombre de points</t>
  </si>
  <si>
    <t>Prise en charge maximale</t>
  </si>
  <si>
    <t>H) Paramètres de plafonnement en points</t>
  </si>
  <si>
    <t>Impôts théoriques</t>
  </si>
  <si>
    <t>Synthèse en CHF</t>
  </si>
  <si>
    <t>Ecrêtage</t>
  </si>
  <si>
    <t xml:space="preserve">J) Liste des communes A--&gt;Z </t>
  </si>
  <si>
    <t>Recettes conjoncturelles (DM + GI + Succ.)</t>
  </si>
  <si>
    <t>Répartition solde après prélèvements</t>
  </si>
  <si>
    <t>Solidarité</t>
  </si>
  <si>
    <t>Plafonnements</t>
  </si>
  <si>
    <t>Aide</t>
  </si>
  <si>
    <t>Taux</t>
  </si>
  <si>
    <t>Total de la péréquation directe</t>
  </si>
  <si>
    <t>Montant à charge de la commune</t>
  </si>
  <si>
    <t>Résumé par commune</t>
  </si>
  <si>
    <t>Imp théoriques</t>
  </si>
  <si>
    <t>Total à charge des communes</t>
  </si>
  <si>
    <t>Réforme policière</t>
  </si>
  <si>
    <t>Financement reçu pour les nouvelles tâches</t>
  </si>
  <si>
    <t>J) Réforme policière</t>
  </si>
  <si>
    <t>Nombre de point</t>
  </si>
  <si>
    <t>Charges pour commune sans police</t>
  </si>
  <si>
    <t>Répartition du solde</t>
  </si>
  <si>
    <t>Facture</t>
  </si>
  <si>
    <t>Date population</t>
  </si>
  <si>
    <t>Date taux d'impôt</t>
  </si>
  <si>
    <t>Taux IFO</t>
  </si>
  <si>
    <t>Total de la réforme policière</t>
  </si>
  <si>
    <t>Date plafonnement du taux (N-1)</t>
  </si>
  <si>
    <t>Seuil de population (habitants). Art. 2 DLPIC</t>
  </si>
  <si>
    <t>Selon Art. 3 DLPIC</t>
  </si>
  <si>
    <t>Gestion du fond (montant négatif). Art. 8 DLPIC</t>
  </si>
  <si>
    <t>% prélevé. Art. 4 LPIC</t>
  </si>
  <si>
    <t>Frontaliers. Art. 3 LPIC</t>
  </si>
  <si>
    <t>Forêts, nombre de points. Art. 4 DLPIC</t>
  </si>
  <si>
    <t>Effort maximum plafonné. Art. 5 DLPIC</t>
  </si>
  <si>
    <t>Aide maximale plafonnée. Art. 7 DLPIC</t>
  </si>
  <si>
    <t>P é r é q u a t i o n   d i r e c t e</t>
  </si>
  <si>
    <t>Treytorrens (Payerne)</t>
  </si>
  <si>
    <t>Saint-Légier-La Chiésaz</t>
  </si>
  <si>
    <t>Effort péréquatif. Art. 5 DLPIC</t>
  </si>
  <si>
    <t>Dépassement du taux. Art. 6 DLPIC</t>
  </si>
  <si>
    <t>Jorat-Mézières</t>
  </si>
  <si>
    <t xml:space="preserve">Année 2018 : </t>
  </si>
  <si>
    <t>Dès 2019 :</t>
  </si>
  <si>
    <t>Total des prises en charges pour plfd aide</t>
  </si>
  <si>
    <t>Année 2019</t>
  </si>
  <si>
    <t>Situation N-1 (plafond de l'effort)</t>
  </si>
  <si>
    <t>Situation N-1 (plafond du taux)</t>
  </si>
  <si>
    <t>Effort</t>
  </si>
  <si>
    <t>Total net</t>
  </si>
  <si>
    <t>S y n t h è s e   e n   C H F</t>
  </si>
  <si>
    <t>Taux maximum plafonné. Art. 6 DLPIC</t>
  </si>
  <si>
    <t>Seuil 4</t>
  </si>
  <si>
    <t>Seuil 5</t>
  </si>
  <si>
    <t>2019</t>
  </si>
  <si>
    <t>Valeur point impôt</t>
  </si>
  <si>
    <t>Nombre de points</t>
  </si>
  <si>
    <t>Valeur du point d'impôt</t>
  </si>
  <si>
    <t>Facture en points d'impôts</t>
  </si>
  <si>
    <t>Point impôt</t>
  </si>
  <si>
    <t>Année 2020</t>
  </si>
  <si>
    <t>Dès 2020 :</t>
  </si>
  <si>
    <t>Effort total sans les recettes conjoncturelles</t>
  </si>
  <si>
    <t>Montant prélevé en pts d'impôt</t>
  </si>
  <si>
    <t>2020</t>
  </si>
  <si>
    <t>Valeur du point d'impôt communal selon comptes 2020</t>
  </si>
  <si>
    <t xml:space="preserve">Répartition CHF </t>
  </si>
  <si>
    <t xml:space="preserve">Pers. morales bénéfice </t>
  </si>
  <si>
    <t>Pers. morales  capital</t>
  </si>
  <si>
    <t>Péréquation horizontal</t>
  </si>
  <si>
    <t xml:space="preserve"> </t>
  </si>
  <si>
    <t>P é r é q u a t i o n   i n d i r e c t e   (participation à la cohésion sociale)</t>
  </si>
  <si>
    <t>Total Routes et infrastructures</t>
  </si>
  <si>
    <t>Total Forêts</t>
  </si>
  <si>
    <t>Transports</t>
  </si>
  <si>
    <t>Forêts</t>
  </si>
  <si>
    <t>Totaux</t>
  </si>
  <si>
    <t>Acomptes*</t>
  </si>
  <si>
    <t>Décomptes</t>
  </si>
  <si>
    <t>Soldes</t>
  </si>
  <si>
    <t>(+ à payer / - à recevoir)</t>
  </si>
  <si>
    <t>Communes</t>
  </si>
  <si>
    <t>Péréquation horizontale</t>
  </si>
  <si>
    <t>Acomptes</t>
  </si>
  <si>
    <t>Décompte</t>
  </si>
  <si>
    <t>Différences</t>
  </si>
  <si>
    <t>Différence</t>
  </si>
  <si>
    <t>Participation à la cohésion sociale</t>
  </si>
  <si>
    <t xml:space="preserve">I) Indexation plafond du taux </t>
  </si>
  <si>
    <t>Communes 
LDecTer</t>
  </si>
  <si>
    <t>Péréquation indirecte</t>
  </si>
  <si>
    <t>*montants selon le fichier des acomptes initiaux adoptés par la COPAR. Ne tient pas compte des arrangements survenus en cours d'année. Les factures, respectivement les remboursements, seront gérés par les services directement concernés à savoir :
- pour la péréquation indirecte, par le département de la santé et de l'action sociale ;
- pour la péréquation directe, par la Direction générale des affaires institutionnelles et des communes (DGAIC);
- pour la réforme policière, par la police cantonale.</t>
  </si>
  <si>
    <t>Décompte 2020</t>
  </si>
  <si>
    <t>Valeur du point d'impôt communal selon comptes 2021</t>
  </si>
  <si>
    <t>Variation participation à la cohésion sociale</t>
  </si>
  <si>
    <t>Participation à la cohésion sociale selon les comptes 2020</t>
  </si>
  <si>
    <t>Participation à la cohésion sociale selon les comptes 2021</t>
  </si>
  <si>
    <t>Déduction complémentaire au montant de la PCS selon art. 17b al. 3 LOF</t>
  </si>
  <si>
    <t>Déduction supplémentaire (bouclement des comptes de l'Etat 2021)</t>
  </si>
  <si>
    <t xml:space="preserve">Autres charges de fonctionnement </t>
  </si>
  <si>
    <t>Charges d'amortissement</t>
  </si>
  <si>
    <t>Autres charges de fonctionnement</t>
  </si>
  <si>
    <t>PCS (montant 2021 avant déductions)</t>
  </si>
  <si>
    <t>Max. selon art. 4 DLPIC</t>
  </si>
  <si>
    <t>Participation totale</t>
  </si>
  <si>
    <t>Péréquation directe - Vue d'ensemble (hors dépenses thématiques)</t>
  </si>
  <si>
    <t>Décompte 2021 vs. Acomptes 2021</t>
  </si>
  <si>
    <t>Solde net actuel</t>
  </si>
  <si>
    <t>PCS</t>
  </si>
  <si>
    <t>Participation à la cohésion sociale (PCS)</t>
  </si>
  <si>
    <t>Valeur du point impôt</t>
  </si>
  <si>
    <t>Péréquation directe (hors DT)</t>
  </si>
  <si>
    <t>Plafond en points</t>
  </si>
  <si>
    <t>Effort total sans dépenses  thématiques</t>
  </si>
  <si>
    <t>Dépenses thématique</t>
  </si>
  <si>
    <t>Valeur du point d'impôt  communal</t>
  </si>
  <si>
    <t>Répartition par habitant de la facture policière</t>
  </si>
  <si>
    <t>Facture policière</t>
  </si>
  <si>
    <r>
      <t xml:space="preserve">Facturation aux communes délégatrices 
</t>
    </r>
    <r>
      <rPr>
        <i/>
        <sz val="9"/>
        <color theme="0"/>
        <rFont val="Calibri"/>
        <family val="2"/>
        <scheme val="minor"/>
      </rPr>
      <t>(au maximum l'équivalent de 2 points d'impôt communaux)</t>
    </r>
  </si>
  <si>
    <t>aide</t>
  </si>
  <si>
    <t>effort</t>
  </si>
  <si>
    <t>taux</t>
  </si>
  <si>
    <t>Plafonds</t>
  </si>
  <si>
    <t>Solde des péréquations</t>
  </si>
  <si>
    <t>Facturation du solde en points</t>
  </si>
  <si>
    <t>Communes avec police</t>
  </si>
  <si>
    <t>Total de la participation à la cohésion sociale (PCS)</t>
  </si>
  <si>
    <t>F a c t u r e   p o l i c i è r e</t>
  </si>
  <si>
    <t>T o t a l   p é r é q u a t i o n s   e t   p o l i c e</t>
  </si>
  <si>
    <t>Impôt foncier de toutes les communes</t>
  </si>
  <si>
    <t>Crans</t>
  </si>
  <si>
    <t>Dépenses thématiques à déterminer par la commune</t>
  </si>
  <si>
    <t>décompte provisoire 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</si>
</sst>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43" formatCode="_-* #,##0.00_-;\-* #,##0.00_-;_-* &quot;-&quot;??_-;_-@_-"/>
    <numFmt numFmtId="164" formatCode="_-* #,##0.00\ _C_H_F_-;\-* #,##0.00\ _C_H_F_-;_-* &quot;-&quot;??\ _C_H_F_-;_-@_-"/>
    <numFmt numFmtId="165" formatCode="_ * #,##0.00_ ;_ * \-#,##0.00_ ;_ * &quot;-&quot;??_ ;_ @_ "/>
    <numFmt numFmtId="166" formatCode="#\ ###\ ###\ ##0"/>
    <numFmt numFmtId="167" formatCode="#,##0.0"/>
    <numFmt numFmtId="168" formatCode="0.0%"/>
    <numFmt numFmtId="169" formatCode="#\ ###\ ##0"/>
    <numFmt numFmtId="170" formatCode="0.000"/>
    <numFmt numFmtId="171" formatCode="#,##0.000"/>
    <numFmt numFmtId="172" formatCode="#,##0;\-#,##0;"/>
    <numFmt numFmtId="173" formatCode="#,##0.000000"/>
    <numFmt numFmtId="174" formatCode="0.0000"/>
    <numFmt numFmtId="175" formatCode="_-* #,##0_-;\-* #,##0_-;_-* &quot;-&quot;??_-;_-@_-"/>
    <numFmt numFmtId="176" formatCode="_ * #,##0_ ;_ * \-#,##0_ ;_ * &quot;-&quot;??_ ;_ @_ "/>
    <numFmt numFmtId="177" formatCode="_-* #,##0.0_-;\-* #,##0.0_-;_-* &quot;-&quot;??_-;_-@_-"/>
    <numFmt numFmtId="178" formatCode="_ * #,##0.000_ ;_ * \-#,##0.000_ ;_ * &quot;-&quot;??_ ;_ @_ "/>
    <numFmt numFmtId="179" formatCode="0_ ;\-0\ "/>
    <numFmt numFmtId="180" formatCode="#,##0.00000"/>
    <numFmt numFmtId="181" formatCode="#,##0.00000000"/>
  </numFmts>
  <fonts count="71" x14ac:knownFonts="1">
    <font>
      <sz val="10"/>
      <name val="Verdana"/>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Verdana"/>
      <family val="2"/>
    </font>
    <font>
      <sz val="10"/>
      <name val="Arial Narrow"/>
      <family val="2"/>
    </font>
    <font>
      <sz val="10"/>
      <name val="Arial"/>
      <family val="2"/>
    </font>
    <font>
      <sz val="8"/>
      <name val="Verdana"/>
      <family val="2"/>
    </font>
    <font>
      <sz val="10"/>
      <color indexed="8"/>
      <name val="Arial"/>
      <family val="2"/>
    </font>
    <font>
      <sz val="10"/>
      <name val="Times New Roman"/>
      <family val="1"/>
    </font>
    <font>
      <sz val="14"/>
      <name val="Times New Roman"/>
      <family val="1"/>
    </font>
    <font>
      <sz val="10"/>
      <name val="MS Sans Serif"/>
      <family val="2"/>
    </font>
    <font>
      <sz val="11"/>
      <color theme="1"/>
      <name val="Calibri"/>
      <family val="2"/>
      <scheme val="minor"/>
    </font>
    <font>
      <sz val="11"/>
      <color theme="0"/>
      <name val="Calibri"/>
      <family val="2"/>
      <scheme val="minor"/>
    </font>
    <font>
      <sz val="11"/>
      <name val="Calibri"/>
      <family val="2"/>
      <scheme val="minor"/>
    </font>
    <font>
      <i/>
      <sz val="11"/>
      <name val="Calibri"/>
      <family val="2"/>
      <scheme val="minor"/>
    </font>
    <font>
      <sz val="16"/>
      <name val="Calibri"/>
      <family val="2"/>
      <scheme val="minor"/>
    </font>
    <font>
      <b/>
      <sz val="11"/>
      <name val="Calibri"/>
      <family val="2"/>
      <scheme val="minor"/>
    </font>
    <font>
      <sz val="11"/>
      <color indexed="10"/>
      <name val="Calibri"/>
      <family val="2"/>
      <scheme val="minor"/>
    </font>
    <font>
      <sz val="11"/>
      <color indexed="8"/>
      <name val="Calibri"/>
      <family val="2"/>
      <scheme val="minor"/>
    </font>
    <font>
      <sz val="24"/>
      <name val="Calibri"/>
      <family val="2"/>
      <scheme val="minor"/>
    </font>
    <font>
      <sz val="20"/>
      <name val="Calibri"/>
      <family val="2"/>
      <scheme val="minor"/>
    </font>
    <font>
      <sz val="20"/>
      <color theme="0"/>
      <name val="Calibri"/>
      <family val="2"/>
      <scheme val="minor"/>
    </font>
    <font>
      <sz val="10"/>
      <name val="Arial"/>
      <family val="2"/>
    </font>
    <font>
      <sz val="10"/>
      <name val="Calibri"/>
      <family val="2"/>
      <scheme val="minor"/>
    </font>
    <font>
      <sz val="12"/>
      <color theme="0"/>
      <name val="Trebuchet MS"/>
      <family val="2"/>
    </font>
    <font>
      <b/>
      <sz val="10"/>
      <name val="Calibri"/>
      <family val="2"/>
      <scheme val="minor"/>
    </font>
    <font>
      <sz val="14"/>
      <name val="Trebuchet MS"/>
      <family val="2"/>
    </font>
    <font>
      <sz val="11"/>
      <color theme="0"/>
      <name val="Calibri"/>
      <family val="2"/>
    </font>
    <font>
      <sz val="11"/>
      <name val="Calibri"/>
      <family val="2"/>
    </font>
    <font>
      <sz val="8"/>
      <name val="Helvetica"/>
    </font>
    <font>
      <sz val="10"/>
      <name val="Arial"/>
      <family val="2"/>
    </font>
    <font>
      <sz val="10"/>
      <color indexed="8"/>
      <name val="Arial"/>
      <family val="2"/>
    </font>
    <font>
      <sz val="11"/>
      <color indexed="8"/>
      <name val="Calibri"/>
      <family val="2"/>
    </font>
    <font>
      <sz val="11"/>
      <color indexed="9"/>
      <name val="Calibri"/>
      <family val="2"/>
    </font>
    <font>
      <sz val="11"/>
      <color indexed="10"/>
      <name val="Calibri"/>
      <family val="2"/>
    </font>
    <font>
      <b/>
      <sz val="11"/>
      <color indexed="52"/>
      <name val="Calibri"/>
      <family val="2"/>
    </font>
    <font>
      <sz val="11"/>
      <color indexed="52"/>
      <name val="Calibri"/>
      <family val="2"/>
    </font>
    <font>
      <sz val="11"/>
      <color indexed="62"/>
      <name val="Calibri"/>
      <family val="2"/>
    </font>
    <font>
      <sz val="11"/>
      <color indexed="20"/>
      <name val="Calibri"/>
      <family val="2"/>
    </font>
    <font>
      <sz val="11"/>
      <color indexed="60"/>
      <name val="Calibri"/>
      <family val="2"/>
    </font>
    <font>
      <sz val="11"/>
      <color indexed="17"/>
      <name val="Calibri"/>
      <family val="2"/>
    </font>
    <font>
      <b/>
      <sz val="11"/>
      <color indexed="63"/>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8"/>
      <name val="Calibri"/>
      <family val="2"/>
    </font>
    <font>
      <b/>
      <sz val="11"/>
      <color indexed="9"/>
      <name val="Calibri"/>
      <family val="2"/>
    </font>
    <font>
      <b/>
      <sz val="9"/>
      <name val="Calibri"/>
      <family val="2"/>
      <scheme val="minor"/>
    </font>
    <font>
      <b/>
      <sz val="9"/>
      <color theme="1"/>
      <name val="Calibri"/>
      <family val="2"/>
      <scheme val="minor"/>
    </font>
    <font>
      <b/>
      <sz val="9"/>
      <color indexed="81"/>
      <name val="Tahoma"/>
      <family val="2"/>
    </font>
    <font>
      <sz val="8"/>
      <name val="Calibri"/>
      <family val="2"/>
      <scheme val="minor"/>
    </font>
    <font>
      <sz val="9"/>
      <name val="Calibri"/>
      <family val="2"/>
      <scheme val="minor"/>
    </font>
    <font>
      <b/>
      <sz val="16"/>
      <name val="Calibri"/>
      <family val="2"/>
      <scheme val="minor"/>
    </font>
    <font>
      <i/>
      <sz val="9"/>
      <color theme="0"/>
      <name val="Calibri"/>
      <family val="2"/>
      <scheme val="minor"/>
    </font>
  </fonts>
  <fills count="40">
    <fill>
      <patternFill patternType="none"/>
    </fill>
    <fill>
      <patternFill patternType="gray125"/>
    </fill>
    <fill>
      <patternFill patternType="solid">
        <fgColor indexed="22"/>
        <bgColor indexed="64"/>
      </patternFill>
    </fill>
    <fill>
      <patternFill patternType="solid">
        <fgColor theme="0" tint="-0.249977111117893"/>
        <bgColor indexed="64"/>
      </patternFill>
    </fill>
    <fill>
      <patternFill patternType="solid">
        <fgColor theme="0"/>
        <bgColor indexed="64"/>
      </patternFill>
    </fill>
    <fill>
      <patternFill patternType="solid">
        <fgColor rgb="FF92D050"/>
        <bgColor indexed="64"/>
      </patternFill>
    </fill>
    <fill>
      <patternFill patternType="solid">
        <fgColor rgb="FF00B050"/>
        <bgColor indexed="64"/>
      </patternFill>
    </fill>
    <fill>
      <patternFill patternType="solid">
        <fgColor rgb="FFFFC000"/>
        <bgColor indexed="64"/>
      </patternFill>
    </fill>
    <fill>
      <patternFill patternType="solid">
        <fgColor theme="3" tint="0.59999389629810485"/>
        <bgColor indexed="64"/>
      </patternFill>
    </fill>
    <fill>
      <patternFill patternType="solid">
        <fgColor rgb="FF002060"/>
        <bgColor indexed="64"/>
      </patternFill>
    </fill>
    <fill>
      <patternFill patternType="solid">
        <fgColor theme="5" tint="0.59999389629810485"/>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43"/>
      </patternFill>
    </fill>
    <fill>
      <patternFill patternType="solid">
        <fgColor indexed="55"/>
      </patternFill>
    </fill>
    <fill>
      <patternFill patternType="solid">
        <fgColor theme="6" tint="0.59999389629810485"/>
        <bgColor indexed="64"/>
      </patternFill>
    </fill>
    <fill>
      <patternFill patternType="solid">
        <fgColor theme="2" tint="-0.249977111117893"/>
        <bgColor indexed="64"/>
      </patternFill>
    </fill>
    <fill>
      <patternFill patternType="solid">
        <fgColor theme="0" tint="-0.14999847407452621"/>
        <bgColor indexed="64"/>
      </patternFill>
    </fill>
    <fill>
      <patternFill patternType="solid">
        <fgColor theme="4" tint="0.39997558519241921"/>
        <bgColor indexed="64"/>
      </patternFill>
    </fill>
    <fill>
      <patternFill patternType="solid">
        <fgColor theme="0" tint="-0.34998626667073579"/>
        <bgColor indexed="64"/>
      </patternFill>
    </fill>
    <fill>
      <patternFill patternType="solid">
        <fgColor rgb="FFFFFF00"/>
        <bgColor indexed="64"/>
      </patternFill>
    </fill>
    <fill>
      <patternFill patternType="solid">
        <fgColor rgb="FFFF0000"/>
        <bgColor indexed="64"/>
      </patternFill>
    </fill>
    <fill>
      <patternFill patternType="solid">
        <fgColor rgb="FFC00000"/>
        <bgColor indexed="64"/>
      </patternFill>
    </fill>
  </fills>
  <borders count="33">
    <border>
      <left/>
      <right/>
      <top/>
      <bottom/>
      <diagonal/>
    </border>
    <border>
      <left/>
      <right/>
      <top style="medium">
        <color indexed="64"/>
      </top>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double">
        <color indexed="63"/>
      </left>
      <right style="double">
        <color indexed="63"/>
      </right>
      <top style="double">
        <color indexed="63"/>
      </top>
      <bottom style="double">
        <color indexed="63"/>
      </bottom>
      <diagonal/>
    </border>
    <border>
      <left/>
      <right/>
      <top style="medium">
        <color indexed="8"/>
      </top>
      <bottom/>
      <diagonal/>
    </border>
    <border>
      <left style="hair">
        <color indexed="8"/>
      </left>
      <right style="hair">
        <color indexed="8"/>
      </right>
      <top style="hair">
        <color indexed="8"/>
      </top>
      <bottom style="hair">
        <color indexed="8"/>
      </bottom>
      <diagonal/>
    </border>
    <border>
      <left/>
      <right style="thin">
        <color theme="0"/>
      </right>
      <top/>
      <bottom style="thin">
        <color theme="0"/>
      </bottom>
      <diagonal/>
    </border>
    <border>
      <left/>
      <right/>
      <top/>
      <bottom style="thin">
        <color theme="0"/>
      </bottom>
      <diagonal/>
    </border>
    <border>
      <left/>
      <right style="thin">
        <color theme="0"/>
      </right>
      <top/>
      <bottom/>
      <diagonal/>
    </border>
    <border>
      <left style="thin">
        <color theme="0"/>
      </left>
      <right style="thin">
        <color theme="0"/>
      </right>
      <top/>
      <bottom style="thin">
        <color indexed="64"/>
      </bottom>
      <diagonal/>
    </border>
    <border>
      <left/>
      <right style="thin">
        <color theme="0"/>
      </right>
      <top/>
      <bottom style="thin">
        <color indexed="64"/>
      </bottom>
      <diagonal/>
    </border>
  </borders>
  <cellStyleXfs count="668">
    <xf numFmtId="0" fontId="0" fillId="0" borderId="0"/>
    <xf numFmtId="0" fontId="23" fillId="0" borderId="1"/>
    <xf numFmtId="0" fontId="24" fillId="0" borderId="0"/>
    <xf numFmtId="0" fontId="23" fillId="0" borderId="2">
      <alignment vertical="top"/>
    </xf>
    <xf numFmtId="43" fontId="18" fillId="0" borderId="0" applyFont="0" applyFill="0" applyBorder="0" applyAlignment="0" applyProtection="0"/>
    <xf numFmtId="165" fontId="20" fillId="0" borderId="0" applyFont="0" applyFill="0" applyBorder="0" applyAlignment="0" applyProtection="0"/>
    <xf numFmtId="165" fontId="26" fillId="0" borderId="0" applyFont="0" applyFill="0" applyBorder="0" applyAlignment="0" applyProtection="0"/>
    <xf numFmtId="0" fontId="25" fillId="0" borderId="0"/>
    <xf numFmtId="0" fontId="22" fillId="0" borderId="0"/>
    <xf numFmtId="0" fontId="20" fillId="0" borderId="0"/>
    <xf numFmtId="0" fontId="26" fillId="0" borderId="0"/>
    <xf numFmtId="0" fontId="19" fillId="0" borderId="0"/>
    <xf numFmtId="9" fontId="18" fillId="0" borderId="0" applyFont="0" applyFill="0" applyBorder="0" applyAlignment="0" applyProtection="0"/>
    <xf numFmtId="9" fontId="20" fillId="0" borderId="0" applyFont="0" applyFill="0" applyBorder="0" applyAlignment="0" applyProtection="0"/>
    <xf numFmtId="165" fontId="37" fillId="0" borderId="0" applyFont="0" applyFill="0" applyBorder="0" applyAlignment="0" applyProtection="0"/>
    <xf numFmtId="0" fontId="37" fillId="0" borderId="0"/>
    <xf numFmtId="165" fontId="15" fillId="0" borderId="0" applyFont="0" applyFill="0" applyBorder="0" applyAlignment="0" applyProtection="0"/>
    <xf numFmtId="0" fontId="15" fillId="0" borderId="0"/>
    <xf numFmtId="0" fontId="18"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0" fontId="14" fillId="0" borderId="0"/>
    <xf numFmtId="0" fontId="14" fillId="0" borderId="0"/>
    <xf numFmtId="0" fontId="20" fillId="0" borderId="0"/>
    <xf numFmtId="165" fontId="13" fillId="0" borderId="0" applyFont="0" applyFill="0" applyBorder="0" applyAlignment="0" applyProtection="0"/>
    <xf numFmtId="0" fontId="13" fillId="0" borderId="0"/>
    <xf numFmtId="165" fontId="13" fillId="0" borderId="0" applyFont="0" applyFill="0" applyBorder="0" applyAlignment="0" applyProtection="0"/>
    <xf numFmtId="0" fontId="13" fillId="0" borderId="0"/>
    <xf numFmtId="165" fontId="13" fillId="0" borderId="0" applyFont="0" applyFill="0" applyBorder="0" applyAlignment="0" applyProtection="0"/>
    <xf numFmtId="0" fontId="13" fillId="0" borderId="0"/>
    <xf numFmtId="165" fontId="13" fillId="0" borderId="0" applyFont="0" applyFill="0" applyBorder="0" applyAlignment="0" applyProtection="0"/>
    <xf numFmtId="0" fontId="13" fillId="0" borderId="0"/>
    <xf numFmtId="165" fontId="13" fillId="0" borderId="0" applyFont="0" applyFill="0" applyBorder="0" applyAlignment="0" applyProtection="0"/>
    <xf numFmtId="0" fontId="13" fillId="0" borderId="0"/>
    <xf numFmtId="165" fontId="13" fillId="0" borderId="0" applyFont="0" applyFill="0" applyBorder="0" applyAlignment="0" applyProtection="0"/>
    <xf numFmtId="0" fontId="13" fillId="0" borderId="0"/>
    <xf numFmtId="165" fontId="12" fillId="0" borderId="0" applyFont="0" applyFill="0" applyBorder="0" applyAlignment="0" applyProtection="0"/>
    <xf numFmtId="0" fontId="12" fillId="0" borderId="0"/>
    <xf numFmtId="165" fontId="12" fillId="0" borderId="0" applyFont="0" applyFill="0" applyBorder="0" applyAlignment="0" applyProtection="0"/>
    <xf numFmtId="0" fontId="12" fillId="0" borderId="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0" fontId="12" fillId="0" borderId="0"/>
    <xf numFmtId="0" fontId="12" fillId="0" borderId="0"/>
    <xf numFmtId="0" fontId="12" fillId="0" borderId="0"/>
    <xf numFmtId="0" fontId="12" fillId="0" borderId="0"/>
    <xf numFmtId="165" fontId="12" fillId="0" borderId="0" applyFont="0" applyFill="0" applyBorder="0" applyAlignment="0" applyProtection="0"/>
    <xf numFmtId="0" fontId="12" fillId="0" borderId="0"/>
    <xf numFmtId="165" fontId="12" fillId="0" borderId="0" applyFont="0" applyFill="0" applyBorder="0" applyAlignment="0" applyProtection="0"/>
    <xf numFmtId="0" fontId="12" fillId="0" borderId="0"/>
    <xf numFmtId="165" fontId="12" fillId="0" borderId="0" applyFont="0" applyFill="0" applyBorder="0" applyAlignment="0" applyProtection="0"/>
    <xf numFmtId="0" fontId="12" fillId="0" borderId="0"/>
    <xf numFmtId="165" fontId="12" fillId="0" borderId="0" applyFont="0" applyFill="0" applyBorder="0" applyAlignment="0" applyProtection="0"/>
    <xf numFmtId="0" fontId="12" fillId="0" borderId="0"/>
    <xf numFmtId="165" fontId="12" fillId="0" borderId="0" applyFont="0" applyFill="0" applyBorder="0" applyAlignment="0" applyProtection="0"/>
    <xf numFmtId="0" fontId="12" fillId="0" borderId="0"/>
    <xf numFmtId="165" fontId="12" fillId="0" borderId="0" applyFont="0" applyFill="0" applyBorder="0" applyAlignment="0" applyProtection="0"/>
    <xf numFmtId="0" fontId="12" fillId="0" borderId="0"/>
    <xf numFmtId="0" fontId="11" fillId="0" borderId="0"/>
    <xf numFmtId="165" fontId="11" fillId="0" borderId="0" applyFont="0" applyFill="0" applyBorder="0" applyAlignment="0" applyProtection="0"/>
    <xf numFmtId="165" fontId="11" fillId="0" borderId="0" applyFont="0" applyFill="0" applyBorder="0" applyAlignment="0" applyProtection="0"/>
    <xf numFmtId="0" fontId="11" fillId="0" borderId="0"/>
    <xf numFmtId="165" fontId="11" fillId="0" borderId="0" applyFont="0" applyFill="0" applyBorder="0" applyAlignment="0" applyProtection="0"/>
    <xf numFmtId="0" fontId="11" fillId="0" borderId="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164" fontId="11" fillId="0" borderId="0" applyFont="0" applyFill="0" applyBorder="0" applyAlignment="0" applyProtection="0"/>
    <xf numFmtId="0" fontId="20" fillId="0" borderId="0"/>
    <xf numFmtId="0" fontId="20" fillId="0" borderId="0"/>
    <xf numFmtId="165" fontId="11" fillId="0" borderId="0" applyFont="0" applyFill="0" applyBorder="0" applyAlignment="0" applyProtection="0"/>
    <xf numFmtId="0" fontId="11" fillId="0" borderId="0"/>
    <xf numFmtId="165" fontId="11" fillId="0" borderId="0" applyFont="0" applyFill="0" applyBorder="0" applyAlignment="0" applyProtection="0"/>
    <xf numFmtId="0" fontId="11" fillId="0" borderId="0"/>
    <xf numFmtId="165" fontId="11" fillId="0" borderId="0" applyFont="0" applyFill="0" applyBorder="0" applyAlignment="0" applyProtection="0"/>
    <xf numFmtId="165" fontId="11" fillId="0" borderId="0" applyFont="0" applyFill="0" applyBorder="0" applyAlignment="0" applyProtection="0"/>
    <xf numFmtId="0" fontId="11" fillId="0" borderId="0"/>
    <xf numFmtId="165" fontId="11" fillId="0" borderId="0" applyFont="0" applyFill="0" applyBorder="0" applyAlignment="0" applyProtection="0"/>
    <xf numFmtId="0" fontId="11" fillId="0" borderId="0"/>
    <xf numFmtId="165" fontId="9" fillId="0" borderId="0" applyFont="0" applyFill="0" applyBorder="0" applyAlignment="0" applyProtection="0"/>
    <xf numFmtId="0" fontId="9" fillId="0" borderId="0"/>
    <xf numFmtId="165" fontId="9" fillId="0" borderId="0" applyFont="0" applyFill="0" applyBorder="0" applyAlignment="0" applyProtection="0"/>
    <xf numFmtId="0" fontId="9" fillId="0" borderId="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0" fontId="9" fillId="0" borderId="0"/>
    <xf numFmtId="0" fontId="9" fillId="0" borderId="0"/>
    <xf numFmtId="0" fontId="9" fillId="0" borderId="0"/>
    <xf numFmtId="0" fontId="9" fillId="0" borderId="0"/>
    <xf numFmtId="165" fontId="9" fillId="0" borderId="0" applyFont="0" applyFill="0" applyBorder="0" applyAlignment="0" applyProtection="0"/>
    <xf numFmtId="0" fontId="9" fillId="0" borderId="0"/>
    <xf numFmtId="165" fontId="9" fillId="0" borderId="0" applyFont="0" applyFill="0" applyBorder="0" applyAlignment="0" applyProtection="0"/>
    <xf numFmtId="0" fontId="9" fillId="0" borderId="0"/>
    <xf numFmtId="165" fontId="9" fillId="0" borderId="0" applyFont="0" applyFill="0" applyBorder="0" applyAlignment="0" applyProtection="0"/>
    <xf numFmtId="0" fontId="9" fillId="0" borderId="0"/>
    <xf numFmtId="165" fontId="9" fillId="0" borderId="0" applyFont="0" applyFill="0" applyBorder="0" applyAlignment="0" applyProtection="0"/>
    <xf numFmtId="0" fontId="9" fillId="0" borderId="0"/>
    <xf numFmtId="165" fontId="9" fillId="0" borderId="0" applyFont="0" applyFill="0" applyBorder="0" applyAlignment="0" applyProtection="0"/>
    <xf numFmtId="0" fontId="9" fillId="0" borderId="0"/>
    <xf numFmtId="165" fontId="9" fillId="0" borderId="0" applyFont="0" applyFill="0" applyBorder="0" applyAlignment="0" applyProtection="0"/>
    <xf numFmtId="0" fontId="9" fillId="0" borderId="0"/>
    <xf numFmtId="0" fontId="8" fillId="0" borderId="0"/>
    <xf numFmtId="165" fontId="8" fillId="0" borderId="0" applyFont="0" applyFill="0" applyBorder="0" applyAlignment="0" applyProtection="0"/>
    <xf numFmtId="0" fontId="7" fillId="0" borderId="0"/>
    <xf numFmtId="165" fontId="7" fillId="0" borderId="0" applyFont="0" applyFill="0" applyBorder="0" applyAlignment="0" applyProtection="0"/>
    <xf numFmtId="0" fontId="7" fillId="0" borderId="0"/>
    <xf numFmtId="165" fontId="7" fillId="0" borderId="0" applyFont="0" applyFill="0" applyBorder="0" applyAlignment="0" applyProtection="0"/>
    <xf numFmtId="0" fontId="7" fillId="0" borderId="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0" fontId="7" fillId="0" borderId="0"/>
    <xf numFmtId="0" fontId="7" fillId="0" borderId="0"/>
    <xf numFmtId="0" fontId="7" fillId="0" borderId="0"/>
    <xf numFmtId="0" fontId="7" fillId="0" borderId="0"/>
    <xf numFmtId="164" fontId="7" fillId="0" borderId="0" applyFont="0" applyFill="0" applyBorder="0" applyAlignment="0" applyProtection="0"/>
    <xf numFmtId="165" fontId="7" fillId="0" borderId="0" applyFont="0" applyFill="0" applyBorder="0" applyAlignment="0" applyProtection="0"/>
    <xf numFmtId="0" fontId="7" fillId="0" borderId="0"/>
    <xf numFmtId="165" fontId="7" fillId="0" borderId="0" applyFont="0" applyFill="0" applyBorder="0" applyAlignment="0" applyProtection="0"/>
    <xf numFmtId="0" fontId="7" fillId="0" borderId="0"/>
    <xf numFmtId="0" fontId="6" fillId="0" borderId="0"/>
    <xf numFmtId="9" fontId="6" fillId="0" borderId="0" applyFont="0" applyFill="0" applyBorder="0" applyAlignment="0" applyProtection="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applyFont="0" applyFill="0" applyBorder="0" applyAlignment="0" applyProtection="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3" fillId="0" borderId="0" applyFont="0" applyFill="0" applyBorder="0" applyAlignment="0" applyProtection="0"/>
    <xf numFmtId="0" fontId="3" fillId="0" borderId="0"/>
    <xf numFmtId="165" fontId="3" fillId="0" borderId="0" applyFont="0" applyFill="0" applyBorder="0" applyAlignment="0" applyProtection="0"/>
    <xf numFmtId="0" fontId="3" fillId="0" borderId="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0" fontId="3" fillId="0" borderId="0"/>
    <xf numFmtId="0" fontId="3" fillId="0" borderId="0"/>
    <xf numFmtId="0" fontId="3" fillId="0" borderId="0"/>
    <xf numFmtId="0" fontId="3" fillId="0" borderId="0"/>
    <xf numFmtId="164" fontId="3" fillId="0" borderId="0" applyFont="0" applyFill="0" applyBorder="0" applyAlignment="0" applyProtection="0"/>
    <xf numFmtId="165" fontId="3" fillId="0" borderId="0" applyFont="0" applyFill="0" applyBorder="0" applyAlignment="0" applyProtection="0"/>
    <xf numFmtId="0" fontId="3" fillId="0" borderId="0"/>
    <xf numFmtId="165" fontId="3" fillId="0" borderId="0" applyFont="0" applyFill="0" applyBorder="0" applyAlignment="0" applyProtection="0"/>
    <xf numFmtId="0" fontId="3"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0"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44" fillId="0" borderId="5" applyBorder="0">
      <alignment horizontal="center" textRotation="90"/>
    </xf>
    <xf numFmtId="0" fontId="45" fillId="0" borderId="0"/>
    <xf numFmtId="0" fontId="2" fillId="0" borderId="0"/>
    <xf numFmtId="9"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165" fontId="2" fillId="0" borderId="0" applyFont="0" applyFill="0" applyBorder="0" applyAlignment="0" applyProtection="0"/>
    <xf numFmtId="0" fontId="2" fillId="0" borderId="0"/>
    <xf numFmtId="9" fontId="18"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43" fontId="18"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0" fillId="0" borderId="0"/>
    <xf numFmtId="0" fontId="46" fillId="0" borderId="0">
      <alignment vertical="top"/>
    </xf>
    <xf numFmtId="0" fontId="47" fillId="11" borderId="0" applyNumberFormat="0" applyBorder="0" applyAlignment="0" applyProtection="0"/>
    <xf numFmtId="0" fontId="47" fillId="12" borderId="0" applyNumberFormat="0" applyBorder="0" applyAlignment="0" applyProtection="0"/>
    <xf numFmtId="0" fontId="47" fillId="13" borderId="0" applyNumberFormat="0" applyBorder="0" applyAlignment="0" applyProtection="0"/>
    <xf numFmtId="0" fontId="47" fillId="14" borderId="0" applyNumberFormat="0" applyBorder="0" applyAlignment="0" applyProtection="0"/>
    <xf numFmtId="0" fontId="47" fillId="15"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47" fillId="18" borderId="0" applyNumberFormat="0" applyBorder="0" applyAlignment="0" applyProtection="0"/>
    <xf numFmtId="0" fontId="47" fillId="19" borderId="0" applyNumberFormat="0" applyBorder="0" applyAlignment="0" applyProtection="0"/>
    <xf numFmtId="0" fontId="47" fillId="14" borderId="0" applyNumberFormat="0" applyBorder="0" applyAlignment="0" applyProtection="0"/>
    <xf numFmtId="0" fontId="47" fillId="17" borderId="0" applyNumberFormat="0" applyBorder="0" applyAlignment="0" applyProtection="0"/>
    <xf numFmtId="0" fontId="47" fillId="20" borderId="0" applyNumberFormat="0" applyBorder="0" applyAlignment="0" applyProtection="0"/>
    <xf numFmtId="0" fontId="48" fillId="21" borderId="0" applyNumberFormat="0" applyBorder="0" applyAlignment="0" applyProtection="0"/>
    <xf numFmtId="0" fontId="48" fillId="18" borderId="0" applyNumberFormat="0" applyBorder="0" applyAlignment="0" applyProtection="0"/>
    <xf numFmtId="0" fontId="48" fillId="19" borderId="0" applyNumberFormat="0" applyBorder="0" applyAlignment="0" applyProtection="0"/>
    <xf numFmtId="0" fontId="48" fillId="22" borderId="0" applyNumberFormat="0" applyBorder="0" applyAlignment="0" applyProtection="0"/>
    <xf numFmtId="0" fontId="48" fillId="23" borderId="0" applyNumberFormat="0" applyBorder="0" applyAlignment="0" applyProtection="0"/>
    <xf numFmtId="0" fontId="48" fillId="24" borderId="0" applyNumberFormat="0" applyBorder="0" applyAlignment="0" applyProtection="0"/>
    <xf numFmtId="0" fontId="48" fillId="25" borderId="0" applyNumberFormat="0" applyBorder="0" applyAlignment="0" applyProtection="0"/>
    <xf numFmtId="0" fontId="48" fillId="26" borderId="0" applyNumberFormat="0" applyBorder="0" applyAlignment="0" applyProtection="0"/>
    <xf numFmtId="0" fontId="48" fillId="27" borderId="0" applyNumberFormat="0" applyBorder="0" applyAlignment="0" applyProtection="0"/>
    <xf numFmtId="0" fontId="48" fillId="22" borderId="0" applyNumberFormat="0" applyBorder="0" applyAlignment="0" applyProtection="0"/>
    <xf numFmtId="0" fontId="48" fillId="23" borderId="0" applyNumberFormat="0" applyBorder="0" applyAlignment="0" applyProtection="0"/>
    <xf numFmtId="0" fontId="48" fillId="28" borderId="0" applyNumberFormat="0" applyBorder="0" applyAlignment="0" applyProtection="0"/>
    <xf numFmtId="0" fontId="49" fillId="0" borderId="0" applyNumberFormat="0" applyFill="0" applyBorder="0" applyAlignment="0" applyProtection="0"/>
    <xf numFmtId="0" fontId="50" fillId="29" borderId="18" applyNumberFormat="0" applyAlignment="0" applyProtection="0"/>
    <xf numFmtId="0" fontId="51" fillId="0" borderId="19" applyNumberFormat="0" applyFill="0" applyAlignment="0" applyProtection="0"/>
    <xf numFmtId="0" fontId="52" fillId="16" borderId="18" applyNumberFormat="0" applyAlignment="0" applyProtection="0"/>
    <xf numFmtId="0" fontId="53" fillId="12" borderId="0" applyNumberFormat="0" applyBorder="0" applyAlignment="0" applyProtection="0"/>
    <xf numFmtId="165" fontId="22" fillId="0" borderId="0" applyFont="0" applyFill="0" applyBorder="0" applyAlignment="0" applyProtection="0">
      <alignment vertical="top"/>
    </xf>
    <xf numFmtId="0" fontId="54" fillId="30" borderId="0" applyNumberFormat="0" applyBorder="0" applyAlignment="0" applyProtection="0"/>
    <xf numFmtId="0" fontId="25" fillId="0" borderId="0"/>
    <xf numFmtId="0" fontId="55" fillId="13" borderId="0" applyNumberFormat="0" applyBorder="0" applyAlignment="0" applyProtection="0"/>
    <xf numFmtId="0" fontId="56" fillId="29" borderId="20" applyNumberFormat="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9" fillId="0" borderId="21" applyNumberFormat="0" applyFill="0" applyAlignment="0" applyProtection="0"/>
    <xf numFmtId="0" fontId="60" fillId="0" borderId="22" applyNumberFormat="0" applyFill="0" applyAlignment="0" applyProtection="0"/>
    <xf numFmtId="0" fontId="61" fillId="0" borderId="23" applyNumberFormat="0" applyFill="0" applyAlignment="0" applyProtection="0"/>
    <xf numFmtId="0" fontId="61" fillId="0" borderId="0" applyNumberFormat="0" applyFill="0" applyBorder="0" applyAlignment="0" applyProtection="0"/>
    <xf numFmtId="0" fontId="62" fillId="0" borderId="24" applyNumberFormat="0" applyFill="0" applyAlignment="0" applyProtection="0"/>
    <xf numFmtId="0" fontId="63" fillId="31" borderId="25" applyNumberFormat="0" applyAlignment="0" applyProtection="0"/>
    <xf numFmtId="0" fontId="2" fillId="0" borderId="0"/>
    <xf numFmtId="165" fontId="2" fillId="0" borderId="0" applyFont="0" applyFill="0" applyBorder="0" applyAlignment="0" applyProtection="0"/>
    <xf numFmtId="0" fontId="23" fillId="0" borderId="26"/>
    <xf numFmtId="0" fontId="23" fillId="0" borderId="27">
      <alignment vertical="top"/>
    </xf>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4" fontId="1" fillId="0" borderId="0" applyFont="0" applyFill="0" applyBorder="0" applyAlignment="0" applyProtection="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4" fontId="1" fillId="0" borderId="0" applyFont="0" applyFill="0" applyBorder="0" applyAlignment="0" applyProtection="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4" fontId="1" fillId="0" borderId="0" applyFont="0" applyFill="0" applyBorder="0" applyAlignment="0" applyProtection="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4" fontId="1" fillId="0" borderId="0" applyFont="0" applyFill="0" applyBorder="0" applyAlignment="0" applyProtection="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4" fontId="1" fillId="0" borderId="0" applyFont="0" applyFill="0" applyBorder="0" applyAlignment="0" applyProtection="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cellStyleXfs>
  <cellXfs count="632">
    <xf numFmtId="0" fontId="0" fillId="0" borderId="0" xfId="0"/>
    <xf numFmtId="175" fontId="28" fillId="0" borderId="0" xfId="4" applyNumberFormat="1" applyFont="1" applyFill="1" applyBorder="1"/>
    <xf numFmtId="175" fontId="28" fillId="3" borderId="5" xfId="4" applyNumberFormat="1" applyFont="1" applyFill="1" applyBorder="1"/>
    <xf numFmtId="0" fontId="28" fillId="4" borderId="0" xfId="0" applyNumberFormat="1" applyFont="1" applyFill="1" applyAlignment="1">
      <alignment horizontal="left"/>
    </xf>
    <xf numFmtId="0" fontId="28" fillId="4" borderId="0" xfId="0" applyNumberFormat="1" applyFont="1" applyFill="1" applyAlignment="1">
      <alignment horizontal="center"/>
    </xf>
    <xf numFmtId="175" fontId="28" fillId="4" borderId="0" xfId="4" applyNumberFormat="1" applyFont="1" applyFill="1" applyAlignment="1">
      <alignment horizontal="center"/>
    </xf>
    <xf numFmtId="175" fontId="28" fillId="4" borderId="0" xfId="4" applyNumberFormat="1" applyFont="1" applyFill="1"/>
    <xf numFmtId="0" fontId="28" fillId="4" borderId="14" xfId="0" applyNumberFormat="1" applyFont="1" applyFill="1" applyBorder="1" applyAlignment="1">
      <alignment horizontal="center"/>
    </xf>
    <xf numFmtId="0" fontId="28" fillId="4" borderId="5" xfId="0" applyNumberFormat="1" applyFont="1" applyFill="1" applyBorder="1" applyAlignment="1">
      <alignment horizontal="center"/>
    </xf>
    <xf numFmtId="3" fontId="28" fillId="4" borderId="9" xfId="0" applyNumberFormat="1" applyFont="1" applyFill="1" applyBorder="1"/>
    <xf numFmtId="175" fontId="28" fillId="4" borderId="5" xfId="4" applyNumberFormat="1" applyFont="1" applyFill="1" applyBorder="1"/>
    <xf numFmtId="175" fontId="28" fillId="4" borderId="14" xfId="4" applyNumberFormat="1" applyFont="1" applyFill="1" applyBorder="1"/>
    <xf numFmtId="3" fontId="28" fillId="4" borderId="0" xfId="0" applyNumberFormat="1" applyFont="1" applyFill="1"/>
    <xf numFmtId="0" fontId="28" fillId="4" borderId="0" xfId="0" applyFont="1" applyFill="1"/>
    <xf numFmtId="175" fontId="28" fillId="4" borderId="0" xfId="4" applyNumberFormat="1" applyFont="1" applyFill="1" applyBorder="1"/>
    <xf numFmtId="43" fontId="28" fillId="4" borderId="0" xfId="4" applyFont="1" applyFill="1"/>
    <xf numFmtId="0" fontId="28" fillId="4" borderId="0" xfId="0" applyFont="1" applyFill="1" applyAlignment="1">
      <alignment vertical="top" wrapText="1"/>
    </xf>
    <xf numFmtId="43" fontId="28" fillId="4" borderId="0" xfId="0" applyNumberFormat="1" applyFont="1" applyFill="1"/>
    <xf numFmtId="175" fontId="28" fillId="4" borderId="3" xfId="4" applyNumberFormat="1" applyFont="1" applyFill="1" applyBorder="1"/>
    <xf numFmtId="43" fontId="28" fillId="4" borderId="14" xfId="4" applyFont="1" applyFill="1" applyBorder="1"/>
    <xf numFmtId="175" fontId="27" fillId="6" borderId="14" xfId="4" applyNumberFormat="1" applyFont="1" applyFill="1" applyBorder="1" applyAlignment="1">
      <alignment horizontal="center"/>
    </xf>
    <xf numFmtId="166" fontId="27" fillId="6" borderId="14" xfId="0" applyNumberFormat="1" applyFont="1" applyFill="1" applyBorder="1" applyAlignment="1">
      <alignment horizontal="center"/>
    </xf>
    <xf numFmtId="0" fontId="28" fillId="4" borderId="0" xfId="0" applyFont="1" applyFill="1" applyAlignment="1">
      <alignment horizontal="center"/>
    </xf>
    <xf numFmtId="14" fontId="27" fillId="6" borderId="14" xfId="0" applyNumberFormat="1" applyFont="1" applyFill="1" applyBorder="1" applyAlignment="1">
      <alignment horizontal="center"/>
    </xf>
    <xf numFmtId="166" fontId="28" fillId="4" borderId="17" xfId="0" applyNumberFormat="1" applyFont="1" applyFill="1" applyBorder="1" applyAlignment="1">
      <alignment horizontal="center"/>
    </xf>
    <xf numFmtId="0" fontId="30" fillId="4" borderId="0" xfId="0" applyNumberFormat="1" applyFont="1" applyFill="1" applyAlignment="1">
      <alignment horizontal="left"/>
    </xf>
    <xf numFmtId="0" fontId="30" fillId="4" borderId="0" xfId="0" applyNumberFormat="1" applyFont="1" applyFill="1" applyAlignment="1">
      <alignment horizontal="center"/>
    </xf>
    <xf numFmtId="0" fontId="29" fillId="4" borderId="0" xfId="0" applyFont="1" applyFill="1"/>
    <xf numFmtId="4" fontId="28" fillId="4" borderId="0" xfId="0" applyNumberFormat="1" applyFont="1" applyFill="1"/>
    <xf numFmtId="166" fontId="28" fillId="4" borderId="0" xfId="0" applyNumberFormat="1" applyFont="1" applyFill="1" applyAlignment="1">
      <alignment horizontal="left"/>
    </xf>
    <xf numFmtId="0" fontId="28" fillId="4" borderId="14" xfId="0" applyFont="1" applyFill="1" applyBorder="1"/>
    <xf numFmtId="175" fontId="28" fillId="4" borderId="11" xfId="4" applyNumberFormat="1" applyFont="1" applyFill="1" applyBorder="1"/>
    <xf numFmtId="3" fontId="28" fillId="4" borderId="5" xfId="0" applyNumberFormat="1" applyFont="1" applyFill="1" applyBorder="1"/>
    <xf numFmtId="43" fontId="28" fillId="4" borderId="5" xfId="4" applyFont="1" applyFill="1" applyBorder="1"/>
    <xf numFmtId="2" fontId="28" fillId="4" borderId="5" xfId="0" applyNumberFormat="1" applyFont="1" applyFill="1" applyBorder="1"/>
    <xf numFmtId="2" fontId="28" fillId="4" borderId="14" xfId="0" applyNumberFormat="1" applyFont="1" applyFill="1" applyBorder="1"/>
    <xf numFmtId="175" fontId="28" fillId="4" borderId="0" xfId="0" applyNumberFormat="1" applyFont="1" applyFill="1"/>
    <xf numFmtId="175" fontId="28" fillId="5" borderId="14" xfId="4" applyNumberFormat="1" applyFont="1" applyFill="1" applyBorder="1"/>
    <xf numFmtId="175" fontId="28" fillId="3" borderId="14" xfId="4" applyNumberFormat="1" applyFont="1" applyFill="1" applyBorder="1"/>
    <xf numFmtId="3" fontId="27" fillId="6" borderId="14" xfId="0" applyNumberFormat="1" applyFont="1" applyFill="1" applyBorder="1" applyAlignment="1">
      <alignment horizontal="center"/>
    </xf>
    <xf numFmtId="0" fontId="27" fillId="6" borderId="14" xfId="0" applyNumberFormat="1" applyFont="1" applyFill="1" applyBorder="1" applyAlignment="1">
      <alignment horizontal="center"/>
    </xf>
    <xf numFmtId="175" fontId="28" fillId="4" borderId="9" xfId="4" applyNumberFormat="1" applyFont="1" applyFill="1" applyBorder="1"/>
    <xf numFmtId="3" fontId="28" fillId="4" borderId="0" xfId="11" applyNumberFormat="1" applyFont="1" applyFill="1" applyAlignment="1">
      <alignment vertical="center"/>
    </xf>
    <xf numFmtId="0" fontId="28" fillId="4" borderId="0" xfId="11" applyFont="1" applyFill="1" applyAlignment="1">
      <alignment vertical="center"/>
    </xf>
    <xf numFmtId="175" fontId="28" fillId="4" borderId="0" xfId="4" applyNumberFormat="1" applyFont="1" applyFill="1" applyAlignment="1">
      <alignment vertical="center"/>
    </xf>
    <xf numFmtId="0" fontId="28" fillId="4" borderId="0" xfId="0" applyFont="1" applyFill="1" applyBorder="1"/>
    <xf numFmtId="0" fontId="28" fillId="4" borderId="4" xfId="0" applyFont="1" applyFill="1" applyBorder="1" applyAlignment="1">
      <alignment horizontal="center"/>
    </xf>
    <xf numFmtId="167" fontId="28" fillId="4" borderId="0" xfId="0" applyNumberFormat="1" applyFont="1" applyFill="1"/>
    <xf numFmtId="0" fontId="28" fillId="4" borderId="0" xfId="0" quotePrefix="1" applyFont="1" applyFill="1"/>
    <xf numFmtId="0" fontId="28" fillId="4" borderId="5" xfId="0" applyFont="1" applyFill="1" applyBorder="1" applyAlignment="1">
      <alignment horizontal="center"/>
    </xf>
    <xf numFmtId="0" fontId="28" fillId="4" borderId="3" xfId="0" applyFont="1" applyFill="1" applyBorder="1" applyAlignment="1">
      <alignment horizontal="center"/>
    </xf>
    <xf numFmtId="1" fontId="30" fillId="4" borderId="0" xfId="11" applyNumberFormat="1" applyFont="1" applyFill="1" applyAlignment="1">
      <alignment horizontal="left" vertical="center"/>
    </xf>
    <xf numFmtId="4" fontId="28" fillId="4" borderId="0" xfId="11" applyNumberFormat="1" applyFont="1" applyFill="1" applyAlignment="1">
      <alignment vertical="center"/>
    </xf>
    <xf numFmtId="0" fontId="29" fillId="4" borderId="0" xfId="11" applyFont="1" applyFill="1"/>
    <xf numFmtId="175" fontId="28" fillId="4" borderId="4" xfId="4" applyNumberFormat="1" applyFont="1" applyFill="1" applyBorder="1"/>
    <xf numFmtId="175" fontId="28" fillId="5" borderId="5" xfId="4" applyNumberFormat="1" applyFont="1" applyFill="1" applyBorder="1"/>
    <xf numFmtId="0" fontId="28" fillId="4" borderId="0" xfId="11" applyFont="1" applyFill="1" applyBorder="1" applyAlignment="1">
      <alignment vertical="center"/>
    </xf>
    <xf numFmtId="10" fontId="28" fillId="4" borderId="0" xfId="12" applyNumberFormat="1" applyFont="1" applyFill="1" applyAlignment="1">
      <alignment vertical="center"/>
    </xf>
    <xf numFmtId="10" fontId="28" fillId="4" borderId="0" xfId="12" applyNumberFormat="1" applyFont="1" applyFill="1"/>
    <xf numFmtId="4" fontId="28" fillId="4" borderId="14" xfId="0" applyNumberFormat="1" applyFont="1" applyFill="1" applyBorder="1"/>
    <xf numFmtId="10" fontId="28" fillId="4" borderId="14" xfId="12" applyNumberFormat="1" applyFont="1" applyFill="1" applyBorder="1"/>
    <xf numFmtId="0" fontId="27" fillId="6" borderId="4" xfId="0" applyFont="1" applyFill="1" applyBorder="1" applyAlignment="1">
      <alignment horizontal="center" vertical="center" wrapText="1"/>
    </xf>
    <xf numFmtId="4" fontId="28" fillId="4" borderId="11" xfId="0" applyNumberFormat="1" applyFont="1" applyFill="1" applyBorder="1"/>
    <xf numFmtId="9" fontId="27" fillId="6" borderId="14" xfId="12" applyNumberFormat="1" applyFont="1" applyFill="1" applyBorder="1" applyAlignment="1">
      <alignment horizontal="center" vertical="center" wrapText="1"/>
    </xf>
    <xf numFmtId="0" fontId="27" fillId="6" borderId="14" xfId="0" applyFont="1" applyFill="1" applyBorder="1" applyAlignment="1">
      <alignment horizontal="center" vertical="center" wrapText="1"/>
    </xf>
    <xf numFmtId="9" fontId="27" fillId="6" borderId="14" xfId="12" applyNumberFormat="1" applyFont="1" applyFill="1" applyBorder="1" applyAlignment="1">
      <alignment horizontal="center" vertical="center"/>
    </xf>
    <xf numFmtId="43" fontId="27" fillId="6" borderId="14" xfId="4" applyFont="1" applyFill="1" applyBorder="1" applyAlignment="1">
      <alignment vertical="center" wrapText="1"/>
    </xf>
    <xf numFmtId="4" fontId="28" fillId="4" borderId="12" xfId="0" applyNumberFormat="1" applyFont="1" applyFill="1" applyBorder="1"/>
    <xf numFmtId="169" fontId="28" fillId="4" borderId="0" xfId="11" applyNumberFormat="1" applyFont="1" applyFill="1" applyAlignment="1">
      <alignment vertical="center"/>
    </xf>
    <xf numFmtId="175" fontId="28" fillId="4" borderId="15" xfId="4" applyNumberFormat="1" applyFont="1" applyFill="1" applyBorder="1"/>
    <xf numFmtId="175" fontId="28" fillId="4" borderId="16" xfId="4" applyNumberFormat="1" applyFont="1" applyFill="1" applyBorder="1"/>
    <xf numFmtId="170" fontId="28" fillId="4" borderId="0" xfId="0" applyNumberFormat="1" applyFont="1" applyFill="1"/>
    <xf numFmtId="0" fontId="28" fillId="4" borderId="0" xfId="0" applyFont="1" applyFill="1" applyAlignment="1">
      <alignment vertical="top"/>
    </xf>
    <xf numFmtId="3" fontId="28" fillId="4" borderId="0" xfId="0" applyNumberFormat="1" applyFont="1" applyFill="1" applyAlignment="1">
      <alignment vertical="top"/>
    </xf>
    <xf numFmtId="3" fontId="28" fillId="4" borderId="0" xfId="0" applyNumberFormat="1" applyFont="1" applyFill="1" applyBorder="1" applyAlignment="1">
      <alignment vertical="top" wrapText="1"/>
    </xf>
    <xf numFmtId="0" fontId="28" fillId="4" borderId="17" xfId="0" applyFont="1" applyFill="1" applyBorder="1"/>
    <xf numFmtId="0" fontId="28" fillId="4" borderId="6" xfId="0" applyFont="1" applyFill="1" applyBorder="1"/>
    <xf numFmtId="0" fontId="28" fillId="4" borderId="7" xfId="0" applyFont="1" applyFill="1" applyBorder="1"/>
    <xf numFmtId="0" fontId="28" fillId="4" borderId="14" xfId="0" applyFont="1" applyFill="1" applyBorder="1" applyAlignment="1">
      <alignment horizontal="center"/>
    </xf>
    <xf numFmtId="0" fontId="28" fillId="4" borderId="8" xfId="0" applyFont="1" applyFill="1" applyBorder="1"/>
    <xf numFmtId="0" fontId="28" fillId="4" borderId="12" xfId="0" applyFont="1" applyFill="1" applyBorder="1"/>
    <xf numFmtId="0" fontId="28" fillId="4" borderId="9" xfId="0" applyFont="1" applyFill="1" applyBorder="1"/>
    <xf numFmtId="0" fontId="28" fillId="4" borderId="11" xfId="0" applyFont="1" applyFill="1" applyBorder="1"/>
    <xf numFmtId="0" fontId="28" fillId="4" borderId="10" xfId="0" applyFont="1" applyFill="1" applyBorder="1"/>
    <xf numFmtId="0" fontId="28" fillId="4" borderId="13" xfId="0" applyFont="1" applyFill="1" applyBorder="1"/>
    <xf numFmtId="173" fontId="28" fillId="4" borderId="0" xfId="0" applyNumberFormat="1" applyFont="1" applyFill="1" applyAlignment="1">
      <alignment vertical="top"/>
    </xf>
    <xf numFmtId="175" fontId="28" fillId="4" borderId="12" xfId="4" applyNumberFormat="1" applyFont="1" applyFill="1" applyBorder="1"/>
    <xf numFmtId="43" fontId="28" fillId="4" borderId="4" xfId="4" applyFont="1" applyFill="1" applyBorder="1"/>
    <xf numFmtId="43" fontId="28" fillId="4" borderId="3" xfId="4" applyFont="1" applyFill="1" applyBorder="1"/>
    <xf numFmtId="3" fontId="28" fillId="4" borderId="8" xfId="0" applyNumberFormat="1" applyFont="1" applyFill="1" applyBorder="1"/>
    <xf numFmtId="3" fontId="28" fillId="4" borderId="10" xfId="0" applyNumberFormat="1" applyFont="1" applyFill="1" applyBorder="1"/>
    <xf numFmtId="3" fontId="28" fillId="4" borderId="17" xfId="0" applyNumberFormat="1" applyFont="1" applyFill="1" applyBorder="1"/>
    <xf numFmtId="3" fontId="28" fillId="4" borderId="13" xfId="0" applyNumberFormat="1" applyFont="1" applyFill="1" applyBorder="1" applyAlignment="1">
      <alignment horizontal="center" vertical="top" wrapText="1"/>
    </xf>
    <xf numFmtId="169" fontId="28" fillId="4" borderId="0" xfId="0" applyNumberFormat="1" applyFont="1" applyFill="1"/>
    <xf numFmtId="3" fontId="28" fillId="4" borderId="4" xfId="12" applyNumberFormat="1" applyFont="1" applyFill="1" applyBorder="1"/>
    <xf numFmtId="3" fontId="28" fillId="4" borderId="5" xfId="12" applyNumberFormat="1" applyFont="1" applyFill="1" applyBorder="1"/>
    <xf numFmtId="3" fontId="28" fillId="4" borderId="3" xfId="12" applyNumberFormat="1" applyFont="1" applyFill="1" applyBorder="1"/>
    <xf numFmtId="3" fontId="28" fillId="4" borderId="14" xfId="12" applyNumberFormat="1" applyFont="1" applyFill="1" applyBorder="1"/>
    <xf numFmtId="43" fontId="28" fillId="4" borderId="14" xfId="4" applyNumberFormat="1" applyFont="1" applyFill="1" applyBorder="1"/>
    <xf numFmtId="175" fontId="28" fillId="8" borderId="14" xfId="4" applyNumberFormat="1" applyFont="1" applyFill="1" applyBorder="1"/>
    <xf numFmtId="175" fontId="28" fillId="5" borderId="4" xfId="4" applyNumberFormat="1" applyFont="1" applyFill="1" applyBorder="1"/>
    <xf numFmtId="175" fontId="28" fillId="5" borderId="3" xfId="4" applyNumberFormat="1" applyFont="1" applyFill="1" applyBorder="1"/>
    <xf numFmtId="3" fontId="27" fillId="6" borderId="4" xfId="0" applyNumberFormat="1" applyFont="1" applyFill="1" applyBorder="1"/>
    <xf numFmtId="0" fontId="27" fillId="6" borderId="0" xfId="0" applyFont="1" applyFill="1"/>
    <xf numFmtId="0" fontId="28" fillId="4" borderId="8" xfId="0" applyFont="1" applyFill="1" applyBorder="1" applyAlignment="1">
      <alignment horizontal="center"/>
    </xf>
    <xf numFmtId="0" fontId="27" fillId="6" borderId="3" xfId="0" applyFont="1" applyFill="1" applyBorder="1" applyAlignment="1">
      <alignment horizontal="center"/>
    </xf>
    <xf numFmtId="175" fontId="28" fillId="4" borderId="13" xfId="4" applyNumberFormat="1" applyFont="1" applyFill="1" applyBorder="1"/>
    <xf numFmtId="2" fontId="28" fillId="4" borderId="0" xfId="0" applyNumberFormat="1" applyFont="1" applyFill="1"/>
    <xf numFmtId="9" fontId="28" fillId="4" borderId="0" xfId="0" applyNumberFormat="1" applyFont="1" applyFill="1"/>
    <xf numFmtId="4" fontId="28" fillId="4" borderId="14" xfId="12" applyNumberFormat="1" applyFont="1" applyFill="1" applyBorder="1"/>
    <xf numFmtId="4" fontId="28" fillId="4" borderId="0" xfId="12" applyNumberFormat="1" applyFont="1" applyFill="1" applyBorder="1"/>
    <xf numFmtId="0" fontId="28" fillId="4" borderId="16" xfId="0" applyFont="1" applyFill="1" applyBorder="1"/>
    <xf numFmtId="0" fontId="27" fillId="6" borderId="4" xfId="0" applyFont="1" applyFill="1" applyBorder="1" applyAlignment="1">
      <alignment horizontal="center" vertical="top" wrapText="1"/>
    </xf>
    <xf numFmtId="175" fontId="28" fillId="5" borderId="11" xfId="4" applyNumberFormat="1" applyFont="1" applyFill="1" applyBorder="1"/>
    <xf numFmtId="3" fontId="28" fillId="4" borderId="17" xfId="12" applyNumberFormat="1" applyFont="1" applyFill="1" applyBorder="1"/>
    <xf numFmtId="171" fontId="28" fillId="4" borderId="0" xfId="0" applyNumberFormat="1" applyFont="1" applyFill="1"/>
    <xf numFmtId="2" fontId="27" fillId="6" borderId="3" xfId="0" applyNumberFormat="1" applyFont="1" applyFill="1" applyBorder="1" applyAlignment="1">
      <alignment horizontal="center" vertical="top" wrapText="1"/>
    </xf>
    <xf numFmtId="3" fontId="28" fillId="4" borderId="7" xfId="12" applyNumberFormat="1" applyFont="1" applyFill="1" applyBorder="1"/>
    <xf numFmtId="166" fontId="28" fillId="4" borderId="14" xfId="0" applyNumberFormat="1" applyFont="1" applyFill="1" applyBorder="1" applyAlignment="1">
      <alignment horizontal="center"/>
    </xf>
    <xf numFmtId="175" fontId="28" fillId="4" borderId="7" xfId="4" applyNumberFormat="1" applyFont="1" applyFill="1" applyBorder="1"/>
    <xf numFmtId="0" fontId="27" fillId="6" borderId="17" xfId="0" applyFont="1" applyFill="1" applyBorder="1"/>
    <xf numFmtId="0" fontId="27" fillId="6" borderId="6" xfId="0" applyFont="1" applyFill="1" applyBorder="1"/>
    <xf numFmtId="0" fontId="27" fillId="6" borderId="14" xfId="0" applyFont="1" applyFill="1" applyBorder="1" applyAlignment="1">
      <alignment horizontal="center"/>
    </xf>
    <xf numFmtId="167" fontId="28" fillId="4" borderId="4" xfId="0" applyNumberFormat="1" applyFont="1" applyFill="1" applyBorder="1"/>
    <xf numFmtId="0" fontId="17" fillId="4" borderId="0" xfId="0" applyFont="1" applyFill="1" applyBorder="1" applyAlignment="1">
      <alignment horizontal="left"/>
    </xf>
    <xf numFmtId="167" fontId="28" fillId="4" borderId="5" xfId="0" applyNumberFormat="1" applyFont="1" applyFill="1" applyBorder="1"/>
    <xf numFmtId="0" fontId="17" fillId="4" borderId="0" xfId="0" applyFont="1" applyFill="1" applyAlignment="1">
      <alignment horizontal="left"/>
    </xf>
    <xf numFmtId="167" fontId="28" fillId="4" borderId="3" xfId="0" applyNumberFormat="1" applyFont="1" applyFill="1" applyBorder="1"/>
    <xf numFmtId="175" fontId="28" fillId="3" borderId="4" xfId="4" applyNumberFormat="1" applyFont="1" applyFill="1" applyBorder="1"/>
    <xf numFmtId="175" fontId="28" fillId="5" borderId="15" xfId="4" applyNumberFormat="1" applyFont="1" applyFill="1" applyBorder="1"/>
    <xf numFmtId="175" fontId="28" fillId="5" borderId="0" xfId="4" applyNumberFormat="1" applyFont="1" applyFill="1" applyBorder="1"/>
    <xf numFmtId="175" fontId="28" fillId="3" borderId="3" xfId="4" applyNumberFormat="1" applyFont="1" applyFill="1" applyBorder="1"/>
    <xf numFmtId="175" fontId="28" fillId="5" borderId="16" xfId="4" applyNumberFormat="1" applyFont="1" applyFill="1" applyBorder="1"/>
    <xf numFmtId="43" fontId="28" fillId="4" borderId="0" xfId="4" applyFont="1" applyFill="1" applyBorder="1" applyAlignment="1">
      <alignment vertical="center"/>
    </xf>
    <xf numFmtId="43" fontId="28" fillId="4" borderId="0" xfId="4" applyFont="1" applyFill="1" applyAlignment="1">
      <alignment vertical="center"/>
    </xf>
    <xf numFmtId="4" fontId="28" fillId="4" borderId="4" xfId="12" applyNumberFormat="1" applyFont="1" applyFill="1" applyBorder="1"/>
    <xf numFmtId="4" fontId="28" fillId="4" borderId="5" xfId="12" applyNumberFormat="1" applyFont="1" applyFill="1" applyBorder="1"/>
    <xf numFmtId="0" fontId="28" fillId="4" borderId="0" xfId="0" applyFont="1" applyFill="1" applyBorder="1" applyAlignment="1">
      <alignment horizontal="center" vertical="top" wrapText="1"/>
    </xf>
    <xf numFmtId="177" fontId="28" fillId="4" borderId="0" xfId="11" applyNumberFormat="1" applyFont="1" applyFill="1" applyAlignment="1">
      <alignment vertical="center"/>
    </xf>
    <xf numFmtId="177" fontId="28" fillId="4" borderId="0" xfId="0" applyNumberFormat="1" applyFont="1" applyFill="1"/>
    <xf numFmtId="177" fontId="27" fillId="6" borderId="4" xfId="0" applyNumberFormat="1" applyFont="1" applyFill="1" applyBorder="1" applyAlignment="1">
      <alignment horizontal="center" vertical="top" wrapText="1"/>
    </xf>
    <xf numFmtId="172" fontId="28" fillId="4" borderId="0" xfId="0" applyNumberFormat="1" applyFont="1" applyFill="1"/>
    <xf numFmtId="167" fontId="28" fillId="4" borderId="0" xfId="12" applyNumberFormat="1" applyFont="1" applyFill="1" applyBorder="1" applyAlignment="1">
      <alignment horizontal="center" vertical="top" wrapText="1"/>
    </xf>
    <xf numFmtId="167" fontId="28" fillId="4" borderId="12" xfId="0" applyNumberFormat="1" applyFont="1" applyFill="1" applyBorder="1"/>
    <xf numFmtId="172" fontId="28" fillId="4" borderId="0" xfId="0" applyNumberFormat="1" applyFont="1" applyFill="1" applyBorder="1"/>
    <xf numFmtId="167" fontId="28" fillId="4" borderId="11" xfId="0" applyNumberFormat="1" applyFont="1" applyFill="1" applyBorder="1"/>
    <xf numFmtId="167" fontId="28" fillId="4" borderId="13" xfId="0" applyNumberFormat="1" applyFont="1" applyFill="1" applyBorder="1"/>
    <xf numFmtId="172" fontId="28" fillId="4" borderId="14" xfId="0" applyNumberFormat="1" applyFont="1" applyFill="1" applyBorder="1"/>
    <xf numFmtId="172" fontId="28" fillId="4" borderId="0" xfId="12" applyNumberFormat="1" applyFont="1" applyFill="1" applyBorder="1"/>
    <xf numFmtId="0" fontId="32" fillId="4" borderId="0" xfId="0" applyFont="1" applyFill="1"/>
    <xf numFmtId="0" fontId="33" fillId="4" borderId="5" xfId="0" applyFont="1" applyFill="1" applyBorder="1" applyAlignment="1">
      <alignment horizontal="center"/>
    </xf>
    <xf numFmtId="0" fontId="33" fillId="4" borderId="5" xfId="0" applyFont="1" applyFill="1" applyBorder="1"/>
    <xf numFmtId="3" fontId="33" fillId="4" borderId="5" xfId="12" applyNumberFormat="1" applyFont="1" applyFill="1" applyBorder="1" applyAlignment="1">
      <alignment horizontal="right"/>
    </xf>
    <xf numFmtId="0" fontId="33" fillId="4" borderId="0" xfId="0" applyFont="1" applyFill="1"/>
    <xf numFmtId="168" fontId="28" fillId="4" borderId="0" xfId="0" applyNumberFormat="1" applyFont="1" applyFill="1"/>
    <xf numFmtId="172" fontId="28" fillId="4" borderId="14" xfId="12" applyNumberFormat="1" applyFont="1" applyFill="1" applyBorder="1"/>
    <xf numFmtId="172" fontId="33" fillId="4" borderId="4" xfId="0" applyNumberFormat="1" applyFont="1" applyFill="1" applyBorder="1"/>
    <xf numFmtId="0" fontId="28" fillId="8" borderId="0" xfId="0" applyFont="1" applyFill="1"/>
    <xf numFmtId="14" fontId="28" fillId="8" borderId="0" xfId="0" applyNumberFormat="1" applyFont="1" applyFill="1"/>
    <xf numFmtId="0" fontId="28" fillId="8" borderId="0" xfId="0" applyFont="1" applyFill="1" applyBorder="1"/>
    <xf numFmtId="0" fontId="29" fillId="8" borderId="0" xfId="0" applyFont="1" applyFill="1"/>
    <xf numFmtId="174" fontId="28" fillId="8" borderId="0" xfId="0" applyNumberFormat="1" applyFont="1" applyFill="1" applyBorder="1"/>
    <xf numFmtId="0" fontId="28" fillId="8" borderId="0" xfId="0" applyFont="1" applyFill="1" applyAlignment="1">
      <alignment horizontal="center" wrapText="1"/>
    </xf>
    <xf numFmtId="43" fontId="28" fillId="8" borderId="0" xfId="4" applyFont="1" applyFill="1"/>
    <xf numFmtId="3" fontId="28" fillId="8" borderId="0" xfId="0" applyNumberFormat="1" applyFont="1" applyFill="1"/>
    <xf numFmtId="2" fontId="28" fillId="8" borderId="0" xfId="0" applyNumberFormat="1" applyFont="1" applyFill="1"/>
    <xf numFmtId="0" fontId="28" fillId="8" borderId="0" xfId="0" applyFont="1" applyFill="1" applyAlignment="1">
      <alignment horizontal="center"/>
    </xf>
    <xf numFmtId="9" fontId="28" fillId="8" borderId="0" xfId="0" applyNumberFormat="1" applyFont="1" applyFill="1" applyBorder="1" applyAlignment="1">
      <alignment horizontal="center" vertical="top" wrapText="1"/>
    </xf>
    <xf numFmtId="2" fontId="28" fillId="8" borderId="0" xfId="0" applyNumberFormat="1" applyFont="1" applyFill="1" applyBorder="1" applyAlignment="1">
      <alignment horizontal="center"/>
    </xf>
    <xf numFmtId="10" fontId="28" fillId="8" borderId="14" xfId="0" applyNumberFormat="1" applyFont="1" applyFill="1" applyBorder="1" applyAlignment="1">
      <alignment horizontal="center" vertical="top" wrapText="1"/>
    </xf>
    <xf numFmtId="170" fontId="28" fillId="8" borderId="0" xfId="0" applyNumberFormat="1" applyFont="1" applyFill="1" applyBorder="1"/>
    <xf numFmtId="3" fontId="28" fillId="8" borderId="0" xfId="0" applyNumberFormat="1" applyFont="1" applyFill="1" applyBorder="1"/>
    <xf numFmtId="43" fontId="28" fillId="8" borderId="0" xfId="4" applyFont="1" applyFill="1" applyBorder="1"/>
    <xf numFmtId="0" fontId="28" fillId="8" borderId="14" xfId="0" applyFont="1" applyFill="1" applyBorder="1"/>
    <xf numFmtId="43" fontId="28" fillId="8" borderId="14" xfId="4" applyFont="1" applyFill="1" applyBorder="1"/>
    <xf numFmtId="0" fontId="28" fillId="8" borderId="0" xfId="0" applyFont="1" applyFill="1" applyAlignment="1">
      <alignment vertical="top"/>
    </xf>
    <xf numFmtId="0" fontId="30" fillId="8" borderId="0" xfId="0" applyFont="1" applyFill="1"/>
    <xf numFmtId="14" fontId="28" fillId="7" borderId="14" xfId="0" applyNumberFormat="1" applyFont="1" applyFill="1" applyBorder="1" applyAlignment="1">
      <alignment horizontal="center"/>
    </xf>
    <xf numFmtId="9" fontId="28" fillId="7" borderId="14" xfId="0" applyNumberFormat="1" applyFont="1" applyFill="1" applyBorder="1" applyAlignment="1">
      <alignment horizontal="center" vertical="top" wrapText="1"/>
    </xf>
    <xf numFmtId="10" fontId="28" fillId="7" borderId="14" xfId="0" applyNumberFormat="1" applyFont="1" applyFill="1" applyBorder="1" applyAlignment="1">
      <alignment horizontal="center"/>
    </xf>
    <xf numFmtId="0" fontId="28" fillId="8" borderId="0" xfId="0" applyFont="1" applyFill="1" applyBorder="1" applyAlignment="1"/>
    <xf numFmtId="0" fontId="28" fillId="8" borderId="0" xfId="0" applyFont="1" applyFill="1" applyBorder="1" applyAlignment="1">
      <alignment horizontal="left" vertical="top"/>
    </xf>
    <xf numFmtId="0" fontId="28" fillId="8" borderId="0" xfId="0" applyFont="1" applyFill="1" applyBorder="1" applyAlignment="1">
      <alignment horizontal="left"/>
    </xf>
    <xf numFmtId="3" fontId="28" fillId="7" borderId="14" xfId="0" applyNumberFormat="1" applyFont="1" applyFill="1" applyBorder="1"/>
    <xf numFmtId="3" fontId="28" fillId="8" borderId="14" xfId="0" applyNumberFormat="1" applyFont="1" applyFill="1" applyBorder="1"/>
    <xf numFmtId="3" fontId="28" fillId="8" borderId="14" xfId="0" applyNumberFormat="1" applyFont="1" applyFill="1" applyBorder="1" applyAlignment="1">
      <alignment horizontal="center"/>
    </xf>
    <xf numFmtId="9" fontId="28" fillId="7" borderId="14" xfId="0" applyNumberFormat="1" applyFont="1" applyFill="1" applyBorder="1" applyAlignment="1">
      <alignment horizontal="center"/>
    </xf>
    <xf numFmtId="0" fontId="28" fillId="7" borderId="14" xfId="0" applyFont="1" applyFill="1" applyBorder="1" applyAlignment="1">
      <alignment horizontal="center" vertical="top" wrapText="1"/>
    </xf>
    <xf numFmtId="0" fontId="28" fillId="8" borderId="4" xfId="0" applyFont="1" applyFill="1" applyBorder="1" applyAlignment="1">
      <alignment horizontal="center" vertical="center" wrapText="1"/>
    </xf>
    <xf numFmtId="176" fontId="28" fillId="8" borderId="14" xfId="4" applyNumberFormat="1" applyFont="1" applyFill="1" applyBorder="1"/>
    <xf numFmtId="175" fontId="28" fillId="8" borderId="17" xfId="4" applyNumberFormat="1" applyFont="1" applyFill="1" applyBorder="1"/>
    <xf numFmtId="0" fontId="28" fillId="8" borderId="7" xfId="0" applyFont="1" applyFill="1" applyBorder="1"/>
    <xf numFmtId="2" fontId="28" fillId="8" borderId="4" xfId="0" applyNumberFormat="1" applyFont="1" applyFill="1" applyBorder="1"/>
    <xf numFmtId="0" fontId="28" fillId="8" borderId="0" xfId="0" quotePrefix="1" applyFont="1" applyFill="1" applyBorder="1"/>
    <xf numFmtId="170" fontId="28" fillId="8" borderId="14" xfId="0" applyNumberFormat="1" applyFont="1" applyFill="1" applyBorder="1"/>
    <xf numFmtId="174" fontId="28" fillId="8" borderId="14" xfId="0" applyNumberFormat="1" applyFont="1" applyFill="1" applyBorder="1"/>
    <xf numFmtId="0" fontId="34" fillId="8" borderId="0" xfId="0" applyFont="1" applyFill="1"/>
    <xf numFmtId="0" fontId="30" fillId="8" borderId="0" xfId="0" applyFont="1" applyFill="1" applyBorder="1"/>
    <xf numFmtId="0" fontId="27" fillId="6" borderId="3" xfId="0" applyFont="1" applyFill="1" applyBorder="1" applyAlignment="1">
      <alignment horizontal="center" vertical="center" wrapText="1"/>
    </xf>
    <xf numFmtId="4" fontId="28" fillId="4" borderId="0" xfId="0" applyNumberFormat="1" applyFont="1" applyFill="1" applyBorder="1"/>
    <xf numFmtId="1" fontId="30" fillId="4" borderId="0" xfId="11" applyNumberFormat="1" applyFont="1" applyFill="1" applyAlignment="1">
      <alignment horizontal="left" vertical="center"/>
    </xf>
    <xf numFmtId="175" fontId="28" fillId="8" borderId="0" xfId="4" applyNumberFormat="1" applyFont="1" applyFill="1"/>
    <xf numFmtId="0" fontId="35" fillId="8" borderId="0" xfId="0" applyFont="1" applyFill="1"/>
    <xf numFmtId="175" fontId="35" fillId="8" borderId="0" xfId="4" applyNumberFormat="1" applyFont="1" applyFill="1"/>
    <xf numFmtId="175" fontId="27" fillId="6" borderId="0" xfId="4" applyNumberFormat="1" applyFont="1" applyFill="1"/>
    <xf numFmtId="0" fontId="35" fillId="8" borderId="0" xfId="0" applyFont="1" applyFill="1" applyAlignment="1">
      <alignment horizontal="right"/>
    </xf>
    <xf numFmtId="169" fontId="31" fillId="4" borderId="0" xfId="11" applyNumberFormat="1" applyFont="1" applyFill="1" applyAlignment="1">
      <alignment vertical="center"/>
    </xf>
    <xf numFmtId="169" fontId="31" fillId="4" borderId="0" xfId="11" applyNumberFormat="1" applyFont="1" applyFill="1" applyBorder="1" applyAlignment="1">
      <alignment vertical="center"/>
    </xf>
    <xf numFmtId="176" fontId="28" fillId="4" borderId="0" xfId="14" applyNumberFormat="1" applyFont="1" applyFill="1" applyBorder="1" applyAlignment="1">
      <alignment vertical="center"/>
    </xf>
    <xf numFmtId="0" fontId="29" fillId="4" borderId="0" xfId="11" applyFont="1" applyFill="1" applyBorder="1"/>
    <xf numFmtId="176" fontId="29" fillId="4" borderId="0" xfId="14" applyNumberFormat="1" applyFont="1" applyFill="1" applyBorder="1"/>
    <xf numFmtId="0" fontId="28" fillId="4" borderId="0" xfId="15" applyFont="1" applyFill="1"/>
    <xf numFmtId="0" fontId="28" fillId="4" borderId="0" xfId="15" applyFont="1" applyFill="1" applyBorder="1"/>
    <xf numFmtId="176" fontId="28" fillId="4" borderId="0" xfId="14" applyNumberFormat="1" applyFont="1" applyFill="1" applyBorder="1"/>
    <xf numFmtId="3" fontId="16" fillId="4" borderId="5" xfId="15" applyNumberFormat="1" applyFont="1" applyFill="1" applyBorder="1" applyAlignment="1">
      <alignment horizontal="right"/>
    </xf>
    <xf numFmtId="165" fontId="28" fillId="4" borderId="5" xfId="14" applyFont="1" applyFill="1" applyBorder="1"/>
    <xf numFmtId="176" fontId="16" fillId="4" borderId="0" xfId="14" applyNumberFormat="1" applyFont="1" applyFill="1" applyBorder="1" applyAlignment="1">
      <alignment horizontal="left"/>
    </xf>
    <xf numFmtId="3" fontId="16" fillId="4" borderId="0" xfId="15" applyNumberFormat="1" applyFont="1" applyFill="1" applyBorder="1" applyAlignment="1">
      <alignment horizontal="right"/>
    </xf>
    <xf numFmtId="176" fontId="28" fillId="4" borderId="0" xfId="15" applyNumberFormat="1" applyFont="1" applyFill="1" applyBorder="1"/>
    <xf numFmtId="3" fontId="28" fillId="4" borderId="0" xfId="15" applyNumberFormat="1" applyFont="1" applyFill="1"/>
    <xf numFmtId="0" fontId="27" fillId="4" borderId="0" xfId="15" applyFont="1" applyFill="1" applyBorder="1" applyAlignment="1">
      <alignment vertical="center"/>
    </xf>
    <xf numFmtId="176" fontId="27" fillId="4" borderId="0" xfId="14" applyNumberFormat="1" applyFont="1" applyFill="1" applyBorder="1" applyAlignment="1">
      <alignment horizontal="center" vertical="center" wrapText="1"/>
    </xf>
    <xf numFmtId="176" fontId="27" fillId="4" borderId="0" xfId="14" applyNumberFormat="1" applyFont="1" applyFill="1" applyBorder="1" applyAlignment="1">
      <alignment vertical="center"/>
    </xf>
    <xf numFmtId="0" fontId="27" fillId="4" borderId="0" xfId="15" applyFont="1" applyFill="1" applyAlignment="1">
      <alignment vertical="center"/>
    </xf>
    <xf numFmtId="0" fontId="28" fillId="4" borderId="4" xfId="15" applyFont="1" applyFill="1" applyBorder="1"/>
    <xf numFmtId="0" fontId="28" fillId="4" borderId="5" xfId="15" applyFont="1" applyFill="1" applyBorder="1"/>
    <xf numFmtId="0" fontId="27" fillId="6" borderId="4" xfId="15" applyFont="1" applyFill="1" applyBorder="1" applyAlignment="1">
      <alignment horizontal="center" vertical="center" wrapText="1"/>
    </xf>
    <xf numFmtId="175" fontId="28" fillId="4" borderId="14" xfId="4" applyNumberFormat="1" applyFont="1" applyFill="1" applyBorder="1" applyAlignment="1">
      <alignment horizontal="center"/>
    </xf>
    <xf numFmtId="0" fontId="28" fillId="7" borderId="14" xfId="0" applyFont="1" applyFill="1" applyBorder="1"/>
    <xf numFmtId="175" fontId="28" fillId="5" borderId="14" xfId="4" applyNumberFormat="1" applyFont="1" applyFill="1" applyBorder="1" applyAlignment="1">
      <alignment horizontal="center"/>
    </xf>
    <xf numFmtId="172" fontId="33" fillId="5" borderId="4" xfId="0" applyNumberFormat="1" applyFont="1" applyFill="1" applyBorder="1"/>
    <xf numFmtId="172" fontId="33" fillId="5" borderId="5" xfId="0" applyNumberFormat="1" applyFont="1" applyFill="1" applyBorder="1"/>
    <xf numFmtId="172" fontId="28" fillId="5" borderId="14" xfId="0" applyNumberFormat="1" applyFont="1" applyFill="1" applyBorder="1"/>
    <xf numFmtId="172" fontId="33" fillId="5" borderId="3" xfId="0" applyNumberFormat="1" applyFont="1" applyFill="1" applyBorder="1"/>
    <xf numFmtId="0" fontId="28" fillId="7" borderId="14" xfId="15" applyFont="1" applyFill="1" applyBorder="1" applyAlignment="1">
      <alignment horizontal="center"/>
    </xf>
    <xf numFmtId="175" fontId="28" fillId="7" borderId="3" xfId="4" applyNumberFormat="1" applyFont="1" applyFill="1" applyBorder="1" applyAlignment="1">
      <alignment horizontal="center"/>
    </xf>
    <xf numFmtId="175" fontId="28" fillId="7" borderId="14" xfId="4" applyNumberFormat="1" applyFont="1" applyFill="1" applyBorder="1"/>
    <xf numFmtId="0" fontId="28" fillId="7" borderId="14" xfId="4" applyNumberFormat="1" applyFont="1" applyFill="1" applyBorder="1" applyAlignment="1">
      <alignment horizontal="center"/>
    </xf>
    <xf numFmtId="0" fontId="39" fillId="6" borderId="0" xfId="0" applyFont="1" applyFill="1"/>
    <xf numFmtId="0" fontId="28" fillId="7" borderId="4" xfId="15" applyFont="1" applyFill="1" applyBorder="1" applyAlignment="1">
      <alignment horizontal="center"/>
    </xf>
    <xf numFmtId="0" fontId="28" fillId="7" borderId="5" xfId="15" applyFont="1" applyFill="1" applyBorder="1" applyAlignment="1">
      <alignment horizontal="center"/>
    </xf>
    <xf numFmtId="175" fontId="28" fillId="4" borderId="0" xfId="15" applyNumberFormat="1" applyFont="1" applyFill="1"/>
    <xf numFmtId="175" fontId="28" fillId="4" borderId="3" xfId="4" applyNumberFormat="1" applyFont="1" applyFill="1" applyBorder="1" applyAlignment="1">
      <alignment horizontal="center"/>
    </xf>
    <xf numFmtId="175" fontId="28" fillId="8" borderId="0" xfId="4" applyNumberFormat="1" applyFont="1" applyFill="1" applyBorder="1"/>
    <xf numFmtId="43" fontId="28" fillId="7" borderId="14" xfId="4" applyFont="1" applyFill="1" applyBorder="1" applyAlignment="1">
      <alignment horizontal="center"/>
    </xf>
    <xf numFmtId="0" fontId="38" fillId="4" borderId="0" xfId="0" applyFont="1" applyFill="1"/>
    <xf numFmtId="175" fontId="38" fillId="4" borderId="0" xfId="4" applyNumberFormat="1" applyFont="1" applyFill="1"/>
    <xf numFmtId="0" fontId="38" fillId="8" borderId="0" xfId="0" applyFont="1" applyFill="1"/>
    <xf numFmtId="175" fontId="38" fillId="3" borderId="0" xfId="4" applyNumberFormat="1" applyFont="1" applyFill="1"/>
    <xf numFmtId="43" fontId="38" fillId="4" borderId="0" xfId="4" applyFont="1" applyFill="1"/>
    <xf numFmtId="175" fontId="38" fillId="4" borderId="16" xfId="4" applyNumberFormat="1" applyFont="1" applyFill="1" applyBorder="1"/>
    <xf numFmtId="175" fontId="40" fillId="4" borderId="0" xfId="4" applyNumberFormat="1" applyFont="1" applyFill="1"/>
    <xf numFmtId="0" fontId="40" fillId="4" borderId="0" xfId="0" applyFont="1" applyFill="1"/>
    <xf numFmtId="0" fontId="38" fillId="4" borderId="0" xfId="0" applyFont="1" applyFill="1" applyAlignment="1">
      <alignment horizontal="right"/>
    </xf>
    <xf numFmtId="0" fontId="38" fillId="4" borderId="0" xfId="0" applyFont="1" applyFill="1" applyAlignment="1">
      <alignment horizontal="left"/>
    </xf>
    <xf numFmtId="43" fontId="33" fillId="4" borderId="14" xfId="4" applyFont="1" applyFill="1" applyBorder="1"/>
    <xf numFmtId="175" fontId="28" fillId="0" borderId="5" xfId="4" applyNumberFormat="1" applyFont="1" applyFill="1" applyBorder="1"/>
    <xf numFmtId="0" fontId="17" fillId="0" borderId="0" xfId="0" applyFont="1" applyFill="1" applyAlignment="1">
      <alignment horizontal="left"/>
    </xf>
    <xf numFmtId="0" fontId="28" fillId="0" borderId="0" xfId="0" applyFont="1" applyFill="1"/>
    <xf numFmtId="10" fontId="28" fillId="8" borderId="3" xfId="12" applyNumberFormat="1" applyFont="1" applyFill="1" applyBorder="1"/>
    <xf numFmtId="2" fontId="28" fillId="8" borderId="14" xfId="0" applyNumberFormat="1" applyFont="1" applyFill="1" applyBorder="1" applyAlignment="1"/>
    <xf numFmtId="2" fontId="28" fillId="7" borderId="4" xfId="0" applyNumberFormat="1" applyFont="1" applyFill="1" applyBorder="1" applyAlignment="1"/>
    <xf numFmtId="2" fontId="28" fillId="8" borderId="14" xfId="4" applyNumberFormat="1" applyFont="1" applyFill="1" applyBorder="1"/>
    <xf numFmtId="4" fontId="28" fillId="4" borderId="5" xfId="0" applyNumberFormat="1" applyFont="1" applyFill="1" applyBorder="1"/>
    <xf numFmtId="43" fontId="28" fillId="4" borderId="5" xfId="4" applyNumberFormat="1" applyFont="1" applyFill="1" applyBorder="1"/>
    <xf numFmtId="176" fontId="28" fillId="5" borderId="14" xfId="4" applyNumberFormat="1" applyFont="1" applyFill="1" applyBorder="1"/>
    <xf numFmtId="175" fontId="28" fillId="7" borderId="14" xfId="4" applyNumberFormat="1" applyFont="1" applyFill="1" applyBorder="1" applyAlignment="1">
      <alignment horizontal="center" vertical="center" wrapText="1"/>
    </xf>
    <xf numFmtId="10" fontId="28" fillId="7" borderId="17" xfId="0" applyNumberFormat="1" applyFont="1" applyFill="1" applyBorder="1" applyAlignment="1">
      <alignment horizontal="center"/>
    </xf>
    <xf numFmtId="0" fontId="28" fillId="8" borderId="14" xfId="0" applyFont="1" applyFill="1" applyBorder="1" applyAlignment="1">
      <alignment horizontal="right"/>
    </xf>
    <xf numFmtId="3" fontId="28" fillId="4" borderId="14" xfId="0" applyNumberFormat="1" applyFont="1" applyFill="1" applyBorder="1"/>
    <xf numFmtId="43" fontId="27" fillId="6" borderId="14" xfId="4" applyNumberFormat="1" applyFont="1" applyFill="1" applyBorder="1"/>
    <xf numFmtId="1" fontId="28" fillId="4" borderId="14" xfId="0" applyNumberFormat="1" applyFont="1" applyFill="1" applyBorder="1"/>
    <xf numFmtId="10" fontId="28" fillId="4" borderId="14" xfId="0" applyNumberFormat="1" applyFont="1" applyFill="1" applyBorder="1"/>
    <xf numFmtId="175" fontId="28" fillId="4" borderId="0" xfId="4" quotePrefix="1" applyNumberFormat="1" applyFont="1" applyFill="1" applyBorder="1"/>
    <xf numFmtId="10" fontId="28" fillId="4" borderId="0" xfId="0" applyNumberFormat="1" applyFont="1" applyFill="1" applyBorder="1"/>
    <xf numFmtId="43" fontId="28" fillId="7" borderId="14" xfId="4" applyNumberFormat="1" applyFont="1" applyFill="1" applyBorder="1"/>
    <xf numFmtId="43" fontId="28" fillId="4" borderId="0" xfId="4" applyNumberFormat="1" applyFont="1" applyFill="1"/>
    <xf numFmtId="175" fontId="27" fillId="6" borderId="4" xfId="4" applyNumberFormat="1" applyFont="1" applyFill="1" applyBorder="1" applyAlignment="1">
      <alignment horizontal="center" vertical="center" wrapText="1"/>
    </xf>
    <xf numFmtId="175" fontId="28" fillId="4" borderId="0" xfId="4" applyNumberFormat="1" applyFont="1" applyFill="1" applyBorder="1" applyAlignment="1">
      <alignment horizontal="center"/>
    </xf>
    <xf numFmtId="175" fontId="27" fillId="6" borderId="5" xfId="4" applyNumberFormat="1" applyFont="1" applyFill="1" applyBorder="1" applyAlignment="1">
      <alignment horizontal="center" vertical="center" wrapText="1"/>
    </xf>
    <xf numFmtId="0" fontId="27" fillId="6" borderId="4" xfId="0" applyFont="1" applyFill="1" applyBorder="1" applyAlignment="1">
      <alignment horizontal="center" vertical="center" wrapText="1"/>
    </xf>
    <xf numFmtId="175" fontId="28" fillId="4" borderId="0" xfId="4" applyNumberFormat="1" applyFont="1" applyFill="1" applyBorder="1" applyAlignment="1">
      <alignment vertical="center"/>
    </xf>
    <xf numFmtId="175" fontId="27" fillId="6" borderId="15" xfId="4" applyNumberFormat="1" applyFont="1" applyFill="1" applyBorder="1" applyAlignment="1">
      <alignment horizontal="center" vertical="center" wrapText="1"/>
    </xf>
    <xf numFmtId="175" fontId="27" fillId="6" borderId="16" xfId="4" applyNumberFormat="1" applyFont="1" applyFill="1" applyBorder="1" applyAlignment="1">
      <alignment horizontal="center" vertical="top" wrapText="1"/>
    </xf>
    <xf numFmtId="9" fontId="28" fillId="7" borderId="14" xfId="12" applyFont="1" applyFill="1" applyBorder="1"/>
    <xf numFmtId="165" fontId="28" fillId="8" borderId="0" xfId="0" applyNumberFormat="1" applyFont="1" applyFill="1"/>
    <xf numFmtId="0" fontId="28" fillId="4" borderId="0" xfId="0" applyFont="1" applyFill="1" applyBorder="1" applyAlignment="1">
      <alignment horizontal="left"/>
    </xf>
    <xf numFmtId="175" fontId="27" fillId="6" borderId="14" xfId="4" applyNumberFormat="1" applyFont="1" applyFill="1" applyBorder="1" applyAlignment="1">
      <alignment horizontal="center" vertical="center" wrapText="1"/>
    </xf>
    <xf numFmtId="3" fontId="28" fillId="4" borderId="0" xfId="0" applyNumberFormat="1" applyFont="1" applyFill="1" applyBorder="1"/>
    <xf numFmtId="3" fontId="28" fillId="4" borderId="7" xfId="0" applyNumberFormat="1" applyFont="1" applyFill="1" applyBorder="1"/>
    <xf numFmtId="0" fontId="28" fillId="4" borderId="9" xfId="0" applyFont="1" applyFill="1" applyBorder="1" applyAlignment="1">
      <alignment horizontal="center"/>
    </xf>
    <xf numFmtId="3" fontId="28" fillId="4" borderId="4" xfId="0" applyNumberFormat="1" applyFont="1" applyFill="1" applyBorder="1"/>
    <xf numFmtId="166" fontId="28" fillId="4" borderId="6" xfId="0" applyNumberFormat="1" applyFont="1" applyFill="1" applyBorder="1" applyAlignment="1">
      <alignment horizontal="center"/>
    </xf>
    <xf numFmtId="175" fontId="28" fillId="4" borderId="6" xfId="4" applyNumberFormat="1" applyFont="1" applyFill="1" applyBorder="1"/>
    <xf numFmtId="43" fontId="27" fillId="6" borderId="3" xfId="4" applyFont="1" applyFill="1" applyBorder="1" applyAlignment="1">
      <alignment horizontal="center" vertical="center"/>
    </xf>
    <xf numFmtId="175" fontId="28" fillId="3" borderId="11" xfId="4" applyNumberFormat="1" applyFont="1" applyFill="1" applyBorder="1"/>
    <xf numFmtId="175" fontId="28" fillId="3" borderId="7" xfId="4" applyNumberFormat="1" applyFont="1" applyFill="1" applyBorder="1"/>
    <xf numFmtId="175" fontId="28" fillId="4" borderId="4" xfId="4" applyNumberFormat="1" applyFont="1" applyFill="1" applyBorder="1" applyAlignment="1">
      <alignment horizontal="center"/>
    </xf>
    <xf numFmtId="175" fontId="28" fillId="4" borderId="5" xfId="4" applyNumberFormat="1" applyFont="1" applyFill="1" applyBorder="1" applyAlignment="1">
      <alignment horizontal="center"/>
    </xf>
    <xf numFmtId="4" fontId="28" fillId="4" borderId="6" xfId="12" applyNumberFormat="1" applyFont="1" applyFill="1" applyBorder="1"/>
    <xf numFmtId="177" fontId="28" fillId="4" borderId="6" xfId="4" applyNumberFormat="1" applyFont="1" applyFill="1" applyBorder="1"/>
    <xf numFmtId="0" fontId="28" fillId="4" borderId="4" xfId="15" applyFont="1" applyFill="1" applyBorder="1" applyAlignment="1">
      <alignment horizontal="center"/>
    </xf>
    <xf numFmtId="0" fontId="28" fillId="4" borderId="5" xfId="15" applyFont="1" applyFill="1" applyBorder="1" applyAlignment="1">
      <alignment horizontal="center"/>
    </xf>
    <xf numFmtId="0" fontId="28" fillId="4" borderId="3" xfId="15" applyFont="1" applyFill="1" applyBorder="1" applyAlignment="1">
      <alignment horizontal="center"/>
    </xf>
    <xf numFmtId="0" fontId="33" fillId="4" borderId="4" xfId="0" applyFont="1" applyFill="1" applyBorder="1" applyAlignment="1">
      <alignment horizontal="center"/>
    </xf>
    <xf numFmtId="172" fontId="33" fillId="5" borderId="12" xfId="0" applyNumberFormat="1" applyFont="1" applyFill="1" applyBorder="1"/>
    <xf numFmtId="172" fontId="33" fillId="5" borderId="11" xfId="0" applyNumberFormat="1" applyFont="1" applyFill="1" applyBorder="1"/>
    <xf numFmtId="3" fontId="33" fillId="4" borderId="0" xfId="12" applyNumberFormat="1" applyFont="1" applyFill="1" applyBorder="1"/>
    <xf numFmtId="172" fontId="33" fillId="4" borderId="0" xfId="0" applyNumberFormat="1" applyFont="1" applyFill="1" applyBorder="1"/>
    <xf numFmtId="43" fontId="33" fillId="4" borderId="9" xfId="4" applyFont="1" applyFill="1" applyBorder="1"/>
    <xf numFmtId="3" fontId="33" fillId="4" borderId="4" xfId="12" applyNumberFormat="1" applyFont="1" applyFill="1" applyBorder="1" applyAlignment="1">
      <alignment horizontal="right"/>
    </xf>
    <xf numFmtId="172" fontId="33" fillId="4" borderId="5" xfId="0" applyNumberFormat="1" applyFont="1" applyFill="1" applyBorder="1"/>
    <xf numFmtId="0" fontId="28" fillId="8" borderId="0" xfId="0" applyFont="1" applyFill="1" applyBorder="1" applyAlignment="1">
      <alignment horizontal="right"/>
    </xf>
    <xf numFmtId="3" fontId="33" fillId="4" borderId="0" xfId="0" applyNumberFormat="1" applyFont="1" applyFill="1"/>
    <xf numFmtId="43" fontId="28" fillId="7" borderId="17" xfId="4" applyFont="1" applyFill="1" applyBorder="1"/>
    <xf numFmtId="167" fontId="28" fillId="7" borderId="14" xfId="0" applyNumberFormat="1" applyFont="1" applyFill="1" applyBorder="1" applyAlignment="1">
      <alignment horizontal="center"/>
    </xf>
    <xf numFmtId="43" fontId="27" fillId="6" borderId="4" xfId="4" applyFont="1" applyFill="1" applyBorder="1" applyAlignment="1">
      <alignment horizontal="center" vertical="center" wrapText="1"/>
    </xf>
    <xf numFmtId="175" fontId="38" fillId="4" borderId="0" xfId="4" applyNumberFormat="1" applyFont="1" applyFill="1" applyAlignment="1">
      <alignment horizontal="right"/>
    </xf>
    <xf numFmtId="43" fontId="27" fillId="6" borderId="5" xfId="4" applyFont="1" applyFill="1" applyBorder="1" applyAlignment="1">
      <alignment horizontal="center" vertical="top" wrapText="1"/>
    </xf>
    <xf numFmtId="43" fontId="28" fillId="4" borderId="0" xfId="4" applyFont="1" applyFill="1" applyAlignment="1">
      <alignment horizontal="center"/>
    </xf>
    <xf numFmtId="43" fontId="28" fillId="4" borderId="0" xfId="4" applyFont="1" applyFill="1" applyBorder="1" applyAlignment="1">
      <alignment horizontal="center"/>
    </xf>
    <xf numFmtId="43" fontId="28" fillId="4" borderId="0" xfId="4" applyFont="1" applyFill="1" applyBorder="1" applyAlignment="1">
      <alignment horizontal="left"/>
    </xf>
    <xf numFmtId="43" fontId="29" fillId="4" borderId="0" xfId="4" applyFont="1" applyFill="1"/>
    <xf numFmtId="43" fontId="28" fillId="4" borderId="0" xfId="4" applyFont="1" applyFill="1" applyAlignment="1">
      <alignment horizontal="center" vertical="top" wrapText="1"/>
    </xf>
    <xf numFmtId="43" fontId="27" fillId="6" borderId="14" xfId="4" applyFont="1" applyFill="1" applyBorder="1" applyAlignment="1">
      <alignment horizontal="center"/>
    </xf>
    <xf numFmtId="43" fontId="28" fillId="2" borderId="5" xfId="4" applyFont="1" applyFill="1" applyBorder="1"/>
    <xf numFmtId="43" fontId="28" fillId="2" borderId="0" xfId="4" applyFont="1" applyFill="1" applyBorder="1"/>
    <xf numFmtId="43" fontId="28" fillId="0" borderId="9" xfId="4" applyFont="1" applyFill="1" applyBorder="1"/>
    <xf numFmtId="43" fontId="28" fillId="0" borderId="0" xfId="4" applyFont="1" applyFill="1"/>
    <xf numFmtId="43" fontId="28" fillId="4" borderId="0" xfId="4" applyFont="1" applyFill="1" applyBorder="1"/>
    <xf numFmtId="179" fontId="30" fillId="4" borderId="0" xfId="4" applyNumberFormat="1" applyFont="1" applyFill="1" applyAlignment="1">
      <alignment horizontal="left"/>
    </xf>
    <xf numFmtId="179" fontId="28" fillId="4" borderId="0" xfId="4" applyNumberFormat="1" applyFont="1" applyFill="1" applyAlignment="1">
      <alignment horizontal="left"/>
    </xf>
    <xf numFmtId="179" fontId="28" fillId="4" borderId="5" xfId="4" applyNumberFormat="1" applyFont="1" applyFill="1" applyBorder="1" applyAlignment="1">
      <alignment horizontal="center"/>
    </xf>
    <xf numFmtId="179" fontId="28" fillId="0" borderId="5" xfId="4" applyNumberFormat="1" applyFont="1" applyFill="1" applyBorder="1" applyAlignment="1">
      <alignment horizontal="center"/>
    </xf>
    <xf numFmtId="179" fontId="28" fillId="4" borderId="14" xfId="4" applyNumberFormat="1" applyFont="1" applyFill="1" applyBorder="1" applyAlignment="1">
      <alignment horizontal="center"/>
    </xf>
    <xf numFmtId="179" fontId="28" fillId="4" borderId="0" xfId="4" applyNumberFormat="1" applyFont="1" applyFill="1" applyAlignment="1">
      <alignment horizontal="center"/>
    </xf>
    <xf numFmtId="175" fontId="43" fillId="4" borderId="0" xfId="4" applyNumberFormat="1" applyFont="1" applyFill="1"/>
    <xf numFmtId="43" fontId="42" fillId="6" borderId="4" xfId="4" applyFont="1" applyFill="1" applyBorder="1" applyAlignment="1">
      <alignment horizontal="center"/>
    </xf>
    <xf numFmtId="43" fontId="27" fillId="6" borderId="12" xfId="4" applyFont="1" applyFill="1" applyBorder="1" applyAlignment="1">
      <alignment horizontal="center"/>
    </xf>
    <xf numFmtId="14" fontId="42" fillId="6" borderId="4" xfId="0" applyNumberFormat="1" applyFont="1" applyFill="1" applyBorder="1" applyAlignment="1">
      <alignment horizontal="center"/>
    </xf>
    <xf numFmtId="0" fontId="28" fillId="7" borderId="14" xfId="0" applyFont="1" applyFill="1" applyBorder="1" applyAlignment="1">
      <alignment horizontal="center"/>
    </xf>
    <xf numFmtId="175" fontId="38" fillId="8" borderId="0" xfId="0" applyNumberFormat="1" applyFont="1" applyFill="1"/>
    <xf numFmtId="175" fontId="40" fillId="4" borderId="0" xfId="4" applyNumberFormat="1" applyFont="1" applyFill="1" applyAlignment="1">
      <alignment horizontal="center"/>
    </xf>
    <xf numFmtId="0" fontId="42" fillId="6" borderId="4" xfId="4" quotePrefix="1" applyNumberFormat="1" applyFont="1" applyFill="1" applyBorder="1" applyAlignment="1">
      <alignment horizontal="center"/>
    </xf>
    <xf numFmtId="0" fontId="28" fillId="4" borderId="9" xfId="0" applyFont="1" applyFill="1" applyBorder="1" applyAlignment="1">
      <alignment horizontal="left"/>
    </xf>
    <xf numFmtId="0" fontId="28" fillId="4" borderId="10" xfId="0" applyFont="1" applyFill="1" applyBorder="1" applyAlignment="1">
      <alignment horizontal="left"/>
    </xf>
    <xf numFmtId="0" fontId="28" fillId="4" borderId="8" xfId="0" applyFont="1" applyFill="1" applyBorder="1" applyAlignment="1">
      <alignment horizontal="left"/>
    </xf>
    <xf numFmtId="3" fontId="28" fillId="4" borderId="12" xfId="12" applyNumberFormat="1" applyFont="1" applyFill="1" applyBorder="1"/>
    <xf numFmtId="3" fontId="28" fillId="4" borderId="11" xfId="12" applyNumberFormat="1" applyFont="1" applyFill="1" applyBorder="1"/>
    <xf numFmtId="3" fontId="28" fillId="4" borderId="13" xfId="12" applyNumberFormat="1" applyFont="1" applyFill="1" applyBorder="1"/>
    <xf numFmtId="171" fontId="28" fillId="8" borderId="0" xfId="0" applyNumberFormat="1" applyFont="1" applyFill="1"/>
    <xf numFmtId="175" fontId="28" fillId="4" borderId="17" xfId="4" applyNumberFormat="1" applyFont="1" applyFill="1" applyBorder="1" applyAlignment="1">
      <alignment horizontal="center"/>
    </xf>
    <xf numFmtId="172" fontId="28" fillId="4" borderId="3" xfId="0" applyNumberFormat="1" applyFont="1" applyFill="1" applyBorder="1"/>
    <xf numFmtId="172" fontId="33" fillId="4" borderId="3" xfId="0" applyNumberFormat="1" applyFont="1" applyFill="1" applyBorder="1"/>
    <xf numFmtId="176" fontId="28" fillId="4" borderId="0" xfId="4" applyNumberFormat="1" applyFont="1" applyFill="1"/>
    <xf numFmtId="175" fontId="28" fillId="7" borderId="14" xfId="4" applyNumberFormat="1" applyFont="1" applyFill="1" applyBorder="1" applyAlignment="1">
      <alignment horizontal="center"/>
    </xf>
    <xf numFmtId="0" fontId="28" fillId="8" borderId="0" xfId="0" quotePrefix="1" applyFont="1" applyFill="1" applyBorder="1" applyAlignment="1"/>
    <xf numFmtId="10" fontId="28" fillId="4" borderId="9" xfId="12" applyNumberFormat="1" applyFont="1" applyFill="1" applyBorder="1"/>
    <xf numFmtId="2" fontId="28" fillId="4" borderId="8" xfId="13" applyNumberFormat="1" applyFont="1" applyFill="1" applyBorder="1"/>
    <xf numFmtId="2" fontId="28" fillId="4" borderId="0" xfId="13" applyNumberFormat="1" applyFont="1" applyFill="1" applyBorder="1"/>
    <xf numFmtId="2" fontId="28" fillId="4" borderId="9" xfId="13" applyNumberFormat="1" applyFont="1" applyFill="1" applyBorder="1"/>
    <xf numFmtId="2" fontId="28" fillId="4" borderId="10" xfId="13" applyNumberFormat="1" applyFont="1" applyFill="1" applyBorder="1"/>
    <xf numFmtId="43" fontId="28" fillId="4" borderId="0" xfId="4" applyFont="1" applyFill="1"/>
    <xf numFmtId="0" fontId="28" fillId="4" borderId="3" xfId="0" applyFont="1" applyFill="1" applyBorder="1"/>
    <xf numFmtId="43" fontId="28" fillId="4" borderId="5" xfId="4" applyNumberFormat="1" applyFont="1" applyFill="1" applyBorder="1"/>
    <xf numFmtId="2" fontId="28" fillId="4" borderId="0" xfId="13" applyNumberFormat="1" applyFont="1" applyFill="1" applyBorder="1"/>
    <xf numFmtId="43" fontId="28" fillId="4" borderId="4" xfId="4" applyNumberFormat="1" applyFont="1" applyFill="1" applyBorder="1"/>
    <xf numFmtId="2" fontId="28" fillId="4" borderId="4" xfId="13" applyNumberFormat="1" applyFont="1" applyFill="1" applyBorder="1"/>
    <xf numFmtId="2" fontId="28" fillId="4" borderId="5" xfId="13" applyNumberFormat="1" applyFont="1" applyFill="1" applyBorder="1"/>
    <xf numFmtId="2" fontId="28" fillId="4" borderId="3" xfId="13" applyNumberFormat="1" applyFont="1" applyFill="1" applyBorder="1"/>
    <xf numFmtId="43" fontId="28" fillId="4" borderId="3" xfId="4" applyNumberFormat="1" applyFont="1" applyFill="1" applyBorder="1"/>
    <xf numFmtId="43" fontId="43" fillId="10" borderId="5" xfId="4" applyFont="1" applyFill="1" applyBorder="1"/>
    <xf numFmtId="178" fontId="28" fillId="8" borderId="0" xfId="0" quotePrefix="1" applyNumberFormat="1" applyFont="1" applyFill="1" applyAlignment="1">
      <alignment horizontal="right"/>
    </xf>
    <xf numFmtId="164" fontId="28" fillId="8" borderId="0" xfId="0" applyNumberFormat="1" applyFont="1" applyFill="1"/>
    <xf numFmtId="43" fontId="27" fillId="6" borderId="14" xfId="4" applyNumberFormat="1" applyFont="1" applyFill="1" applyBorder="1" applyAlignment="1">
      <alignment horizontal="center" vertical="top" wrapText="1"/>
    </xf>
    <xf numFmtId="2" fontId="27" fillId="6" borderId="14" xfId="0" applyNumberFormat="1" applyFont="1" applyFill="1" applyBorder="1" applyAlignment="1">
      <alignment horizontal="center" vertical="top" wrapText="1"/>
    </xf>
    <xf numFmtId="43" fontId="27" fillId="10" borderId="14" xfId="4" applyFont="1" applyFill="1" applyBorder="1" applyAlignment="1">
      <alignment horizontal="center"/>
    </xf>
    <xf numFmtId="0" fontId="28" fillId="8" borderId="0" xfId="0" applyFont="1" applyFill="1" applyBorder="1"/>
    <xf numFmtId="0" fontId="28" fillId="8" borderId="0" xfId="0" applyFont="1" applyFill="1" applyBorder="1" applyAlignment="1">
      <alignment horizontal="left"/>
    </xf>
    <xf numFmtId="43" fontId="28" fillId="4" borderId="14" xfId="4" applyFont="1" applyFill="1" applyBorder="1"/>
    <xf numFmtId="43" fontId="43" fillId="4" borderId="5" xfId="4" applyFont="1" applyFill="1" applyBorder="1"/>
    <xf numFmtId="43" fontId="28" fillId="4" borderId="14" xfId="4" applyFont="1" applyFill="1" applyBorder="1"/>
    <xf numFmtId="43" fontId="43" fillId="4" borderId="5" xfId="4" applyFont="1" applyFill="1" applyBorder="1"/>
    <xf numFmtId="43" fontId="28" fillId="2" borderId="14" xfId="4" applyFont="1" applyFill="1" applyBorder="1"/>
    <xf numFmtId="43" fontId="28" fillId="4" borderId="9" xfId="4" applyNumberFormat="1" applyFont="1" applyFill="1" applyBorder="1"/>
    <xf numFmtId="43" fontId="28" fillId="4" borderId="9" xfId="4" applyNumberFormat="1" applyFont="1" applyFill="1" applyBorder="1"/>
    <xf numFmtId="43" fontId="28" fillId="4" borderId="9" xfId="4" applyNumberFormat="1" applyFont="1" applyFill="1" applyBorder="1"/>
    <xf numFmtId="43" fontId="28" fillId="4" borderId="5" xfId="4" applyFont="1" applyFill="1" applyBorder="1" applyAlignment="1">
      <alignment horizontal="center"/>
    </xf>
    <xf numFmtId="43" fontId="28" fillId="4" borderId="4" xfId="4" applyFont="1" applyFill="1" applyBorder="1" applyAlignment="1">
      <alignment horizontal="center"/>
    </xf>
    <xf numFmtId="43" fontId="28" fillId="4" borderId="3" xfId="4" applyFont="1" applyFill="1" applyBorder="1" applyAlignment="1">
      <alignment horizontal="center"/>
    </xf>
    <xf numFmtId="175" fontId="28" fillId="4" borderId="11" xfId="4" applyNumberFormat="1" applyFont="1" applyFill="1" applyBorder="1"/>
    <xf numFmtId="175" fontId="28" fillId="4" borderId="12" xfId="4" applyNumberFormat="1" applyFont="1" applyFill="1" applyBorder="1"/>
    <xf numFmtId="175" fontId="28" fillId="4" borderId="13" xfId="4" applyNumberFormat="1" applyFont="1" applyFill="1" applyBorder="1"/>
    <xf numFmtId="43" fontId="28" fillId="4" borderId="0" xfId="4" applyFont="1" applyFill="1"/>
    <xf numFmtId="175" fontId="28" fillId="3" borderId="5" xfId="4" applyNumberFormat="1" applyFont="1" applyFill="1" applyBorder="1"/>
    <xf numFmtId="171" fontId="10" fillId="8" borderId="14" xfId="0" applyNumberFormat="1" applyFont="1" applyFill="1" applyBorder="1"/>
    <xf numFmtId="167" fontId="10" fillId="7" borderId="14" xfId="0" applyNumberFormat="1" applyFont="1" applyFill="1" applyBorder="1"/>
    <xf numFmtId="164" fontId="28" fillId="4" borderId="0" xfId="0" applyNumberFormat="1" applyFont="1" applyFill="1"/>
    <xf numFmtId="43" fontId="28" fillId="4" borderId="14" xfId="4" applyNumberFormat="1" applyFont="1" applyFill="1" applyBorder="1" applyAlignment="1">
      <alignment horizontal="right"/>
    </xf>
    <xf numFmtId="9" fontId="27" fillId="6" borderId="14" xfId="12" applyFont="1" applyFill="1" applyBorder="1" applyAlignment="1">
      <alignment horizontal="center"/>
    </xf>
    <xf numFmtId="0" fontId="28" fillId="4" borderId="0" xfId="0" applyFont="1" applyFill="1"/>
    <xf numFmtId="4" fontId="28" fillId="4" borderId="0" xfId="0" applyNumberFormat="1" applyFont="1" applyFill="1"/>
    <xf numFmtId="2" fontId="28" fillId="4" borderId="5" xfId="0" applyNumberFormat="1" applyFont="1" applyFill="1" applyBorder="1"/>
    <xf numFmtId="2" fontId="28" fillId="4" borderId="14" xfId="0" applyNumberFormat="1" applyFont="1" applyFill="1" applyBorder="1"/>
    <xf numFmtId="169" fontId="28" fillId="4" borderId="0" xfId="11" applyNumberFormat="1" applyFont="1" applyFill="1" applyAlignment="1">
      <alignment vertical="center"/>
    </xf>
    <xf numFmtId="4" fontId="28" fillId="4" borderId="0" xfId="12" applyNumberFormat="1" applyFont="1" applyFill="1" applyBorder="1"/>
    <xf numFmtId="4" fontId="28" fillId="4" borderId="5" xfId="12" applyNumberFormat="1" applyFont="1" applyFill="1" applyBorder="1"/>
    <xf numFmtId="0" fontId="28" fillId="8" borderId="0" xfId="0" applyFont="1" applyFill="1"/>
    <xf numFmtId="0" fontId="28" fillId="8" borderId="0" xfId="0" applyFont="1" applyFill="1" applyBorder="1"/>
    <xf numFmtId="10" fontId="28" fillId="7" borderId="14" xfId="0" applyNumberFormat="1" applyFont="1" applyFill="1" applyBorder="1" applyAlignment="1">
      <alignment horizontal="center"/>
    </xf>
    <xf numFmtId="177" fontId="28" fillId="4" borderId="0" xfId="4" applyNumberFormat="1" applyFont="1" applyFill="1" applyBorder="1"/>
    <xf numFmtId="175" fontId="28" fillId="4" borderId="0" xfId="4" applyNumberFormat="1" applyFont="1" applyFill="1" applyBorder="1"/>
    <xf numFmtId="175" fontId="28" fillId="4" borderId="3" xfId="4" applyNumberFormat="1" applyFont="1" applyFill="1" applyBorder="1"/>
    <xf numFmtId="175" fontId="28" fillId="4" borderId="0" xfId="0" applyNumberFormat="1" applyFont="1" applyFill="1"/>
    <xf numFmtId="175" fontId="28" fillId="8" borderId="0" xfId="0" applyNumberFormat="1" applyFont="1" applyFill="1"/>
    <xf numFmtId="175" fontId="38" fillId="8" borderId="0" xfId="0" applyNumberFormat="1" applyFont="1" applyFill="1"/>
    <xf numFmtId="43" fontId="38" fillId="8" borderId="0" xfId="4" applyFont="1" applyFill="1"/>
    <xf numFmtId="43" fontId="28" fillId="4" borderId="0" xfId="15" applyNumberFormat="1" applyFont="1" applyFill="1"/>
    <xf numFmtId="176" fontId="5" fillId="4" borderId="0" xfId="14" applyNumberFormat="1" applyFont="1" applyFill="1" applyBorder="1" applyAlignment="1">
      <alignment horizontal="left"/>
    </xf>
    <xf numFmtId="164" fontId="16" fillId="4" borderId="0" xfId="14" applyNumberFormat="1" applyFont="1" applyFill="1" applyBorder="1" applyAlignment="1">
      <alignment horizontal="left"/>
    </xf>
    <xf numFmtId="0" fontId="27" fillId="6" borderId="4" xfId="0" applyFont="1" applyFill="1" applyBorder="1" applyAlignment="1">
      <alignment horizontal="center" vertical="center" wrapText="1"/>
    </xf>
    <xf numFmtId="166" fontId="28" fillId="4" borderId="13" xfId="0" applyNumberFormat="1" applyFont="1" applyFill="1" applyBorder="1" applyAlignment="1">
      <alignment horizontal="center"/>
    </xf>
    <xf numFmtId="9" fontId="27" fillId="6" borderId="5" xfId="12" applyFont="1" applyFill="1" applyBorder="1" applyAlignment="1">
      <alignment horizontal="center"/>
    </xf>
    <xf numFmtId="10" fontId="27" fillId="6" borderId="14" xfId="12" applyNumberFormat="1" applyFont="1" applyFill="1" applyBorder="1" applyAlignment="1">
      <alignment vertical="center"/>
    </xf>
    <xf numFmtId="43" fontId="27" fillId="6" borderId="14" xfId="4" applyNumberFormat="1" applyFont="1" applyFill="1" applyBorder="1" applyAlignment="1">
      <alignment horizontal="center" vertical="center" wrapText="1"/>
    </xf>
    <xf numFmtId="43" fontId="27" fillId="6" borderId="14" xfId="4" quotePrefix="1" applyFont="1" applyFill="1" applyBorder="1" applyAlignment="1">
      <alignment horizontal="center" vertical="center" wrapText="1"/>
    </xf>
    <xf numFmtId="0" fontId="27" fillId="6" borderId="14" xfId="15" quotePrefix="1" applyFont="1" applyFill="1" applyBorder="1" applyAlignment="1">
      <alignment horizontal="center" vertical="center" wrapText="1"/>
    </xf>
    <xf numFmtId="43" fontId="28" fillId="4" borderId="5" xfId="4" applyFont="1" applyFill="1" applyBorder="1"/>
    <xf numFmtId="175" fontId="28" fillId="4" borderId="0" xfId="4" applyNumberFormat="1" applyFont="1" applyFill="1" applyBorder="1" applyAlignment="1">
      <alignment horizontal="center"/>
    </xf>
    <xf numFmtId="175" fontId="28" fillId="4" borderId="4" xfId="4" applyNumberFormat="1" applyFont="1" applyFill="1" applyBorder="1" applyAlignment="1">
      <alignment horizontal="center"/>
    </xf>
    <xf numFmtId="175" fontId="28" fillId="4" borderId="5" xfId="4" applyNumberFormat="1" applyFont="1" applyFill="1" applyBorder="1" applyAlignment="1">
      <alignment horizontal="center"/>
    </xf>
    <xf numFmtId="175" fontId="28" fillId="0" borderId="0" xfId="4" applyNumberFormat="1" applyFont="1" applyFill="1" applyBorder="1"/>
    <xf numFmtId="175" fontId="28" fillId="4" borderId="0" xfId="4" applyNumberFormat="1" applyFont="1" applyFill="1" applyBorder="1"/>
    <xf numFmtId="175" fontId="28" fillId="4" borderId="15" xfId="4" applyNumberFormat="1" applyFont="1" applyFill="1" applyBorder="1"/>
    <xf numFmtId="175" fontId="28" fillId="4" borderId="16" xfId="4" applyNumberFormat="1" applyFont="1" applyFill="1" applyBorder="1"/>
    <xf numFmtId="43" fontId="43" fillId="10" borderId="14" xfId="4" applyFont="1" applyFill="1" applyBorder="1"/>
    <xf numFmtId="43" fontId="28" fillId="4" borderId="0" xfId="4" applyFont="1" applyFill="1"/>
    <xf numFmtId="43" fontId="28" fillId="4" borderId="5" xfId="4" applyFont="1" applyFill="1" applyBorder="1"/>
    <xf numFmtId="43" fontId="28" fillId="4" borderId="3" xfId="4" applyFont="1" applyFill="1" applyBorder="1"/>
    <xf numFmtId="43" fontId="28" fillId="2" borderId="0" xfId="4" applyFont="1" applyFill="1" applyBorder="1"/>
    <xf numFmtId="43" fontId="28" fillId="4" borderId="0" xfId="4" applyFont="1" applyFill="1" applyBorder="1"/>
    <xf numFmtId="43" fontId="28" fillId="4" borderId="13" xfId="4" applyFont="1" applyFill="1" applyBorder="1"/>
    <xf numFmtId="43" fontId="28" fillId="4" borderId="9" xfId="4" applyFont="1" applyFill="1" applyBorder="1"/>
    <xf numFmtId="43" fontId="28" fillId="4" borderId="8" xfId="4" applyFont="1" applyFill="1" applyBorder="1"/>
    <xf numFmtId="43" fontId="43" fillId="4" borderId="0" xfId="4" applyFont="1" applyFill="1" applyBorder="1"/>
    <xf numFmtId="43" fontId="28" fillId="4" borderId="10" xfId="4" applyFont="1" applyFill="1" applyBorder="1"/>
    <xf numFmtId="43" fontId="28" fillId="4" borderId="4" xfId="4" applyFont="1" applyFill="1" applyBorder="1" applyAlignment="1">
      <alignment horizontal="center" vertical="top" wrapText="1"/>
    </xf>
    <xf numFmtId="43" fontId="28" fillId="4" borderId="5" xfId="4" applyFont="1" applyFill="1" applyBorder="1" applyAlignment="1">
      <alignment horizontal="center" vertical="top" wrapText="1"/>
    </xf>
    <xf numFmtId="43" fontId="28" fillId="4" borderId="3" xfId="4" applyFont="1" applyFill="1" applyBorder="1" applyAlignment="1">
      <alignment horizontal="center" vertical="top" wrapText="1"/>
    </xf>
    <xf numFmtId="170" fontId="28" fillId="7" borderId="14" xfId="0" applyNumberFormat="1" applyFont="1" applyFill="1" applyBorder="1" applyAlignment="1">
      <alignment horizontal="right" vertical="top" wrapText="1"/>
    </xf>
    <xf numFmtId="170" fontId="28" fillId="8" borderId="14" xfId="0" applyNumberFormat="1" applyFont="1" applyFill="1" applyBorder="1"/>
    <xf numFmtId="175" fontId="28" fillId="4" borderId="0" xfId="4" applyNumberFormat="1" applyFont="1" applyFill="1" applyAlignment="1">
      <alignment horizontal="center" vertical="top" wrapText="1"/>
    </xf>
    <xf numFmtId="43" fontId="28" fillId="4" borderId="0" xfId="4" applyNumberFormat="1" applyFont="1" applyFill="1" applyAlignment="1">
      <alignment horizontal="center" vertical="top" wrapText="1"/>
    </xf>
    <xf numFmtId="0" fontId="31" fillId="8" borderId="0" xfId="0" applyFont="1" applyFill="1" applyAlignment="1">
      <alignment vertical="center" wrapText="1"/>
    </xf>
    <xf numFmtId="9" fontId="27" fillId="6" borderId="14" xfId="0" applyNumberFormat="1" applyFont="1" applyFill="1" applyBorder="1" applyAlignment="1">
      <alignment horizontal="center"/>
    </xf>
    <xf numFmtId="180" fontId="28" fillId="4" borderId="5" xfId="12" applyNumberFormat="1" applyFont="1" applyFill="1" applyBorder="1"/>
    <xf numFmtId="175" fontId="27" fillId="33" borderId="4" xfId="4" applyNumberFormat="1" applyFont="1" applyFill="1" applyBorder="1" applyAlignment="1">
      <alignment horizontal="center" vertical="center" wrapText="1"/>
    </xf>
    <xf numFmtId="175" fontId="28" fillId="4" borderId="5" xfId="4" applyNumberFormat="1" applyFont="1" applyFill="1" applyBorder="1" applyAlignment="1">
      <alignment horizontal="left" indent="1"/>
    </xf>
    <xf numFmtId="0" fontId="28" fillId="32" borderId="0" xfId="0" applyFont="1" applyFill="1" applyBorder="1" applyAlignment="1">
      <alignment horizontal="left"/>
    </xf>
    <xf numFmtId="43" fontId="28" fillId="8" borderId="9" xfId="4" applyFont="1" applyFill="1" applyBorder="1"/>
    <xf numFmtId="43" fontId="28" fillId="35" borderId="9" xfId="4" applyFont="1" applyFill="1" applyBorder="1"/>
    <xf numFmtId="0" fontId="40" fillId="4" borderId="0" xfId="0" applyFont="1" applyFill="1" applyAlignment="1">
      <alignment wrapText="1"/>
    </xf>
    <xf numFmtId="175" fontId="38" fillId="3" borderId="0" xfId="4" applyNumberFormat="1" applyFont="1" applyFill="1" applyAlignment="1">
      <alignment wrapText="1"/>
    </xf>
    <xf numFmtId="0" fontId="40" fillId="3" borderId="28" xfId="0" applyFont="1" applyFill="1" applyBorder="1" applyAlignment="1">
      <alignment horizontal="center" vertical="center" wrapText="1"/>
    </xf>
    <xf numFmtId="0" fontId="38" fillId="3" borderId="28" xfId="0" applyFont="1" applyFill="1" applyBorder="1" applyAlignment="1">
      <alignment horizontal="center" vertical="center" wrapText="1"/>
    </xf>
    <xf numFmtId="175" fontId="38" fillId="3" borderId="29" xfId="4" applyNumberFormat="1" applyFont="1" applyFill="1" applyBorder="1" applyAlignment="1">
      <alignment horizontal="center" vertical="center" wrapText="1"/>
    </xf>
    <xf numFmtId="0" fontId="38" fillId="3" borderId="30" xfId="0" applyFont="1" applyFill="1" applyBorder="1"/>
    <xf numFmtId="175" fontId="38" fillId="34" borderId="30" xfId="0" applyNumberFormat="1" applyFont="1" applyFill="1" applyBorder="1"/>
    <xf numFmtId="175" fontId="38" fillId="34" borderId="30" xfId="4" applyNumberFormat="1" applyFont="1" applyFill="1" applyBorder="1"/>
    <xf numFmtId="175" fontId="38" fillId="34" borderId="0" xfId="4" applyNumberFormat="1" applyFont="1" applyFill="1"/>
    <xf numFmtId="175" fontId="38" fillId="34" borderId="31" xfId="0" applyNumberFormat="1" applyFont="1" applyFill="1" applyBorder="1"/>
    <xf numFmtId="175" fontId="38" fillId="34" borderId="32" xfId="4" applyNumberFormat="1" applyFont="1" applyFill="1" applyBorder="1"/>
    <xf numFmtId="175" fontId="38" fillId="34" borderId="16" xfId="4" applyNumberFormat="1" applyFont="1" applyFill="1" applyBorder="1"/>
    <xf numFmtId="0" fontId="67" fillId="4" borderId="0" xfId="0" applyFont="1" applyFill="1" applyAlignment="1">
      <alignment horizontal="right"/>
    </xf>
    <xf numFmtId="0" fontId="30" fillId="4" borderId="0" xfId="0" applyFont="1" applyFill="1" applyAlignment="1">
      <alignment horizontal="left" vertical="center"/>
    </xf>
    <xf numFmtId="175" fontId="30" fillId="4" borderId="0" xfId="4" applyNumberFormat="1" applyFont="1" applyFill="1" applyAlignment="1">
      <alignment vertical="center"/>
    </xf>
    <xf numFmtId="0" fontId="30" fillId="4" borderId="0" xfId="0" applyFont="1" applyFill="1" applyAlignment="1">
      <alignment vertical="center"/>
    </xf>
    <xf numFmtId="167" fontId="27" fillId="6" borderId="14" xfId="12" applyNumberFormat="1" applyFont="1" applyFill="1" applyBorder="1" applyAlignment="1">
      <alignment horizontal="center" vertical="center" wrapText="1"/>
    </xf>
    <xf numFmtId="3" fontId="33" fillId="4" borderId="9" xfId="0" applyNumberFormat="1" applyFont="1" applyFill="1" applyBorder="1"/>
    <xf numFmtId="175" fontId="33" fillId="4" borderId="14" xfId="4" applyNumberFormat="1" applyFont="1" applyFill="1" applyBorder="1"/>
    <xf numFmtId="175" fontId="33" fillId="5" borderId="14" xfId="4" applyNumberFormat="1" applyFont="1" applyFill="1" applyBorder="1"/>
    <xf numFmtId="175" fontId="33" fillId="4" borderId="0" xfId="4" applyNumberFormat="1" applyFont="1" applyFill="1" applyBorder="1"/>
    <xf numFmtId="175" fontId="0" fillId="4" borderId="0" xfId="4" applyNumberFormat="1" applyFont="1" applyFill="1"/>
    <xf numFmtId="0" fontId="0" fillId="4" borderId="0" xfId="0" applyFill="1"/>
    <xf numFmtId="43" fontId="28" fillId="4" borderId="0" xfId="4" applyFont="1" applyFill="1" applyBorder="1" applyAlignment="1">
      <alignment horizontal="center" vertical="top" wrapText="1"/>
    </xf>
    <xf numFmtId="175" fontId="27" fillId="33" borderId="14" xfId="4" applyNumberFormat="1" applyFont="1" applyFill="1" applyBorder="1" applyAlignment="1">
      <alignment horizontal="center" vertical="center" wrapText="1"/>
    </xf>
    <xf numFmtId="181" fontId="33" fillId="4" borderId="0" xfId="0" applyNumberFormat="1" applyFont="1" applyFill="1"/>
    <xf numFmtId="3" fontId="28" fillId="4" borderId="0" xfId="15" applyNumberFormat="1" applyFont="1" applyFill="1" applyBorder="1"/>
    <xf numFmtId="43" fontId="27" fillId="4" borderId="0" xfId="4" applyFont="1" applyFill="1" applyBorder="1" applyAlignment="1">
      <alignment horizontal="center" vertical="center" textRotation="90" wrapText="1"/>
    </xf>
    <xf numFmtId="43" fontId="64" fillId="4" borderId="0" xfId="4" applyFont="1" applyFill="1"/>
    <xf numFmtId="43" fontId="65" fillId="4" borderId="0" xfId="4" applyFont="1" applyFill="1"/>
    <xf numFmtId="0" fontId="28" fillId="4" borderId="4" xfId="0" applyFont="1" applyFill="1" applyBorder="1" applyAlignment="1">
      <alignment horizontal="left"/>
    </xf>
    <xf numFmtId="0" fontId="28" fillId="4" borderId="5" xfId="0" applyFont="1" applyFill="1" applyBorder="1" applyAlignment="1">
      <alignment horizontal="left"/>
    </xf>
    <xf numFmtId="176" fontId="65" fillId="4" borderId="0" xfId="4" applyNumberFormat="1" applyFont="1" applyFill="1"/>
    <xf numFmtId="0" fontId="16" fillId="4" borderId="0" xfId="15" applyNumberFormat="1" applyFont="1" applyFill="1" applyBorder="1" applyAlignment="1">
      <alignment horizontal="right"/>
    </xf>
    <xf numFmtId="0" fontId="27" fillId="6" borderId="14" xfId="0" applyFont="1" applyFill="1" applyBorder="1" applyAlignment="1">
      <alignment horizontal="center" vertical="center" wrapText="1"/>
    </xf>
    <xf numFmtId="175" fontId="27" fillId="33" borderId="8" xfId="4" applyNumberFormat="1" applyFont="1" applyFill="1" applyBorder="1" applyAlignment="1">
      <alignment horizontal="center" vertical="center" wrapText="1"/>
    </xf>
    <xf numFmtId="167" fontId="27" fillId="6" borderId="3" xfId="12" applyNumberFormat="1" applyFont="1" applyFill="1" applyBorder="1" applyAlignment="1">
      <alignment horizontal="center" vertical="center" wrapText="1"/>
    </xf>
    <xf numFmtId="167" fontId="27" fillId="6" borderId="5" xfId="12" applyNumberFormat="1" applyFont="1" applyFill="1" applyBorder="1" applyAlignment="1">
      <alignment horizontal="center" vertical="center" wrapText="1"/>
    </xf>
    <xf numFmtId="0" fontId="28" fillId="8" borderId="14" xfId="0" applyNumberFormat="1" applyFont="1" applyFill="1" applyBorder="1"/>
    <xf numFmtId="0" fontId="27" fillId="6" borderId="14" xfId="0" applyFont="1" applyFill="1" applyBorder="1" applyAlignment="1">
      <alignment horizontal="center" vertical="center"/>
    </xf>
    <xf numFmtId="0" fontId="30" fillId="4" borderId="0" xfId="11" applyFont="1" applyFill="1" applyAlignment="1">
      <alignment vertical="center"/>
    </xf>
    <xf numFmtId="43" fontId="30" fillId="4" borderId="0" xfId="4" applyFont="1" applyFill="1" applyAlignment="1">
      <alignment vertical="center"/>
    </xf>
    <xf numFmtId="3" fontId="28" fillId="36" borderId="5" xfId="12" applyNumberFormat="1" applyFont="1" applyFill="1" applyBorder="1"/>
    <xf numFmtId="3" fontId="28" fillId="36" borderId="7" xfId="12" applyNumberFormat="1" applyFont="1" applyFill="1" applyBorder="1"/>
    <xf numFmtId="3" fontId="28" fillId="34" borderId="5" xfId="12" applyNumberFormat="1" applyFont="1" applyFill="1" applyBorder="1"/>
    <xf numFmtId="175" fontId="28" fillId="34" borderId="5" xfId="4" applyNumberFormat="1" applyFont="1" applyFill="1" applyBorder="1"/>
    <xf numFmtId="175" fontId="28" fillId="34" borderId="14" xfId="4" applyNumberFormat="1" applyFont="1" applyFill="1" applyBorder="1"/>
    <xf numFmtId="175" fontId="28" fillId="34" borderId="7" xfId="4" applyNumberFormat="1" applyFont="1" applyFill="1" applyBorder="1"/>
    <xf numFmtId="3" fontId="28" fillId="34" borderId="14" xfId="12" applyNumberFormat="1" applyFont="1" applyFill="1" applyBorder="1"/>
    <xf numFmtId="175" fontId="33" fillId="34" borderId="5" xfId="4" applyNumberFormat="1" applyFont="1" applyFill="1" applyBorder="1"/>
    <xf numFmtId="175" fontId="33" fillId="34" borderId="14" xfId="4" applyNumberFormat="1" applyFont="1" applyFill="1" applyBorder="1"/>
    <xf numFmtId="175" fontId="33" fillId="34" borderId="0" xfId="4" applyNumberFormat="1" applyFont="1" applyFill="1"/>
    <xf numFmtId="43" fontId="43" fillId="37" borderId="5" xfId="4" applyFont="1" applyFill="1" applyBorder="1"/>
    <xf numFmtId="43" fontId="28" fillId="37" borderId="9" xfId="4" applyNumberFormat="1" applyFont="1" applyFill="1" applyBorder="1"/>
    <xf numFmtId="43" fontId="28" fillId="37" borderId="0" xfId="4" applyFont="1" applyFill="1"/>
    <xf numFmtId="43" fontId="28" fillId="37" borderId="9" xfId="4" applyFont="1" applyFill="1" applyBorder="1"/>
    <xf numFmtId="43" fontId="28" fillId="38" borderId="9" xfId="4" applyNumberFormat="1" applyFont="1" applyFill="1" applyBorder="1"/>
    <xf numFmtId="43" fontId="43" fillId="4" borderId="5" xfId="4" applyFont="1" applyFill="1" applyBorder="1" applyAlignment="1">
      <alignment horizontal="center"/>
    </xf>
    <xf numFmtId="43" fontId="43" fillId="38" borderId="5" xfId="4" applyFont="1" applyFill="1" applyBorder="1" applyAlignment="1">
      <alignment horizontal="center"/>
    </xf>
    <xf numFmtId="43" fontId="28" fillId="37" borderId="0" xfId="4" applyFont="1" applyFill="1" applyBorder="1" applyAlignment="1">
      <alignment horizontal="center" vertical="top" wrapText="1"/>
    </xf>
    <xf numFmtId="43" fontId="28" fillId="32" borderId="0" xfId="4" applyFont="1" applyFill="1"/>
    <xf numFmtId="43" fontId="28" fillId="32" borderId="0" xfId="4" applyFont="1" applyFill="1" applyBorder="1" applyAlignment="1">
      <alignment horizontal="left"/>
    </xf>
    <xf numFmtId="43" fontId="27" fillId="32" borderId="0" xfId="4" applyFont="1" applyFill="1" applyBorder="1" applyAlignment="1">
      <alignment horizontal="center" vertical="center" textRotation="90" wrapText="1"/>
    </xf>
    <xf numFmtId="43" fontId="28" fillId="32" borderId="0" xfId="4" applyFont="1" applyFill="1" applyAlignment="1">
      <alignment horizontal="center" vertical="top" wrapText="1"/>
    </xf>
    <xf numFmtId="43" fontId="28" fillId="32" borderId="0" xfId="4" applyFont="1" applyFill="1" applyAlignment="1">
      <alignment horizontal="center"/>
    </xf>
    <xf numFmtId="43" fontId="28" fillId="32" borderId="0" xfId="4" applyFont="1" applyFill="1" applyBorder="1" applyAlignment="1">
      <alignment horizontal="center" vertical="top" wrapText="1"/>
    </xf>
    <xf numFmtId="43" fontId="64" fillId="32" borderId="0" xfId="4" applyFont="1" applyFill="1"/>
    <xf numFmtId="43" fontId="28" fillId="32" borderId="0" xfId="4" applyFont="1" applyFill="1" applyBorder="1"/>
    <xf numFmtId="43" fontId="43" fillId="39" borderId="5" xfId="4" applyFont="1" applyFill="1" applyBorder="1"/>
    <xf numFmtId="43" fontId="43" fillId="37" borderId="5" xfId="4" applyFont="1" applyFill="1" applyBorder="1" applyAlignment="1">
      <alignment horizontal="center"/>
    </xf>
    <xf numFmtId="43" fontId="43" fillId="0" borderId="5" xfId="4" applyFont="1" applyFill="1" applyBorder="1"/>
    <xf numFmtId="43" fontId="28" fillId="0" borderId="9" xfId="4" applyNumberFormat="1" applyFont="1" applyFill="1" applyBorder="1"/>
    <xf numFmtId="43" fontId="43" fillId="0" borderId="5" xfId="4" applyFont="1" applyFill="1" applyBorder="1" applyAlignment="1">
      <alignment horizontal="center"/>
    </xf>
    <xf numFmtId="175" fontId="38" fillId="3" borderId="0" xfId="4" applyNumberFormat="1" applyFont="1" applyFill="1" applyAlignment="1">
      <alignment horizontal="center"/>
    </xf>
    <xf numFmtId="0" fontId="38" fillId="3" borderId="0" xfId="0" applyFont="1" applyFill="1" applyAlignment="1">
      <alignment wrapText="1"/>
    </xf>
    <xf numFmtId="0" fontId="40" fillId="3" borderId="0" xfId="0" applyFont="1" applyFill="1" applyAlignment="1">
      <alignment wrapText="1"/>
    </xf>
    <xf numFmtId="0" fontId="40" fillId="37" borderId="0" xfId="0" applyFont="1" applyFill="1"/>
    <xf numFmtId="0" fontId="38" fillId="37" borderId="0" xfId="0" applyFont="1" applyFill="1"/>
    <xf numFmtId="3" fontId="28" fillId="8" borderId="17" xfId="0" applyNumberFormat="1" applyFont="1" applyFill="1" applyBorder="1" applyAlignment="1">
      <alignment horizontal="center"/>
    </xf>
    <xf numFmtId="3" fontId="28" fillId="8" borderId="6" xfId="0" applyNumberFormat="1" applyFont="1" applyFill="1" applyBorder="1" applyAlignment="1">
      <alignment horizontal="center"/>
    </xf>
    <xf numFmtId="3" fontId="28" fillId="8" borderId="7" xfId="0" applyNumberFormat="1" applyFont="1" applyFill="1" applyBorder="1" applyAlignment="1">
      <alignment horizontal="center"/>
    </xf>
    <xf numFmtId="0" fontId="28" fillId="8" borderId="17" xfId="0" applyFont="1" applyFill="1" applyBorder="1" applyAlignment="1">
      <alignment horizontal="center"/>
    </xf>
    <xf numFmtId="0" fontId="28" fillId="8" borderId="6" xfId="0" applyFont="1" applyFill="1" applyBorder="1" applyAlignment="1">
      <alignment horizontal="center"/>
    </xf>
    <xf numFmtId="0" fontId="28" fillId="8" borderId="7" xfId="0" applyFont="1" applyFill="1" applyBorder="1" applyAlignment="1">
      <alignment horizontal="center"/>
    </xf>
    <xf numFmtId="0" fontId="41" fillId="4" borderId="0" xfId="0" applyFont="1" applyFill="1" applyAlignment="1">
      <alignment horizontal="center"/>
    </xf>
    <xf numFmtId="0" fontId="68" fillId="4" borderId="0" xfId="0" applyFont="1" applyFill="1" applyAlignment="1">
      <alignment horizontal="left" vertical="top" wrapText="1"/>
    </xf>
    <xf numFmtId="43" fontId="27" fillId="6" borderId="4" xfId="4" applyFont="1" applyFill="1" applyBorder="1" applyAlignment="1">
      <alignment horizontal="center" vertical="center" textRotation="90" wrapText="1"/>
    </xf>
    <xf numFmtId="43" fontId="27" fillId="6" borderId="3" xfId="4" applyFont="1" applyFill="1" applyBorder="1" applyAlignment="1">
      <alignment horizontal="center" vertical="center" textRotation="90" wrapText="1"/>
    </xf>
    <xf numFmtId="43" fontId="27" fillId="10" borderId="4" xfId="4" applyFont="1" applyFill="1" applyBorder="1" applyAlignment="1">
      <alignment horizontal="center" vertical="center" textRotation="90" wrapText="1"/>
    </xf>
    <xf numFmtId="43" fontId="27" fillId="10" borderId="3" xfId="4" applyFont="1" applyFill="1" applyBorder="1" applyAlignment="1">
      <alignment horizontal="center" vertical="center" textRotation="90" wrapText="1"/>
    </xf>
    <xf numFmtId="43" fontId="42" fillId="6" borderId="4" xfId="4" applyFont="1" applyFill="1" applyBorder="1" applyAlignment="1">
      <alignment horizontal="center" vertical="center" textRotation="90" wrapText="1"/>
    </xf>
    <xf numFmtId="43" fontId="42" fillId="6" borderId="3" xfId="4" applyFont="1" applyFill="1" applyBorder="1" applyAlignment="1">
      <alignment horizontal="center" vertical="center" textRotation="90" wrapText="1"/>
    </xf>
    <xf numFmtId="179" fontId="27" fillId="6" borderId="4" xfId="4" applyNumberFormat="1" applyFont="1" applyFill="1" applyBorder="1" applyAlignment="1">
      <alignment horizontal="center" vertical="center" wrapText="1"/>
    </xf>
    <xf numFmtId="179" fontId="27" fillId="6" borderId="5" xfId="4" applyNumberFormat="1" applyFont="1" applyFill="1" applyBorder="1" applyAlignment="1">
      <alignment horizontal="center" vertical="center" wrapText="1"/>
    </xf>
    <xf numFmtId="179" fontId="27" fillId="6" borderId="3" xfId="4" applyNumberFormat="1" applyFont="1" applyFill="1" applyBorder="1" applyAlignment="1">
      <alignment horizontal="center" vertical="center" wrapText="1"/>
    </xf>
    <xf numFmtId="43" fontId="27" fillId="6" borderId="8" xfId="4" applyFont="1" applyFill="1" applyBorder="1" applyAlignment="1">
      <alignment horizontal="center" vertical="center" wrapText="1"/>
    </xf>
    <xf numFmtId="43" fontId="27" fillId="6" borderId="9" xfId="4" applyFont="1" applyFill="1" applyBorder="1" applyAlignment="1">
      <alignment horizontal="center" vertical="center" wrapText="1"/>
    </xf>
    <xf numFmtId="43" fontId="27" fillId="6" borderId="10" xfId="4" applyFont="1" applyFill="1" applyBorder="1" applyAlignment="1">
      <alignment horizontal="center" vertical="center" wrapText="1"/>
    </xf>
    <xf numFmtId="43" fontId="27" fillId="6" borderId="5" xfId="4" applyFont="1" applyFill="1" applyBorder="1" applyAlignment="1">
      <alignment horizontal="center" vertical="center" textRotation="90" wrapText="1"/>
    </xf>
    <xf numFmtId="43" fontId="27" fillId="6" borderId="12" xfId="4" applyFont="1" applyFill="1" applyBorder="1" applyAlignment="1">
      <alignment horizontal="center" vertical="center" textRotation="90" wrapText="1"/>
    </xf>
    <xf numFmtId="43" fontId="27" fillId="6" borderId="13" xfId="4" applyFont="1" applyFill="1" applyBorder="1" applyAlignment="1">
      <alignment horizontal="center" vertical="center" textRotation="90" wrapText="1"/>
    </xf>
    <xf numFmtId="3" fontId="42" fillId="6" borderId="4" xfId="0" applyNumberFormat="1" applyFont="1" applyFill="1" applyBorder="1" applyAlignment="1">
      <alignment horizontal="center" vertical="center" textRotation="90" wrapText="1"/>
    </xf>
    <xf numFmtId="0" fontId="42" fillId="6" borderId="3" xfId="0" applyFont="1" applyFill="1" applyBorder="1" applyAlignment="1">
      <alignment horizontal="center" vertical="center" textRotation="90" wrapText="1"/>
    </xf>
    <xf numFmtId="0" fontId="27" fillId="6" borderId="4" xfId="0" applyNumberFormat="1" applyFont="1" applyFill="1" applyBorder="1" applyAlignment="1">
      <alignment horizontal="center" vertical="center" wrapText="1"/>
    </xf>
    <xf numFmtId="0" fontId="27" fillId="6" borderId="5" xfId="0" applyNumberFormat="1" applyFont="1" applyFill="1" applyBorder="1" applyAlignment="1">
      <alignment horizontal="center" vertical="center" wrapText="1"/>
    </xf>
    <xf numFmtId="0" fontId="27" fillId="6" borderId="3" xfId="0" applyNumberFormat="1" applyFont="1" applyFill="1" applyBorder="1" applyAlignment="1">
      <alignment horizontal="center" vertical="center" wrapText="1"/>
    </xf>
    <xf numFmtId="3" fontId="27" fillId="6" borderId="4" xfId="0" applyNumberFormat="1" applyFont="1" applyFill="1" applyBorder="1" applyAlignment="1">
      <alignment horizontal="center" vertical="center" wrapText="1"/>
    </xf>
    <xf numFmtId="3" fontId="27" fillId="6" borderId="5" xfId="0" applyNumberFormat="1" applyFont="1" applyFill="1" applyBorder="1" applyAlignment="1">
      <alignment horizontal="center" vertical="center" wrapText="1"/>
    </xf>
    <xf numFmtId="3" fontId="27" fillId="6" borderId="3" xfId="0" applyNumberFormat="1" applyFont="1" applyFill="1" applyBorder="1" applyAlignment="1">
      <alignment horizontal="center" vertical="center" wrapText="1"/>
    </xf>
    <xf numFmtId="175" fontId="27" fillId="6" borderId="4" xfId="4" applyNumberFormat="1" applyFont="1" applyFill="1" applyBorder="1" applyAlignment="1">
      <alignment horizontal="center" vertical="center" textRotation="90" wrapText="1"/>
    </xf>
    <xf numFmtId="175" fontId="27" fillId="6" borderId="5" xfId="4" applyNumberFormat="1" applyFont="1" applyFill="1" applyBorder="1" applyAlignment="1">
      <alignment horizontal="center" vertical="center" textRotation="90" wrapText="1"/>
    </xf>
    <xf numFmtId="175" fontId="27" fillId="6" borderId="3" xfId="4" applyNumberFormat="1" applyFont="1" applyFill="1" applyBorder="1" applyAlignment="1">
      <alignment horizontal="center" vertical="center" textRotation="90" wrapText="1"/>
    </xf>
    <xf numFmtId="3" fontId="27" fillId="6" borderId="4" xfId="0" applyNumberFormat="1" applyFont="1" applyFill="1" applyBorder="1" applyAlignment="1">
      <alignment horizontal="center" vertical="center" textRotation="90" wrapText="1"/>
    </xf>
    <xf numFmtId="3" fontId="27" fillId="6" borderId="3" xfId="0" applyNumberFormat="1" applyFont="1" applyFill="1" applyBorder="1" applyAlignment="1">
      <alignment horizontal="center" vertical="center" textRotation="90" wrapText="1"/>
    </xf>
    <xf numFmtId="4" fontId="27" fillId="6" borderId="4" xfId="0" applyNumberFormat="1" applyFont="1" applyFill="1" applyBorder="1" applyAlignment="1">
      <alignment horizontal="center" vertical="center" textRotation="90" wrapText="1"/>
    </xf>
    <xf numFmtId="4" fontId="27" fillId="6" borderId="5" xfId="0" applyNumberFormat="1" applyFont="1" applyFill="1" applyBorder="1" applyAlignment="1">
      <alignment horizontal="center" vertical="center" textRotation="90" wrapText="1"/>
    </xf>
    <xf numFmtId="4" fontId="27" fillId="6" borderId="3" xfId="0" applyNumberFormat="1" applyFont="1" applyFill="1" applyBorder="1" applyAlignment="1">
      <alignment horizontal="center" vertical="center" textRotation="90" wrapText="1"/>
    </xf>
    <xf numFmtId="175" fontId="27" fillId="6" borderId="4" xfId="4" applyNumberFormat="1" applyFont="1" applyFill="1" applyBorder="1" applyAlignment="1">
      <alignment horizontal="center" vertical="center" wrapText="1"/>
    </xf>
    <xf numFmtId="175" fontId="27" fillId="6" borderId="5" xfId="4" applyNumberFormat="1" applyFont="1" applyFill="1" applyBorder="1" applyAlignment="1">
      <alignment horizontal="center" vertical="center" wrapText="1"/>
    </xf>
    <xf numFmtId="175" fontId="27" fillId="6" borderId="3" xfId="4" applyNumberFormat="1" applyFont="1" applyFill="1" applyBorder="1" applyAlignment="1">
      <alignment horizontal="center" vertical="center" wrapText="1"/>
    </xf>
    <xf numFmtId="0" fontId="27" fillId="6" borderId="4" xfId="0" applyFont="1" applyFill="1" applyBorder="1" applyAlignment="1">
      <alignment horizontal="center" vertical="center" wrapText="1"/>
    </xf>
    <xf numFmtId="0" fontId="27" fillId="6" borderId="5" xfId="0" applyFont="1" applyFill="1" applyBorder="1" applyAlignment="1">
      <alignment horizontal="center" vertical="center" wrapText="1"/>
    </xf>
    <xf numFmtId="0" fontId="27" fillId="6" borderId="3" xfId="0" applyFont="1" applyFill="1" applyBorder="1" applyAlignment="1">
      <alignment horizontal="center" vertical="center" wrapText="1"/>
    </xf>
    <xf numFmtId="3" fontId="27" fillId="6" borderId="5" xfId="0" applyNumberFormat="1" applyFont="1" applyFill="1" applyBorder="1" applyAlignment="1">
      <alignment horizontal="center" vertical="center" textRotation="90" wrapText="1"/>
    </xf>
    <xf numFmtId="4" fontId="27" fillId="6" borderId="4" xfId="0" applyNumberFormat="1" applyFont="1" applyFill="1" applyBorder="1" applyAlignment="1">
      <alignment horizontal="center" vertical="center" wrapText="1"/>
    </xf>
    <xf numFmtId="4" fontId="27" fillId="6" borderId="3" xfId="0" applyNumberFormat="1" applyFont="1" applyFill="1" applyBorder="1" applyAlignment="1">
      <alignment horizontal="center" vertical="center" wrapText="1"/>
    </xf>
    <xf numFmtId="10" fontId="27" fillId="6" borderId="14" xfId="12" applyNumberFormat="1" applyFont="1" applyFill="1" applyBorder="1" applyAlignment="1">
      <alignment horizontal="center" vertical="center" wrapText="1"/>
    </xf>
    <xf numFmtId="0" fontId="27" fillId="6" borderId="17" xfId="0" applyFont="1" applyFill="1" applyBorder="1" applyAlignment="1">
      <alignment horizontal="center" vertical="center"/>
    </xf>
    <xf numFmtId="0" fontId="27" fillId="6" borderId="6" xfId="0" applyFont="1" applyFill="1" applyBorder="1" applyAlignment="1">
      <alignment horizontal="center" vertical="center"/>
    </xf>
    <xf numFmtId="0" fontId="27" fillId="6" borderId="7" xfId="0" applyFont="1" applyFill="1" applyBorder="1" applyAlignment="1">
      <alignment horizontal="center" vertical="center"/>
    </xf>
    <xf numFmtId="10" fontId="27" fillId="6" borderId="4" xfId="12" applyNumberFormat="1" applyFont="1" applyFill="1" applyBorder="1" applyAlignment="1">
      <alignment horizontal="center" vertical="center" wrapText="1"/>
    </xf>
    <xf numFmtId="0" fontId="27" fillId="6" borderId="17" xfId="0" applyFont="1" applyFill="1" applyBorder="1" applyAlignment="1">
      <alignment horizontal="center" vertical="center" wrapText="1"/>
    </xf>
    <xf numFmtId="0" fontId="27" fillId="6" borderId="6" xfId="0" applyFont="1" applyFill="1" applyBorder="1" applyAlignment="1">
      <alignment horizontal="center" vertical="center" wrapText="1"/>
    </xf>
    <xf numFmtId="0" fontId="27" fillId="6" borderId="7" xfId="0" applyFont="1" applyFill="1" applyBorder="1" applyAlignment="1">
      <alignment horizontal="center" vertical="center" wrapText="1"/>
    </xf>
    <xf numFmtId="0" fontId="27" fillId="6" borderId="12" xfId="0" applyFont="1" applyFill="1" applyBorder="1" applyAlignment="1">
      <alignment horizontal="center" vertical="center" wrapText="1"/>
    </xf>
    <xf numFmtId="0" fontId="27" fillId="6" borderId="13" xfId="0" applyFont="1" applyFill="1" applyBorder="1" applyAlignment="1">
      <alignment horizontal="center" vertical="center" wrapText="1"/>
    </xf>
    <xf numFmtId="0" fontId="27" fillId="6" borderId="8" xfId="0" applyFont="1" applyFill="1" applyBorder="1" applyAlignment="1">
      <alignment horizontal="center" vertical="center" wrapText="1"/>
    </xf>
    <xf numFmtId="0" fontId="27" fillId="6" borderId="10" xfId="0" applyFont="1" applyFill="1" applyBorder="1" applyAlignment="1">
      <alignment horizontal="center" vertical="center" wrapText="1"/>
    </xf>
    <xf numFmtId="0" fontId="27" fillId="6" borderId="17" xfId="0" applyFont="1" applyFill="1" applyBorder="1" applyAlignment="1">
      <alignment horizontal="center"/>
    </xf>
    <xf numFmtId="0" fontId="27" fillId="6" borderId="6" xfId="0" applyFont="1" applyFill="1" applyBorder="1" applyAlignment="1">
      <alignment horizontal="center"/>
    </xf>
    <xf numFmtId="0" fontId="27" fillId="6" borderId="7" xfId="0" applyFont="1" applyFill="1" applyBorder="1" applyAlignment="1">
      <alignment horizontal="center"/>
    </xf>
    <xf numFmtId="43" fontId="27" fillId="6" borderId="4" xfId="4" applyFont="1" applyFill="1" applyBorder="1" applyAlignment="1">
      <alignment horizontal="center" vertical="center" wrapText="1"/>
    </xf>
    <xf numFmtId="43" fontId="27" fillId="6" borderId="3" xfId="4" applyFont="1" applyFill="1" applyBorder="1" applyAlignment="1">
      <alignment horizontal="center" vertical="center" wrapText="1"/>
    </xf>
    <xf numFmtId="0" fontId="27" fillId="6" borderId="14" xfId="0" applyFont="1" applyFill="1" applyBorder="1" applyAlignment="1">
      <alignment horizontal="center" vertical="center" wrapText="1"/>
    </xf>
    <xf numFmtId="43" fontId="27" fillId="6" borderId="5" xfId="4" applyFont="1" applyFill="1" applyBorder="1" applyAlignment="1">
      <alignment horizontal="center" vertical="center" wrapText="1"/>
    </xf>
    <xf numFmtId="0" fontId="27" fillId="6" borderId="11" xfId="0" applyFont="1" applyFill="1" applyBorder="1" applyAlignment="1">
      <alignment horizontal="center" vertical="center" wrapText="1"/>
    </xf>
    <xf numFmtId="0" fontId="27" fillId="6" borderId="9" xfId="0" applyFont="1" applyFill="1" applyBorder="1" applyAlignment="1">
      <alignment horizontal="center" vertical="center" wrapText="1"/>
    </xf>
    <xf numFmtId="0" fontId="17" fillId="34" borderId="17" xfId="11" applyFont="1" applyFill="1" applyBorder="1" applyAlignment="1">
      <alignment horizontal="center"/>
    </xf>
    <xf numFmtId="0" fontId="17" fillId="34" borderId="6" xfId="11" applyFont="1" applyFill="1" applyBorder="1" applyAlignment="1">
      <alignment horizontal="center"/>
    </xf>
    <xf numFmtId="0" fontId="17" fillId="34" borderId="7" xfId="11" applyFont="1" applyFill="1" applyBorder="1" applyAlignment="1">
      <alignment horizontal="center"/>
    </xf>
    <xf numFmtId="0" fontId="27" fillId="6" borderId="4" xfId="15" applyFont="1" applyFill="1" applyBorder="1" applyAlignment="1">
      <alignment horizontal="center" vertical="center" wrapText="1"/>
    </xf>
    <xf numFmtId="0" fontId="27" fillId="6" borderId="3" xfId="15" applyFont="1" applyFill="1" applyBorder="1" applyAlignment="1">
      <alignment horizontal="center" vertical="center" wrapText="1"/>
    </xf>
    <xf numFmtId="0" fontId="27" fillId="6" borderId="8" xfId="15" applyFont="1" applyFill="1" applyBorder="1" applyAlignment="1">
      <alignment horizontal="center" vertical="center" wrapText="1"/>
    </xf>
    <xf numFmtId="0" fontId="27" fillId="6" borderId="10" xfId="15" applyFont="1" applyFill="1" applyBorder="1" applyAlignment="1">
      <alignment horizontal="center" vertical="center" wrapText="1"/>
    </xf>
    <xf numFmtId="167" fontId="27" fillId="6" borderId="17" xfId="12" applyNumberFormat="1" applyFont="1" applyFill="1" applyBorder="1" applyAlignment="1">
      <alignment horizontal="center" vertical="center" wrapText="1"/>
    </xf>
    <xf numFmtId="167" fontId="27" fillId="6" borderId="6" xfId="12" applyNumberFormat="1" applyFont="1" applyFill="1" applyBorder="1" applyAlignment="1">
      <alignment horizontal="center" vertical="center" wrapText="1"/>
    </xf>
    <xf numFmtId="167" fontId="27" fillId="6" borderId="7" xfId="12" applyNumberFormat="1" applyFont="1" applyFill="1" applyBorder="1" applyAlignment="1">
      <alignment horizontal="center" vertical="center" wrapText="1"/>
    </xf>
    <xf numFmtId="167" fontId="27" fillId="10" borderId="4" xfId="12" applyNumberFormat="1" applyFont="1" applyFill="1" applyBorder="1" applyAlignment="1">
      <alignment horizontal="center" vertical="center" wrapText="1"/>
    </xf>
    <xf numFmtId="167" fontId="27" fillId="10" borderId="3" xfId="12" applyNumberFormat="1" applyFont="1" applyFill="1" applyBorder="1" applyAlignment="1">
      <alignment horizontal="center" vertical="center" wrapText="1"/>
    </xf>
    <xf numFmtId="167" fontId="27" fillId="6" borderId="4" xfId="12" applyNumberFormat="1" applyFont="1" applyFill="1" applyBorder="1" applyAlignment="1">
      <alignment horizontal="center" vertical="center" wrapText="1"/>
    </xf>
    <xf numFmtId="167" fontId="27" fillId="6" borderId="3" xfId="12" applyNumberFormat="1" applyFont="1" applyFill="1" applyBorder="1" applyAlignment="1">
      <alignment horizontal="center" vertical="center" wrapText="1"/>
    </xf>
    <xf numFmtId="167" fontId="27" fillId="6" borderId="12" xfId="12" applyNumberFormat="1" applyFont="1" applyFill="1" applyBorder="1" applyAlignment="1">
      <alignment horizontal="center" vertical="center" wrapText="1"/>
    </xf>
    <xf numFmtId="167" fontId="27" fillId="6" borderId="13" xfId="12" applyNumberFormat="1" applyFont="1" applyFill="1" applyBorder="1" applyAlignment="1">
      <alignment horizontal="center" vertical="center" wrapText="1"/>
    </xf>
    <xf numFmtId="1" fontId="30" fillId="4" borderId="0" xfId="11" applyNumberFormat="1" applyFont="1" applyFill="1" applyAlignment="1">
      <alignment horizontal="left" vertical="center"/>
    </xf>
    <xf numFmtId="0" fontId="30" fillId="4" borderId="0" xfId="0" applyFont="1" applyFill="1" applyAlignment="1">
      <alignment vertical="center"/>
    </xf>
    <xf numFmtId="167" fontId="27" fillId="6" borderId="5" xfId="12" applyNumberFormat="1" applyFont="1" applyFill="1" applyBorder="1" applyAlignment="1">
      <alignment horizontal="center" vertical="center" wrapText="1"/>
    </xf>
    <xf numFmtId="167" fontId="27" fillId="6" borderId="15" xfId="12" applyNumberFormat="1" applyFont="1" applyFill="1" applyBorder="1" applyAlignment="1">
      <alignment horizontal="center" vertical="center" wrapText="1"/>
    </xf>
    <xf numFmtId="1" fontId="69" fillId="4" borderId="0" xfId="11" applyNumberFormat="1" applyFont="1" applyFill="1" applyAlignment="1">
      <alignment horizontal="left" vertical="center"/>
    </xf>
    <xf numFmtId="0" fontId="69" fillId="4" borderId="0" xfId="0" applyFont="1" applyFill="1" applyAlignment="1">
      <alignment vertical="center"/>
    </xf>
    <xf numFmtId="167" fontId="27" fillId="6" borderId="8" xfId="12" applyNumberFormat="1" applyFont="1" applyFill="1" applyBorder="1" applyAlignment="1">
      <alignment horizontal="center" vertical="center" wrapText="1"/>
    </xf>
    <xf numFmtId="15" fontId="36" fillId="9" borderId="0" xfId="0" applyNumberFormat="1" applyFont="1" applyFill="1" applyAlignment="1" applyProtection="1">
      <alignment horizontal="center"/>
      <protection locked="0"/>
    </xf>
  </cellXfs>
  <cellStyles count="668">
    <cellStyle name="20 % - Accent1 2" xfId="349" xr:uid="{00000000-0005-0000-0000-000000000000}"/>
    <cellStyle name="20 % - Accent2 2" xfId="350" xr:uid="{00000000-0005-0000-0000-000001000000}"/>
    <cellStyle name="20 % - Accent3 2" xfId="351" xr:uid="{00000000-0005-0000-0000-000002000000}"/>
    <cellStyle name="20 % - Accent4 2" xfId="352" xr:uid="{00000000-0005-0000-0000-000003000000}"/>
    <cellStyle name="20 % - Accent5 2" xfId="353" xr:uid="{00000000-0005-0000-0000-000004000000}"/>
    <cellStyle name="20 % - Accent6 2" xfId="354" xr:uid="{00000000-0005-0000-0000-000005000000}"/>
    <cellStyle name="40 % - Accent1 2" xfId="355" xr:uid="{00000000-0005-0000-0000-000006000000}"/>
    <cellStyle name="40 % - Accent2 2" xfId="356" xr:uid="{00000000-0005-0000-0000-000007000000}"/>
    <cellStyle name="40 % - Accent3 2" xfId="357" xr:uid="{00000000-0005-0000-0000-000008000000}"/>
    <cellStyle name="40 % - Accent4 2" xfId="358" xr:uid="{00000000-0005-0000-0000-000009000000}"/>
    <cellStyle name="40 % - Accent5 2" xfId="359" xr:uid="{00000000-0005-0000-0000-00000A000000}"/>
    <cellStyle name="40 % - Accent6 2" xfId="360" xr:uid="{00000000-0005-0000-0000-00000B000000}"/>
    <cellStyle name="60 % - Accent1 2" xfId="361" xr:uid="{00000000-0005-0000-0000-00000C000000}"/>
    <cellStyle name="60 % - Accent2 2" xfId="362" xr:uid="{00000000-0005-0000-0000-00000D000000}"/>
    <cellStyle name="60 % - Accent3 2" xfId="363" xr:uid="{00000000-0005-0000-0000-00000E000000}"/>
    <cellStyle name="60 % - Accent4 2" xfId="364" xr:uid="{00000000-0005-0000-0000-00000F000000}"/>
    <cellStyle name="60 % - Accent5 2" xfId="365" xr:uid="{00000000-0005-0000-0000-000010000000}"/>
    <cellStyle name="60 % - Accent6 2" xfId="366" xr:uid="{00000000-0005-0000-0000-000011000000}"/>
    <cellStyle name="Accent1 2" xfId="367" xr:uid="{00000000-0005-0000-0000-000012000000}"/>
    <cellStyle name="Accent2 2" xfId="368" xr:uid="{00000000-0005-0000-0000-000013000000}"/>
    <cellStyle name="Accent3 2" xfId="369" xr:uid="{00000000-0005-0000-0000-000014000000}"/>
    <cellStyle name="Accent4 2" xfId="370" xr:uid="{00000000-0005-0000-0000-000015000000}"/>
    <cellStyle name="Accent5 2" xfId="371" xr:uid="{00000000-0005-0000-0000-000016000000}"/>
    <cellStyle name="Accent6 2" xfId="372" xr:uid="{00000000-0005-0000-0000-000017000000}"/>
    <cellStyle name="Avertissement 2" xfId="373" xr:uid="{00000000-0005-0000-0000-000018000000}"/>
    <cellStyle name="Calcul 2" xfId="374" xr:uid="{00000000-0005-0000-0000-000019000000}"/>
    <cellStyle name="Cellule liée 2" xfId="375" xr:uid="{00000000-0005-0000-0000-00001A000000}"/>
    <cellStyle name="cexColumnHeadings" xfId="1" xr:uid="{00000000-0005-0000-0000-00001B000000}"/>
    <cellStyle name="cexColumnHeadings 2" xfId="393" xr:uid="{00000000-0005-0000-0000-00001C000000}"/>
    <cellStyle name="cexReportTitle" xfId="2" xr:uid="{00000000-0005-0000-0000-00001D000000}"/>
    <cellStyle name="cexTableEntry" xfId="3" xr:uid="{00000000-0005-0000-0000-00001E000000}"/>
    <cellStyle name="cexTableEntry 2" xfId="394" xr:uid="{00000000-0005-0000-0000-00001F000000}"/>
    <cellStyle name="Entrée 2" xfId="376" xr:uid="{00000000-0005-0000-0000-000020000000}"/>
    <cellStyle name="Insatisfaisant 2" xfId="377" xr:uid="{00000000-0005-0000-0000-000021000000}"/>
    <cellStyle name="Milliers" xfId="4" builtinId="3"/>
    <cellStyle name="Milliers 2" xfId="5" xr:uid="{00000000-0005-0000-0000-000023000000}"/>
    <cellStyle name="Milliers 3" xfId="6" xr:uid="{00000000-0005-0000-0000-000024000000}"/>
    <cellStyle name="Milliers 3 10" xfId="139" xr:uid="{00000000-0005-0000-0000-000025000000}"/>
    <cellStyle name="Milliers 3 10 2" xfId="395" xr:uid="{00000000-0005-0000-0000-000026000000}"/>
    <cellStyle name="Milliers 3 10 3" xfId="615" xr:uid="{00000000-0005-0000-0000-000027000000}"/>
    <cellStyle name="Milliers 3 11" xfId="156" xr:uid="{00000000-0005-0000-0000-000028000000}"/>
    <cellStyle name="Milliers 3 11 2" xfId="424" xr:uid="{00000000-0005-0000-0000-000029000000}"/>
    <cellStyle name="Milliers 3 11 3" xfId="644" xr:uid="{00000000-0005-0000-0000-00002A000000}"/>
    <cellStyle name="Milliers 3 12" xfId="173" xr:uid="{00000000-0005-0000-0000-00002B000000}"/>
    <cellStyle name="Milliers 3 13" xfId="448" xr:uid="{00000000-0005-0000-0000-00002C000000}"/>
    <cellStyle name="Milliers 3 2" xfId="16" xr:uid="{00000000-0005-0000-0000-00002D000000}"/>
    <cellStyle name="Milliers 3 2 10" xfId="158" xr:uid="{00000000-0005-0000-0000-00002E000000}"/>
    <cellStyle name="Milliers 3 2 10 2" xfId="426" xr:uid="{00000000-0005-0000-0000-00002F000000}"/>
    <cellStyle name="Milliers 3 2 10 3" xfId="646" xr:uid="{00000000-0005-0000-0000-000030000000}"/>
    <cellStyle name="Milliers 3 2 11" xfId="175" xr:uid="{00000000-0005-0000-0000-000031000000}"/>
    <cellStyle name="Milliers 3 2 12" xfId="450" xr:uid="{00000000-0005-0000-0000-000032000000}"/>
    <cellStyle name="Milliers 3 2 2" xfId="19" xr:uid="{00000000-0005-0000-0000-000033000000}"/>
    <cellStyle name="Milliers 3 2 2 10" xfId="452" xr:uid="{00000000-0005-0000-0000-000034000000}"/>
    <cellStyle name="Milliers 3 2 2 2" xfId="35" xr:uid="{00000000-0005-0000-0000-000035000000}"/>
    <cellStyle name="Milliers 3 2 2 2 2" xfId="59" xr:uid="{00000000-0005-0000-0000-000036000000}"/>
    <cellStyle name="Milliers 3 2 2 2 2 2" xfId="310" xr:uid="{00000000-0005-0000-0000-000037000000}"/>
    <cellStyle name="Milliers 3 2 2 2 2 2 2" xfId="576" xr:uid="{00000000-0005-0000-0000-000038000000}"/>
    <cellStyle name="Milliers 3 2 2 2 2 3" xfId="219" xr:uid="{00000000-0005-0000-0000-000039000000}"/>
    <cellStyle name="Milliers 3 2 2 2 2 4" xfId="493" xr:uid="{00000000-0005-0000-0000-00003A000000}"/>
    <cellStyle name="Milliers 3 2 2 2 3" xfId="88" xr:uid="{00000000-0005-0000-0000-00003B000000}"/>
    <cellStyle name="Milliers 3 2 2 2 3 2" xfId="339" xr:uid="{00000000-0005-0000-0000-00003C000000}"/>
    <cellStyle name="Milliers 3 2 2 2 3 2 2" xfId="605" xr:uid="{00000000-0005-0000-0000-00003D000000}"/>
    <cellStyle name="Milliers 3 2 2 2 3 3" xfId="248" xr:uid="{00000000-0005-0000-0000-00003E000000}"/>
    <cellStyle name="Milliers 3 2 2 2 3 4" xfId="522" xr:uid="{00000000-0005-0000-0000-00003F000000}"/>
    <cellStyle name="Milliers 3 2 2 2 4" xfId="111" xr:uid="{00000000-0005-0000-0000-000040000000}"/>
    <cellStyle name="Milliers 3 2 2 2 4 2" xfId="283" xr:uid="{00000000-0005-0000-0000-000041000000}"/>
    <cellStyle name="Milliers 3 2 2 2 4 3" xfId="549" xr:uid="{00000000-0005-0000-0000-000042000000}"/>
    <cellStyle name="Milliers 3 2 2 2 5" xfId="416" xr:uid="{00000000-0005-0000-0000-000043000000}"/>
    <cellStyle name="Milliers 3 2 2 2 5 2" xfId="636" xr:uid="{00000000-0005-0000-0000-000044000000}"/>
    <cellStyle name="Milliers 3 2 2 2 6" xfId="442" xr:uid="{00000000-0005-0000-0000-000045000000}"/>
    <cellStyle name="Milliers 3 2 2 2 6 2" xfId="662" xr:uid="{00000000-0005-0000-0000-000046000000}"/>
    <cellStyle name="Milliers 3 2 2 2 7" xfId="191" xr:uid="{00000000-0005-0000-0000-000047000000}"/>
    <cellStyle name="Milliers 3 2 2 2 8" xfId="466" xr:uid="{00000000-0005-0000-0000-000048000000}"/>
    <cellStyle name="Milliers 3 2 2 3" xfId="45" xr:uid="{00000000-0005-0000-0000-000049000000}"/>
    <cellStyle name="Milliers 3 2 2 3 2" xfId="293" xr:uid="{00000000-0005-0000-0000-00004A000000}"/>
    <cellStyle name="Milliers 3 2 2 3 2 2" xfId="559" xr:uid="{00000000-0005-0000-0000-00004B000000}"/>
    <cellStyle name="Milliers 3 2 2 3 3" xfId="201" xr:uid="{00000000-0005-0000-0000-00004C000000}"/>
    <cellStyle name="Milliers 3 2 2 3 4" xfId="476" xr:uid="{00000000-0005-0000-0000-00004D000000}"/>
    <cellStyle name="Milliers 3 2 2 4" xfId="71" xr:uid="{00000000-0005-0000-0000-00004E000000}"/>
    <cellStyle name="Milliers 3 2 2 4 2" xfId="322" xr:uid="{00000000-0005-0000-0000-00004F000000}"/>
    <cellStyle name="Milliers 3 2 2 4 2 2" xfId="588" xr:uid="{00000000-0005-0000-0000-000050000000}"/>
    <cellStyle name="Milliers 3 2 2 4 3" xfId="231" xr:uid="{00000000-0005-0000-0000-000051000000}"/>
    <cellStyle name="Milliers 3 2 2 4 4" xfId="505" xr:uid="{00000000-0005-0000-0000-000052000000}"/>
    <cellStyle name="Milliers 3 2 2 5" xfId="97" xr:uid="{00000000-0005-0000-0000-000053000000}"/>
    <cellStyle name="Milliers 3 2 2 5 2" xfId="268" xr:uid="{00000000-0005-0000-0000-000054000000}"/>
    <cellStyle name="Milliers 3 2 2 5 3" xfId="535" xr:uid="{00000000-0005-0000-0000-000055000000}"/>
    <cellStyle name="Milliers 3 2 2 6" xfId="124" xr:uid="{00000000-0005-0000-0000-000056000000}"/>
    <cellStyle name="Milliers 3 2 2 6 2" xfId="399" xr:uid="{00000000-0005-0000-0000-000057000000}"/>
    <cellStyle name="Milliers 3 2 2 6 3" xfId="619" xr:uid="{00000000-0005-0000-0000-000058000000}"/>
    <cellStyle name="Milliers 3 2 2 7" xfId="143" xr:uid="{00000000-0005-0000-0000-000059000000}"/>
    <cellStyle name="Milliers 3 2 2 7 2" xfId="428" xr:uid="{00000000-0005-0000-0000-00005A000000}"/>
    <cellStyle name="Milliers 3 2 2 7 3" xfId="648" xr:uid="{00000000-0005-0000-0000-00005B000000}"/>
    <cellStyle name="Milliers 3 2 2 8" xfId="160" xr:uid="{00000000-0005-0000-0000-00005C000000}"/>
    <cellStyle name="Milliers 3 2 2 9" xfId="177" xr:uid="{00000000-0005-0000-0000-00005D000000}"/>
    <cellStyle name="Milliers 3 2 3" xfId="20" xr:uid="{00000000-0005-0000-0000-00005E000000}"/>
    <cellStyle name="Milliers 3 2 3 10" xfId="453" xr:uid="{00000000-0005-0000-0000-00005F000000}"/>
    <cellStyle name="Milliers 3 2 3 2" xfId="39" xr:uid="{00000000-0005-0000-0000-000060000000}"/>
    <cellStyle name="Milliers 3 2 3 2 2" xfId="63" xr:uid="{00000000-0005-0000-0000-000061000000}"/>
    <cellStyle name="Milliers 3 2 3 2 2 2" xfId="311" xr:uid="{00000000-0005-0000-0000-000062000000}"/>
    <cellStyle name="Milliers 3 2 3 2 2 2 2" xfId="577" xr:uid="{00000000-0005-0000-0000-000063000000}"/>
    <cellStyle name="Milliers 3 2 3 2 2 3" xfId="220" xr:uid="{00000000-0005-0000-0000-000064000000}"/>
    <cellStyle name="Milliers 3 2 3 2 2 4" xfId="494" xr:uid="{00000000-0005-0000-0000-000065000000}"/>
    <cellStyle name="Milliers 3 2 3 2 3" xfId="91" xr:uid="{00000000-0005-0000-0000-000066000000}"/>
    <cellStyle name="Milliers 3 2 3 2 3 2" xfId="340" xr:uid="{00000000-0005-0000-0000-000067000000}"/>
    <cellStyle name="Milliers 3 2 3 2 3 2 2" xfId="606" xr:uid="{00000000-0005-0000-0000-000068000000}"/>
    <cellStyle name="Milliers 3 2 3 2 3 3" xfId="249" xr:uid="{00000000-0005-0000-0000-000069000000}"/>
    <cellStyle name="Milliers 3 2 3 2 3 4" xfId="523" xr:uid="{00000000-0005-0000-0000-00006A000000}"/>
    <cellStyle name="Milliers 3 2 3 2 4" xfId="115" xr:uid="{00000000-0005-0000-0000-00006B000000}"/>
    <cellStyle name="Milliers 3 2 3 2 4 2" xfId="287" xr:uid="{00000000-0005-0000-0000-00006C000000}"/>
    <cellStyle name="Milliers 3 2 3 2 4 3" xfId="553" xr:uid="{00000000-0005-0000-0000-00006D000000}"/>
    <cellStyle name="Milliers 3 2 3 2 5" xfId="417" xr:uid="{00000000-0005-0000-0000-00006E000000}"/>
    <cellStyle name="Milliers 3 2 3 2 5 2" xfId="637" xr:uid="{00000000-0005-0000-0000-00006F000000}"/>
    <cellStyle name="Milliers 3 2 3 2 6" xfId="446" xr:uid="{00000000-0005-0000-0000-000070000000}"/>
    <cellStyle name="Milliers 3 2 3 2 6 2" xfId="666" xr:uid="{00000000-0005-0000-0000-000071000000}"/>
    <cellStyle name="Milliers 3 2 3 2 7" xfId="195" xr:uid="{00000000-0005-0000-0000-000072000000}"/>
    <cellStyle name="Milliers 3 2 3 2 8" xfId="470" xr:uid="{00000000-0005-0000-0000-000073000000}"/>
    <cellStyle name="Milliers 3 2 3 3" xfId="46" xr:uid="{00000000-0005-0000-0000-000074000000}"/>
    <cellStyle name="Milliers 3 2 3 3 2" xfId="294" xr:uid="{00000000-0005-0000-0000-000075000000}"/>
    <cellStyle name="Milliers 3 2 3 3 2 2" xfId="560" xr:uid="{00000000-0005-0000-0000-000076000000}"/>
    <cellStyle name="Milliers 3 2 3 3 3" xfId="202" xr:uid="{00000000-0005-0000-0000-000077000000}"/>
    <cellStyle name="Milliers 3 2 3 3 4" xfId="477" xr:uid="{00000000-0005-0000-0000-000078000000}"/>
    <cellStyle name="Milliers 3 2 3 4" xfId="72" xr:uid="{00000000-0005-0000-0000-000079000000}"/>
    <cellStyle name="Milliers 3 2 3 4 2" xfId="323" xr:uid="{00000000-0005-0000-0000-00007A000000}"/>
    <cellStyle name="Milliers 3 2 3 4 2 2" xfId="589" xr:uid="{00000000-0005-0000-0000-00007B000000}"/>
    <cellStyle name="Milliers 3 2 3 4 3" xfId="232" xr:uid="{00000000-0005-0000-0000-00007C000000}"/>
    <cellStyle name="Milliers 3 2 3 4 4" xfId="506" xr:uid="{00000000-0005-0000-0000-00007D000000}"/>
    <cellStyle name="Milliers 3 2 3 5" xfId="98" xr:uid="{00000000-0005-0000-0000-00007E000000}"/>
    <cellStyle name="Milliers 3 2 3 5 2" xfId="269" xr:uid="{00000000-0005-0000-0000-00007F000000}"/>
    <cellStyle name="Milliers 3 2 3 5 3" xfId="536" xr:uid="{00000000-0005-0000-0000-000080000000}"/>
    <cellStyle name="Milliers 3 2 3 6" xfId="125" xr:uid="{00000000-0005-0000-0000-000081000000}"/>
    <cellStyle name="Milliers 3 2 3 6 2" xfId="400" xr:uid="{00000000-0005-0000-0000-000082000000}"/>
    <cellStyle name="Milliers 3 2 3 6 3" xfId="620" xr:uid="{00000000-0005-0000-0000-000083000000}"/>
    <cellStyle name="Milliers 3 2 3 7" xfId="144" xr:uid="{00000000-0005-0000-0000-000084000000}"/>
    <cellStyle name="Milliers 3 2 3 7 2" xfId="429" xr:uid="{00000000-0005-0000-0000-000085000000}"/>
    <cellStyle name="Milliers 3 2 3 7 3" xfId="649" xr:uid="{00000000-0005-0000-0000-000086000000}"/>
    <cellStyle name="Milliers 3 2 3 8" xfId="161" xr:uid="{00000000-0005-0000-0000-000087000000}"/>
    <cellStyle name="Milliers 3 2 3 9" xfId="178" xr:uid="{00000000-0005-0000-0000-000088000000}"/>
    <cellStyle name="Milliers 3 2 4" xfId="31" xr:uid="{00000000-0005-0000-0000-000089000000}"/>
    <cellStyle name="Milliers 3 2 4 2" xfId="55" xr:uid="{00000000-0005-0000-0000-00008A000000}"/>
    <cellStyle name="Milliers 3 2 4 2 2" xfId="304" xr:uid="{00000000-0005-0000-0000-00008B000000}"/>
    <cellStyle name="Milliers 3 2 4 2 2 2" xfId="570" xr:uid="{00000000-0005-0000-0000-00008C000000}"/>
    <cellStyle name="Milliers 3 2 4 2 3" xfId="213" xr:uid="{00000000-0005-0000-0000-00008D000000}"/>
    <cellStyle name="Milliers 3 2 4 2 4" xfId="487" xr:uid="{00000000-0005-0000-0000-00008E000000}"/>
    <cellStyle name="Milliers 3 2 4 3" xfId="86" xr:uid="{00000000-0005-0000-0000-00008F000000}"/>
    <cellStyle name="Milliers 3 2 4 3 2" xfId="333" xr:uid="{00000000-0005-0000-0000-000090000000}"/>
    <cellStyle name="Milliers 3 2 4 3 2 2" xfId="599" xr:uid="{00000000-0005-0000-0000-000091000000}"/>
    <cellStyle name="Milliers 3 2 4 3 3" xfId="242" xr:uid="{00000000-0005-0000-0000-000092000000}"/>
    <cellStyle name="Milliers 3 2 4 3 4" xfId="516" xr:uid="{00000000-0005-0000-0000-000093000000}"/>
    <cellStyle name="Milliers 3 2 4 4" xfId="107" xr:uid="{00000000-0005-0000-0000-000094000000}"/>
    <cellStyle name="Milliers 3 2 4 4 2" xfId="279" xr:uid="{00000000-0005-0000-0000-000095000000}"/>
    <cellStyle name="Milliers 3 2 4 4 3" xfId="545" xr:uid="{00000000-0005-0000-0000-000096000000}"/>
    <cellStyle name="Milliers 3 2 4 5" xfId="135" xr:uid="{00000000-0005-0000-0000-000097000000}"/>
    <cellStyle name="Milliers 3 2 4 5 2" xfId="410" xr:uid="{00000000-0005-0000-0000-000098000000}"/>
    <cellStyle name="Milliers 3 2 4 5 3" xfId="630" xr:uid="{00000000-0005-0000-0000-000099000000}"/>
    <cellStyle name="Milliers 3 2 4 6" xfId="154" xr:uid="{00000000-0005-0000-0000-00009A000000}"/>
    <cellStyle name="Milliers 3 2 4 6 2" xfId="438" xr:uid="{00000000-0005-0000-0000-00009B000000}"/>
    <cellStyle name="Milliers 3 2 4 6 3" xfId="658" xr:uid="{00000000-0005-0000-0000-00009C000000}"/>
    <cellStyle name="Milliers 3 2 4 7" xfId="171" xr:uid="{00000000-0005-0000-0000-00009D000000}"/>
    <cellStyle name="Milliers 3 2 4 8" xfId="187" xr:uid="{00000000-0005-0000-0000-00009E000000}"/>
    <cellStyle name="Milliers 3 2 4 9" xfId="462" xr:uid="{00000000-0005-0000-0000-00009F000000}"/>
    <cellStyle name="Milliers 3 2 5" xfId="43" xr:uid="{00000000-0005-0000-0000-0000A0000000}"/>
    <cellStyle name="Milliers 3 2 5 2" xfId="246" xr:uid="{00000000-0005-0000-0000-0000A1000000}"/>
    <cellStyle name="Milliers 3 2 5 2 2" xfId="337" xr:uid="{00000000-0005-0000-0000-0000A2000000}"/>
    <cellStyle name="Milliers 3 2 5 2 2 2" xfId="603" xr:uid="{00000000-0005-0000-0000-0000A3000000}"/>
    <cellStyle name="Milliers 3 2 5 2 3" xfId="520" xr:uid="{00000000-0005-0000-0000-0000A4000000}"/>
    <cellStyle name="Milliers 3 2 5 3" xfId="308" xr:uid="{00000000-0005-0000-0000-0000A5000000}"/>
    <cellStyle name="Milliers 3 2 5 3 2" xfId="574" xr:uid="{00000000-0005-0000-0000-0000A6000000}"/>
    <cellStyle name="Milliers 3 2 5 4" xfId="414" xr:uid="{00000000-0005-0000-0000-0000A7000000}"/>
    <cellStyle name="Milliers 3 2 5 4 2" xfId="634" xr:uid="{00000000-0005-0000-0000-0000A8000000}"/>
    <cellStyle name="Milliers 3 2 5 5" xfId="217" xr:uid="{00000000-0005-0000-0000-0000A9000000}"/>
    <cellStyle name="Milliers 3 2 5 6" xfId="491" xr:uid="{00000000-0005-0000-0000-0000AA000000}"/>
    <cellStyle name="Milliers 3 2 6" xfId="69" xr:uid="{00000000-0005-0000-0000-0000AB000000}"/>
    <cellStyle name="Milliers 3 2 6 2" xfId="291" xr:uid="{00000000-0005-0000-0000-0000AC000000}"/>
    <cellStyle name="Milliers 3 2 6 2 2" xfId="557" xr:uid="{00000000-0005-0000-0000-0000AD000000}"/>
    <cellStyle name="Milliers 3 2 6 3" xfId="199" xr:uid="{00000000-0005-0000-0000-0000AE000000}"/>
    <cellStyle name="Milliers 3 2 6 4" xfId="474" xr:uid="{00000000-0005-0000-0000-0000AF000000}"/>
    <cellStyle name="Milliers 3 2 7" xfId="95" xr:uid="{00000000-0005-0000-0000-0000B0000000}"/>
    <cellStyle name="Milliers 3 2 7 2" xfId="320" xr:uid="{00000000-0005-0000-0000-0000B1000000}"/>
    <cellStyle name="Milliers 3 2 7 2 2" xfId="586" xr:uid="{00000000-0005-0000-0000-0000B2000000}"/>
    <cellStyle name="Milliers 3 2 7 3" xfId="229" xr:uid="{00000000-0005-0000-0000-0000B3000000}"/>
    <cellStyle name="Milliers 3 2 7 4" xfId="503" xr:uid="{00000000-0005-0000-0000-0000B4000000}"/>
    <cellStyle name="Milliers 3 2 8" xfId="122" xr:uid="{00000000-0005-0000-0000-0000B5000000}"/>
    <cellStyle name="Milliers 3 2 8 2" xfId="266" xr:uid="{00000000-0005-0000-0000-0000B6000000}"/>
    <cellStyle name="Milliers 3 2 8 3" xfId="533" xr:uid="{00000000-0005-0000-0000-0000B7000000}"/>
    <cellStyle name="Milliers 3 2 9" xfId="141" xr:uid="{00000000-0005-0000-0000-0000B8000000}"/>
    <cellStyle name="Milliers 3 2 9 2" xfId="397" xr:uid="{00000000-0005-0000-0000-0000B9000000}"/>
    <cellStyle name="Milliers 3 2 9 3" xfId="617" xr:uid="{00000000-0005-0000-0000-0000BA000000}"/>
    <cellStyle name="Milliers 3 3" xfId="21" xr:uid="{00000000-0005-0000-0000-0000BB000000}"/>
    <cellStyle name="Milliers 3 3 10" xfId="454" xr:uid="{00000000-0005-0000-0000-0000BC000000}"/>
    <cellStyle name="Milliers 3 3 2" xfId="33" xr:uid="{00000000-0005-0000-0000-0000BD000000}"/>
    <cellStyle name="Milliers 3 3 2 2" xfId="57" xr:uid="{00000000-0005-0000-0000-0000BE000000}"/>
    <cellStyle name="Milliers 3 3 2 2 2" xfId="312" xr:uid="{00000000-0005-0000-0000-0000BF000000}"/>
    <cellStyle name="Milliers 3 3 2 2 2 2" xfId="578" xr:uid="{00000000-0005-0000-0000-0000C0000000}"/>
    <cellStyle name="Milliers 3 3 2 2 3" xfId="221" xr:uid="{00000000-0005-0000-0000-0000C1000000}"/>
    <cellStyle name="Milliers 3 3 2 2 4" xfId="495" xr:uid="{00000000-0005-0000-0000-0000C2000000}"/>
    <cellStyle name="Milliers 3 3 2 3" xfId="67" xr:uid="{00000000-0005-0000-0000-0000C3000000}"/>
    <cellStyle name="Milliers 3 3 2 3 2" xfId="341" xr:uid="{00000000-0005-0000-0000-0000C4000000}"/>
    <cellStyle name="Milliers 3 3 2 3 2 2" xfId="607" xr:uid="{00000000-0005-0000-0000-0000C5000000}"/>
    <cellStyle name="Milliers 3 3 2 3 3" xfId="250" xr:uid="{00000000-0005-0000-0000-0000C6000000}"/>
    <cellStyle name="Milliers 3 3 2 3 4" xfId="524" xr:uid="{00000000-0005-0000-0000-0000C7000000}"/>
    <cellStyle name="Milliers 3 3 2 4" xfId="109" xr:uid="{00000000-0005-0000-0000-0000C8000000}"/>
    <cellStyle name="Milliers 3 3 2 4 2" xfId="281" xr:uid="{00000000-0005-0000-0000-0000C9000000}"/>
    <cellStyle name="Milliers 3 3 2 4 3" xfId="547" xr:uid="{00000000-0005-0000-0000-0000CA000000}"/>
    <cellStyle name="Milliers 3 3 2 5" xfId="418" xr:uid="{00000000-0005-0000-0000-0000CB000000}"/>
    <cellStyle name="Milliers 3 3 2 5 2" xfId="638" xr:uid="{00000000-0005-0000-0000-0000CC000000}"/>
    <cellStyle name="Milliers 3 3 2 6" xfId="440" xr:uid="{00000000-0005-0000-0000-0000CD000000}"/>
    <cellStyle name="Milliers 3 3 2 6 2" xfId="660" xr:uid="{00000000-0005-0000-0000-0000CE000000}"/>
    <cellStyle name="Milliers 3 3 2 7" xfId="189" xr:uid="{00000000-0005-0000-0000-0000CF000000}"/>
    <cellStyle name="Milliers 3 3 2 8" xfId="464" xr:uid="{00000000-0005-0000-0000-0000D0000000}"/>
    <cellStyle name="Milliers 3 3 3" xfId="47" xr:uid="{00000000-0005-0000-0000-0000D1000000}"/>
    <cellStyle name="Milliers 3 3 3 2" xfId="295" xr:uid="{00000000-0005-0000-0000-0000D2000000}"/>
    <cellStyle name="Milliers 3 3 3 2 2" xfId="561" xr:uid="{00000000-0005-0000-0000-0000D3000000}"/>
    <cellStyle name="Milliers 3 3 3 3" xfId="203" xr:uid="{00000000-0005-0000-0000-0000D4000000}"/>
    <cellStyle name="Milliers 3 3 3 4" xfId="478" xr:uid="{00000000-0005-0000-0000-0000D5000000}"/>
    <cellStyle name="Milliers 3 3 4" xfId="73" xr:uid="{00000000-0005-0000-0000-0000D6000000}"/>
    <cellStyle name="Milliers 3 3 4 2" xfId="324" xr:uid="{00000000-0005-0000-0000-0000D7000000}"/>
    <cellStyle name="Milliers 3 3 4 2 2" xfId="590" xr:uid="{00000000-0005-0000-0000-0000D8000000}"/>
    <cellStyle name="Milliers 3 3 4 3" xfId="233" xr:uid="{00000000-0005-0000-0000-0000D9000000}"/>
    <cellStyle name="Milliers 3 3 4 4" xfId="507" xr:uid="{00000000-0005-0000-0000-0000DA000000}"/>
    <cellStyle name="Milliers 3 3 5" xfId="99" xr:uid="{00000000-0005-0000-0000-0000DB000000}"/>
    <cellStyle name="Milliers 3 3 5 2" xfId="270" xr:uid="{00000000-0005-0000-0000-0000DC000000}"/>
    <cellStyle name="Milliers 3 3 5 3" xfId="537" xr:uid="{00000000-0005-0000-0000-0000DD000000}"/>
    <cellStyle name="Milliers 3 3 6" xfId="126" xr:uid="{00000000-0005-0000-0000-0000DE000000}"/>
    <cellStyle name="Milliers 3 3 6 2" xfId="401" xr:uid="{00000000-0005-0000-0000-0000DF000000}"/>
    <cellStyle name="Milliers 3 3 6 3" xfId="621" xr:uid="{00000000-0005-0000-0000-0000E0000000}"/>
    <cellStyle name="Milliers 3 3 7" xfId="145" xr:uid="{00000000-0005-0000-0000-0000E1000000}"/>
    <cellStyle name="Milliers 3 3 7 2" xfId="430" xr:uid="{00000000-0005-0000-0000-0000E2000000}"/>
    <cellStyle name="Milliers 3 3 7 3" xfId="650" xr:uid="{00000000-0005-0000-0000-0000E3000000}"/>
    <cellStyle name="Milliers 3 3 8" xfId="162" xr:uid="{00000000-0005-0000-0000-0000E4000000}"/>
    <cellStyle name="Milliers 3 3 9" xfId="179" xr:uid="{00000000-0005-0000-0000-0000E5000000}"/>
    <cellStyle name="Milliers 3 4" xfId="22" xr:uid="{00000000-0005-0000-0000-0000E6000000}"/>
    <cellStyle name="Milliers 3 4 10" xfId="455" xr:uid="{00000000-0005-0000-0000-0000E7000000}"/>
    <cellStyle name="Milliers 3 4 2" xfId="37" xr:uid="{00000000-0005-0000-0000-0000E8000000}"/>
    <cellStyle name="Milliers 3 4 2 2" xfId="61" xr:uid="{00000000-0005-0000-0000-0000E9000000}"/>
    <cellStyle name="Milliers 3 4 2 2 2" xfId="313" xr:uid="{00000000-0005-0000-0000-0000EA000000}"/>
    <cellStyle name="Milliers 3 4 2 2 2 2" xfId="579" xr:uid="{00000000-0005-0000-0000-0000EB000000}"/>
    <cellStyle name="Milliers 3 4 2 2 3" xfId="222" xr:uid="{00000000-0005-0000-0000-0000EC000000}"/>
    <cellStyle name="Milliers 3 4 2 2 4" xfId="496" xr:uid="{00000000-0005-0000-0000-0000ED000000}"/>
    <cellStyle name="Milliers 3 4 2 3" xfId="89" xr:uid="{00000000-0005-0000-0000-0000EE000000}"/>
    <cellStyle name="Milliers 3 4 2 3 2" xfId="342" xr:uid="{00000000-0005-0000-0000-0000EF000000}"/>
    <cellStyle name="Milliers 3 4 2 3 2 2" xfId="608" xr:uid="{00000000-0005-0000-0000-0000F0000000}"/>
    <cellStyle name="Milliers 3 4 2 3 3" xfId="251" xr:uid="{00000000-0005-0000-0000-0000F1000000}"/>
    <cellStyle name="Milliers 3 4 2 3 4" xfId="525" xr:uid="{00000000-0005-0000-0000-0000F2000000}"/>
    <cellStyle name="Milliers 3 4 2 4" xfId="113" xr:uid="{00000000-0005-0000-0000-0000F3000000}"/>
    <cellStyle name="Milliers 3 4 2 4 2" xfId="285" xr:uid="{00000000-0005-0000-0000-0000F4000000}"/>
    <cellStyle name="Milliers 3 4 2 4 3" xfId="551" xr:uid="{00000000-0005-0000-0000-0000F5000000}"/>
    <cellStyle name="Milliers 3 4 2 5" xfId="419" xr:uid="{00000000-0005-0000-0000-0000F6000000}"/>
    <cellStyle name="Milliers 3 4 2 5 2" xfId="639" xr:uid="{00000000-0005-0000-0000-0000F7000000}"/>
    <cellStyle name="Milliers 3 4 2 6" xfId="444" xr:uid="{00000000-0005-0000-0000-0000F8000000}"/>
    <cellStyle name="Milliers 3 4 2 6 2" xfId="664" xr:uid="{00000000-0005-0000-0000-0000F9000000}"/>
    <cellStyle name="Milliers 3 4 2 7" xfId="193" xr:uid="{00000000-0005-0000-0000-0000FA000000}"/>
    <cellStyle name="Milliers 3 4 2 8" xfId="468" xr:uid="{00000000-0005-0000-0000-0000FB000000}"/>
    <cellStyle name="Milliers 3 4 3" xfId="48" xr:uid="{00000000-0005-0000-0000-0000FC000000}"/>
    <cellStyle name="Milliers 3 4 3 2" xfId="296" xr:uid="{00000000-0005-0000-0000-0000FD000000}"/>
    <cellStyle name="Milliers 3 4 3 2 2" xfId="562" xr:uid="{00000000-0005-0000-0000-0000FE000000}"/>
    <cellStyle name="Milliers 3 4 3 3" xfId="204" xr:uid="{00000000-0005-0000-0000-0000FF000000}"/>
    <cellStyle name="Milliers 3 4 3 4" xfId="479" xr:uid="{00000000-0005-0000-0000-000000010000}"/>
    <cellStyle name="Milliers 3 4 4" xfId="74" xr:uid="{00000000-0005-0000-0000-000001010000}"/>
    <cellStyle name="Milliers 3 4 4 2" xfId="325" xr:uid="{00000000-0005-0000-0000-000002010000}"/>
    <cellStyle name="Milliers 3 4 4 2 2" xfId="591" xr:uid="{00000000-0005-0000-0000-000003010000}"/>
    <cellStyle name="Milliers 3 4 4 3" xfId="234" xr:uid="{00000000-0005-0000-0000-000004010000}"/>
    <cellStyle name="Milliers 3 4 4 4" xfId="508" xr:uid="{00000000-0005-0000-0000-000005010000}"/>
    <cellStyle name="Milliers 3 4 5" xfId="100" xr:uid="{00000000-0005-0000-0000-000006010000}"/>
    <cellStyle name="Milliers 3 4 5 2" xfId="271" xr:uid="{00000000-0005-0000-0000-000007010000}"/>
    <cellStyle name="Milliers 3 4 5 3" xfId="538" xr:uid="{00000000-0005-0000-0000-000008010000}"/>
    <cellStyle name="Milliers 3 4 6" xfId="127" xr:uid="{00000000-0005-0000-0000-000009010000}"/>
    <cellStyle name="Milliers 3 4 6 2" xfId="402" xr:uid="{00000000-0005-0000-0000-00000A010000}"/>
    <cellStyle name="Milliers 3 4 6 3" xfId="622" xr:uid="{00000000-0005-0000-0000-00000B010000}"/>
    <cellStyle name="Milliers 3 4 7" xfId="146" xr:uid="{00000000-0005-0000-0000-00000C010000}"/>
    <cellStyle name="Milliers 3 4 7 2" xfId="431" xr:uid="{00000000-0005-0000-0000-00000D010000}"/>
    <cellStyle name="Milliers 3 4 7 3" xfId="651" xr:uid="{00000000-0005-0000-0000-00000E010000}"/>
    <cellStyle name="Milliers 3 4 8" xfId="163" xr:uid="{00000000-0005-0000-0000-00000F010000}"/>
    <cellStyle name="Milliers 3 4 9" xfId="180" xr:uid="{00000000-0005-0000-0000-000010010000}"/>
    <cellStyle name="Milliers 3 5" xfId="29" xr:uid="{00000000-0005-0000-0000-000011010000}"/>
    <cellStyle name="Milliers 3 5 2" xfId="53" xr:uid="{00000000-0005-0000-0000-000012010000}"/>
    <cellStyle name="Milliers 3 5 2 2" xfId="302" xr:uid="{00000000-0005-0000-0000-000013010000}"/>
    <cellStyle name="Milliers 3 5 2 2 2" xfId="568" xr:uid="{00000000-0005-0000-0000-000014010000}"/>
    <cellStyle name="Milliers 3 5 2 3" xfId="211" xr:uid="{00000000-0005-0000-0000-000015010000}"/>
    <cellStyle name="Milliers 3 5 2 4" xfId="485" xr:uid="{00000000-0005-0000-0000-000016010000}"/>
    <cellStyle name="Milliers 3 5 3" xfId="84" xr:uid="{00000000-0005-0000-0000-000017010000}"/>
    <cellStyle name="Milliers 3 5 3 2" xfId="331" xr:uid="{00000000-0005-0000-0000-000018010000}"/>
    <cellStyle name="Milliers 3 5 3 2 2" xfId="597" xr:uid="{00000000-0005-0000-0000-000019010000}"/>
    <cellStyle name="Milliers 3 5 3 3" xfId="240" xr:uid="{00000000-0005-0000-0000-00001A010000}"/>
    <cellStyle name="Milliers 3 5 3 4" xfId="514" xr:uid="{00000000-0005-0000-0000-00001B010000}"/>
    <cellStyle name="Milliers 3 5 4" xfId="105" xr:uid="{00000000-0005-0000-0000-00001C010000}"/>
    <cellStyle name="Milliers 3 5 4 2" xfId="277" xr:uid="{00000000-0005-0000-0000-00001D010000}"/>
    <cellStyle name="Milliers 3 5 4 3" xfId="543" xr:uid="{00000000-0005-0000-0000-00001E010000}"/>
    <cellStyle name="Milliers 3 5 5" xfId="133" xr:uid="{00000000-0005-0000-0000-00001F010000}"/>
    <cellStyle name="Milliers 3 5 5 2" xfId="408" xr:uid="{00000000-0005-0000-0000-000020010000}"/>
    <cellStyle name="Milliers 3 5 5 3" xfId="628" xr:uid="{00000000-0005-0000-0000-000021010000}"/>
    <cellStyle name="Milliers 3 5 6" xfId="152" xr:uid="{00000000-0005-0000-0000-000022010000}"/>
    <cellStyle name="Milliers 3 5 6 2" xfId="436" xr:uid="{00000000-0005-0000-0000-000023010000}"/>
    <cellStyle name="Milliers 3 5 6 3" xfId="656" xr:uid="{00000000-0005-0000-0000-000024010000}"/>
    <cellStyle name="Milliers 3 5 7" xfId="169" xr:uid="{00000000-0005-0000-0000-000025010000}"/>
    <cellStyle name="Milliers 3 5 8" xfId="185" xr:uid="{00000000-0005-0000-0000-000026010000}"/>
    <cellStyle name="Milliers 3 5 9" xfId="460" xr:uid="{00000000-0005-0000-0000-000027010000}"/>
    <cellStyle name="Milliers 3 6" xfId="41" xr:uid="{00000000-0005-0000-0000-000028010000}"/>
    <cellStyle name="Milliers 3 6 2" xfId="244" xr:uid="{00000000-0005-0000-0000-000029010000}"/>
    <cellStyle name="Milliers 3 6 2 2" xfId="335" xr:uid="{00000000-0005-0000-0000-00002A010000}"/>
    <cellStyle name="Milliers 3 6 2 2 2" xfId="601" xr:uid="{00000000-0005-0000-0000-00002B010000}"/>
    <cellStyle name="Milliers 3 6 2 3" xfId="518" xr:uid="{00000000-0005-0000-0000-00002C010000}"/>
    <cellStyle name="Milliers 3 6 3" xfId="306" xr:uid="{00000000-0005-0000-0000-00002D010000}"/>
    <cellStyle name="Milliers 3 6 3 2" xfId="572" xr:uid="{00000000-0005-0000-0000-00002E010000}"/>
    <cellStyle name="Milliers 3 6 4" xfId="412" xr:uid="{00000000-0005-0000-0000-00002F010000}"/>
    <cellStyle name="Milliers 3 6 4 2" xfId="632" xr:uid="{00000000-0005-0000-0000-000030010000}"/>
    <cellStyle name="Milliers 3 6 5" xfId="215" xr:uid="{00000000-0005-0000-0000-000031010000}"/>
    <cellStyle name="Milliers 3 6 6" xfId="489" xr:uid="{00000000-0005-0000-0000-000032010000}"/>
    <cellStyle name="Milliers 3 7" xfId="66" xr:uid="{00000000-0005-0000-0000-000033010000}"/>
    <cellStyle name="Milliers 3 7 2" xfId="289" xr:uid="{00000000-0005-0000-0000-000034010000}"/>
    <cellStyle name="Milliers 3 7 2 2" xfId="555" xr:uid="{00000000-0005-0000-0000-000035010000}"/>
    <cellStyle name="Milliers 3 7 3" xfId="197" xr:uid="{00000000-0005-0000-0000-000036010000}"/>
    <cellStyle name="Milliers 3 7 4" xfId="472" xr:uid="{00000000-0005-0000-0000-000037010000}"/>
    <cellStyle name="Milliers 3 8" xfId="93" xr:uid="{00000000-0005-0000-0000-000038010000}"/>
    <cellStyle name="Milliers 3 8 2" xfId="318" xr:uid="{00000000-0005-0000-0000-000039010000}"/>
    <cellStyle name="Milliers 3 8 2 2" xfId="584" xr:uid="{00000000-0005-0000-0000-00003A010000}"/>
    <cellStyle name="Milliers 3 8 3" xfId="227" xr:uid="{00000000-0005-0000-0000-00003B010000}"/>
    <cellStyle name="Milliers 3 8 4" xfId="501" xr:uid="{00000000-0005-0000-0000-00003C010000}"/>
    <cellStyle name="Milliers 3 9" xfId="120" xr:uid="{00000000-0005-0000-0000-00003D010000}"/>
    <cellStyle name="Milliers 3 9 2" xfId="263" xr:uid="{00000000-0005-0000-0000-00003E010000}"/>
    <cellStyle name="Milliers 3 9 3" xfId="531" xr:uid="{00000000-0005-0000-0000-00003F010000}"/>
    <cellStyle name="Milliers 4" xfId="14" xr:uid="{00000000-0005-0000-0000-000040010000}"/>
    <cellStyle name="Milliers 4 2" xfId="23" xr:uid="{00000000-0005-0000-0000-000041010000}"/>
    <cellStyle name="Milliers 5" xfId="81" xr:uid="{00000000-0005-0000-0000-000042010000}"/>
    <cellStyle name="Milliers 5 2" xfId="132" xr:uid="{00000000-0005-0000-0000-000043010000}"/>
    <cellStyle name="Milliers 5 2 2" xfId="330" xr:uid="{00000000-0005-0000-0000-000044010000}"/>
    <cellStyle name="Milliers 5 2 2 2" xfId="596" xr:uid="{00000000-0005-0000-0000-000045010000}"/>
    <cellStyle name="Milliers 5 2 3" xfId="239" xr:uid="{00000000-0005-0000-0000-000046010000}"/>
    <cellStyle name="Milliers 5 2 4" xfId="513" xr:uid="{00000000-0005-0000-0000-000047010000}"/>
    <cellStyle name="Milliers 5 3" xfId="151" xr:uid="{00000000-0005-0000-0000-000048010000}"/>
    <cellStyle name="Milliers 5 3 2" xfId="301" xr:uid="{00000000-0005-0000-0000-000049010000}"/>
    <cellStyle name="Milliers 5 3 3" xfId="567" xr:uid="{00000000-0005-0000-0000-00004A010000}"/>
    <cellStyle name="Milliers 5 4" xfId="168" xr:uid="{00000000-0005-0000-0000-00004B010000}"/>
    <cellStyle name="Milliers 5 4 2" xfId="407" xr:uid="{00000000-0005-0000-0000-00004C010000}"/>
    <cellStyle name="Milliers 5 4 3" xfId="627" xr:uid="{00000000-0005-0000-0000-00004D010000}"/>
    <cellStyle name="Milliers 5 5" xfId="209" xr:uid="{00000000-0005-0000-0000-00004E010000}"/>
    <cellStyle name="Milliers 5 6" xfId="484" xr:uid="{00000000-0005-0000-0000-00004F010000}"/>
    <cellStyle name="Milliers 6" xfId="118" xr:uid="{00000000-0005-0000-0000-000050010000}"/>
    <cellStyle name="Milliers 6 2" xfId="262" xr:uid="{00000000-0005-0000-0000-000051010000}"/>
    <cellStyle name="Milliers 7" xfId="272" xr:uid="{00000000-0005-0000-0000-000052010000}"/>
    <cellStyle name="Milliers 8" xfId="378" xr:uid="{00000000-0005-0000-0000-000053010000}"/>
    <cellStyle name="Milliers 9" xfId="392" xr:uid="{00000000-0005-0000-0000-000054010000}"/>
    <cellStyle name="Milliers 9 2" xfId="614" xr:uid="{00000000-0005-0000-0000-000055010000}"/>
    <cellStyle name="Neutre 2" xfId="379" xr:uid="{00000000-0005-0000-0000-000056010000}"/>
    <cellStyle name="Normal" xfId="0" builtinId="0"/>
    <cellStyle name="Normal 10" xfId="260" xr:uid="{00000000-0005-0000-0000-000058010000}"/>
    <cellStyle name="Normal 11" xfId="348" xr:uid="{00000000-0005-0000-0000-000059010000}"/>
    <cellStyle name="Normal 12" xfId="391" xr:uid="{00000000-0005-0000-0000-00005A010000}"/>
    <cellStyle name="Normal 12 2" xfId="613" xr:uid="{00000000-0005-0000-0000-00005B010000}"/>
    <cellStyle name="Normal 2" xfId="7" xr:uid="{00000000-0005-0000-0000-00005C010000}"/>
    <cellStyle name="Normal 2 2" xfId="8" xr:uid="{00000000-0005-0000-0000-00005D010000}"/>
    <cellStyle name="Normal 2 3" xfId="9" xr:uid="{00000000-0005-0000-0000-00005E010000}"/>
    <cellStyle name="Normal 2 3 2" xfId="380" xr:uid="{00000000-0005-0000-0000-00005F010000}"/>
    <cellStyle name="Normal 3" xfId="10" xr:uid="{00000000-0005-0000-0000-000060010000}"/>
    <cellStyle name="Normal 3 10" xfId="140" xr:uid="{00000000-0005-0000-0000-000061010000}"/>
    <cellStyle name="Normal 3 10 2" xfId="264" xr:uid="{00000000-0005-0000-0000-000062010000}"/>
    <cellStyle name="Normal 3 10 3" xfId="532" xr:uid="{00000000-0005-0000-0000-000063010000}"/>
    <cellStyle name="Normal 3 11" xfId="157" xr:uid="{00000000-0005-0000-0000-000064010000}"/>
    <cellStyle name="Normal 3 11 2" xfId="258" xr:uid="{00000000-0005-0000-0000-000065010000}"/>
    <cellStyle name="Normal 3 11 3" xfId="530" xr:uid="{00000000-0005-0000-0000-000066010000}"/>
    <cellStyle name="Normal 3 12" xfId="396" xr:uid="{00000000-0005-0000-0000-000067010000}"/>
    <cellStyle name="Normal 3 12 2" xfId="616" xr:uid="{00000000-0005-0000-0000-000068010000}"/>
    <cellStyle name="Normal 3 13" xfId="425" xr:uid="{00000000-0005-0000-0000-000069010000}"/>
    <cellStyle name="Normal 3 13 2" xfId="645" xr:uid="{00000000-0005-0000-0000-00006A010000}"/>
    <cellStyle name="Normal 3 14" xfId="174" xr:uid="{00000000-0005-0000-0000-00006B010000}"/>
    <cellStyle name="Normal 3 15" xfId="449" xr:uid="{00000000-0005-0000-0000-00006C010000}"/>
    <cellStyle name="Normal 3 2" xfId="17" xr:uid="{00000000-0005-0000-0000-00006D010000}"/>
    <cellStyle name="Normal 3 2 10" xfId="159" xr:uid="{00000000-0005-0000-0000-00006E010000}"/>
    <cellStyle name="Normal 3 2 10 2" xfId="427" xr:uid="{00000000-0005-0000-0000-00006F010000}"/>
    <cellStyle name="Normal 3 2 10 3" xfId="647" xr:uid="{00000000-0005-0000-0000-000070010000}"/>
    <cellStyle name="Normal 3 2 11" xfId="176" xr:uid="{00000000-0005-0000-0000-000071010000}"/>
    <cellStyle name="Normal 3 2 12" xfId="451" xr:uid="{00000000-0005-0000-0000-000072010000}"/>
    <cellStyle name="Normal 3 2 2" xfId="24" xr:uid="{00000000-0005-0000-0000-000073010000}"/>
    <cellStyle name="Normal 3 2 2 10" xfId="456" xr:uid="{00000000-0005-0000-0000-000074010000}"/>
    <cellStyle name="Normal 3 2 2 2" xfId="36" xr:uid="{00000000-0005-0000-0000-000075010000}"/>
    <cellStyle name="Normal 3 2 2 2 2" xfId="60" xr:uid="{00000000-0005-0000-0000-000076010000}"/>
    <cellStyle name="Normal 3 2 2 2 2 2" xfId="314" xr:uid="{00000000-0005-0000-0000-000077010000}"/>
    <cellStyle name="Normal 3 2 2 2 2 2 2" xfId="580" xr:uid="{00000000-0005-0000-0000-000078010000}"/>
    <cellStyle name="Normal 3 2 2 2 2 3" xfId="223" xr:uid="{00000000-0005-0000-0000-000079010000}"/>
    <cellStyle name="Normal 3 2 2 2 2 4" xfId="497" xr:uid="{00000000-0005-0000-0000-00007A010000}"/>
    <cellStyle name="Normal 3 2 2 2 3" xfId="80" xr:uid="{00000000-0005-0000-0000-00007B010000}"/>
    <cellStyle name="Normal 3 2 2 2 3 2" xfId="343" xr:uid="{00000000-0005-0000-0000-00007C010000}"/>
    <cellStyle name="Normal 3 2 2 2 3 2 2" xfId="609" xr:uid="{00000000-0005-0000-0000-00007D010000}"/>
    <cellStyle name="Normal 3 2 2 2 3 3" xfId="252" xr:uid="{00000000-0005-0000-0000-00007E010000}"/>
    <cellStyle name="Normal 3 2 2 2 3 4" xfId="526" xr:uid="{00000000-0005-0000-0000-00007F010000}"/>
    <cellStyle name="Normal 3 2 2 2 4" xfId="112" xr:uid="{00000000-0005-0000-0000-000080010000}"/>
    <cellStyle name="Normal 3 2 2 2 4 2" xfId="284" xr:uid="{00000000-0005-0000-0000-000081010000}"/>
    <cellStyle name="Normal 3 2 2 2 4 3" xfId="550" xr:uid="{00000000-0005-0000-0000-000082010000}"/>
    <cellStyle name="Normal 3 2 2 2 5" xfId="420" xr:uid="{00000000-0005-0000-0000-000083010000}"/>
    <cellStyle name="Normal 3 2 2 2 5 2" xfId="640" xr:uid="{00000000-0005-0000-0000-000084010000}"/>
    <cellStyle name="Normal 3 2 2 2 6" xfId="443" xr:uid="{00000000-0005-0000-0000-000085010000}"/>
    <cellStyle name="Normal 3 2 2 2 6 2" xfId="663" xr:uid="{00000000-0005-0000-0000-000086010000}"/>
    <cellStyle name="Normal 3 2 2 2 7" xfId="192" xr:uid="{00000000-0005-0000-0000-000087010000}"/>
    <cellStyle name="Normal 3 2 2 2 8" xfId="467" xr:uid="{00000000-0005-0000-0000-000088010000}"/>
    <cellStyle name="Normal 3 2 2 3" xfId="49" xr:uid="{00000000-0005-0000-0000-000089010000}"/>
    <cellStyle name="Normal 3 2 2 3 2" xfId="297" xr:uid="{00000000-0005-0000-0000-00008A010000}"/>
    <cellStyle name="Normal 3 2 2 3 2 2" xfId="563" xr:uid="{00000000-0005-0000-0000-00008B010000}"/>
    <cellStyle name="Normal 3 2 2 3 3" xfId="205" xr:uid="{00000000-0005-0000-0000-00008C010000}"/>
    <cellStyle name="Normal 3 2 2 3 4" xfId="480" xr:uid="{00000000-0005-0000-0000-00008D010000}"/>
    <cellStyle name="Normal 3 2 2 4" xfId="76" xr:uid="{00000000-0005-0000-0000-00008E010000}"/>
    <cellStyle name="Normal 3 2 2 4 2" xfId="326" xr:uid="{00000000-0005-0000-0000-00008F010000}"/>
    <cellStyle name="Normal 3 2 2 4 2 2" xfId="592" xr:uid="{00000000-0005-0000-0000-000090010000}"/>
    <cellStyle name="Normal 3 2 2 4 3" xfId="235" xr:uid="{00000000-0005-0000-0000-000091010000}"/>
    <cellStyle name="Normal 3 2 2 4 4" xfId="509" xr:uid="{00000000-0005-0000-0000-000092010000}"/>
    <cellStyle name="Normal 3 2 2 5" xfId="101" xr:uid="{00000000-0005-0000-0000-000093010000}"/>
    <cellStyle name="Normal 3 2 2 5 2" xfId="273" xr:uid="{00000000-0005-0000-0000-000094010000}"/>
    <cellStyle name="Normal 3 2 2 5 3" xfId="539" xr:uid="{00000000-0005-0000-0000-000095010000}"/>
    <cellStyle name="Normal 3 2 2 6" xfId="128" xr:uid="{00000000-0005-0000-0000-000096010000}"/>
    <cellStyle name="Normal 3 2 2 6 2" xfId="403" xr:uid="{00000000-0005-0000-0000-000097010000}"/>
    <cellStyle name="Normal 3 2 2 6 3" xfId="623" xr:uid="{00000000-0005-0000-0000-000098010000}"/>
    <cellStyle name="Normal 3 2 2 7" xfId="147" xr:uid="{00000000-0005-0000-0000-000099010000}"/>
    <cellStyle name="Normal 3 2 2 7 2" xfId="432" xr:uid="{00000000-0005-0000-0000-00009A010000}"/>
    <cellStyle name="Normal 3 2 2 7 3" xfId="652" xr:uid="{00000000-0005-0000-0000-00009B010000}"/>
    <cellStyle name="Normal 3 2 2 8" xfId="164" xr:uid="{00000000-0005-0000-0000-00009C010000}"/>
    <cellStyle name="Normal 3 2 2 9" xfId="181" xr:uid="{00000000-0005-0000-0000-00009D010000}"/>
    <cellStyle name="Normal 3 2 3" xfId="25" xr:uid="{00000000-0005-0000-0000-00009E010000}"/>
    <cellStyle name="Normal 3 2 3 10" xfId="457" xr:uid="{00000000-0005-0000-0000-00009F010000}"/>
    <cellStyle name="Normal 3 2 3 2" xfId="40" xr:uid="{00000000-0005-0000-0000-0000A0010000}"/>
    <cellStyle name="Normal 3 2 3 2 2" xfId="64" xr:uid="{00000000-0005-0000-0000-0000A1010000}"/>
    <cellStyle name="Normal 3 2 3 2 2 2" xfId="315" xr:uid="{00000000-0005-0000-0000-0000A2010000}"/>
    <cellStyle name="Normal 3 2 3 2 2 2 2" xfId="581" xr:uid="{00000000-0005-0000-0000-0000A3010000}"/>
    <cellStyle name="Normal 3 2 3 2 2 3" xfId="224" xr:uid="{00000000-0005-0000-0000-0000A4010000}"/>
    <cellStyle name="Normal 3 2 3 2 2 4" xfId="498" xr:uid="{00000000-0005-0000-0000-0000A5010000}"/>
    <cellStyle name="Normal 3 2 3 2 3" xfId="92" xr:uid="{00000000-0005-0000-0000-0000A6010000}"/>
    <cellStyle name="Normal 3 2 3 2 3 2" xfId="344" xr:uid="{00000000-0005-0000-0000-0000A7010000}"/>
    <cellStyle name="Normal 3 2 3 2 3 2 2" xfId="610" xr:uid="{00000000-0005-0000-0000-0000A8010000}"/>
    <cellStyle name="Normal 3 2 3 2 3 3" xfId="253" xr:uid="{00000000-0005-0000-0000-0000A9010000}"/>
    <cellStyle name="Normal 3 2 3 2 3 4" xfId="527" xr:uid="{00000000-0005-0000-0000-0000AA010000}"/>
    <cellStyle name="Normal 3 2 3 2 4" xfId="116" xr:uid="{00000000-0005-0000-0000-0000AB010000}"/>
    <cellStyle name="Normal 3 2 3 2 4 2" xfId="288" xr:uid="{00000000-0005-0000-0000-0000AC010000}"/>
    <cellStyle name="Normal 3 2 3 2 4 3" xfId="554" xr:uid="{00000000-0005-0000-0000-0000AD010000}"/>
    <cellStyle name="Normal 3 2 3 2 5" xfId="421" xr:uid="{00000000-0005-0000-0000-0000AE010000}"/>
    <cellStyle name="Normal 3 2 3 2 5 2" xfId="641" xr:uid="{00000000-0005-0000-0000-0000AF010000}"/>
    <cellStyle name="Normal 3 2 3 2 6" xfId="447" xr:uid="{00000000-0005-0000-0000-0000B0010000}"/>
    <cellStyle name="Normal 3 2 3 2 6 2" xfId="667" xr:uid="{00000000-0005-0000-0000-0000B1010000}"/>
    <cellStyle name="Normal 3 2 3 2 7" xfId="196" xr:uid="{00000000-0005-0000-0000-0000B2010000}"/>
    <cellStyle name="Normal 3 2 3 2 8" xfId="471" xr:uid="{00000000-0005-0000-0000-0000B3010000}"/>
    <cellStyle name="Normal 3 2 3 3" xfId="50" xr:uid="{00000000-0005-0000-0000-0000B4010000}"/>
    <cellStyle name="Normal 3 2 3 3 2" xfId="298" xr:uid="{00000000-0005-0000-0000-0000B5010000}"/>
    <cellStyle name="Normal 3 2 3 3 2 2" xfId="564" xr:uid="{00000000-0005-0000-0000-0000B6010000}"/>
    <cellStyle name="Normal 3 2 3 3 3" xfId="206" xr:uid="{00000000-0005-0000-0000-0000B7010000}"/>
    <cellStyle name="Normal 3 2 3 3 4" xfId="481" xr:uid="{00000000-0005-0000-0000-0000B8010000}"/>
    <cellStyle name="Normal 3 2 3 4" xfId="77" xr:uid="{00000000-0005-0000-0000-0000B9010000}"/>
    <cellStyle name="Normal 3 2 3 4 2" xfId="327" xr:uid="{00000000-0005-0000-0000-0000BA010000}"/>
    <cellStyle name="Normal 3 2 3 4 2 2" xfId="593" xr:uid="{00000000-0005-0000-0000-0000BB010000}"/>
    <cellStyle name="Normal 3 2 3 4 3" xfId="236" xr:uid="{00000000-0005-0000-0000-0000BC010000}"/>
    <cellStyle name="Normal 3 2 3 4 4" xfId="510" xr:uid="{00000000-0005-0000-0000-0000BD010000}"/>
    <cellStyle name="Normal 3 2 3 5" xfId="102" xr:uid="{00000000-0005-0000-0000-0000BE010000}"/>
    <cellStyle name="Normal 3 2 3 5 2" xfId="274" xr:uid="{00000000-0005-0000-0000-0000BF010000}"/>
    <cellStyle name="Normal 3 2 3 5 3" xfId="540" xr:uid="{00000000-0005-0000-0000-0000C0010000}"/>
    <cellStyle name="Normal 3 2 3 6" xfId="129" xr:uid="{00000000-0005-0000-0000-0000C1010000}"/>
    <cellStyle name="Normal 3 2 3 6 2" xfId="404" xr:uid="{00000000-0005-0000-0000-0000C2010000}"/>
    <cellStyle name="Normal 3 2 3 6 3" xfId="624" xr:uid="{00000000-0005-0000-0000-0000C3010000}"/>
    <cellStyle name="Normal 3 2 3 7" xfId="148" xr:uid="{00000000-0005-0000-0000-0000C4010000}"/>
    <cellStyle name="Normal 3 2 3 7 2" xfId="433" xr:uid="{00000000-0005-0000-0000-0000C5010000}"/>
    <cellStyle name="Normal 3 2 3 7 3" xfId="653" xr:uid="{00000000-0005-0000-0000-0000C6010000}"/>
    <cellStyle name="Normal 3 2 3 8" xfId="165" xr:uid="{00000000-0005-0000-0000-0000C7010000}"/>
    <cellStyle name="Normal 3 2 3 9" xfId="182" xr:uid="{00000000-0005-0000-0000-0000C8010000}"/>
    <cellStyle name="Normal 3 2 4" xfId="32" xr:uid="{00000000-0005-0000-0000-0000C9010000}"/>
    <cellStyle name="Normal 3 2 4 2" xfId="56" xr:uid="{00000000-0005-0000-0000-0000CA010000}"/>
    <cellStyle name="Normal 3 2 4 2 2" xfId="305" xr:uid="{00000000-0005-0000-0000-0000CB010000}"/>
    <cellStyle name="Normal 3 2 4 2 2 2" xfId="571" xr:uid="{00000000-0005-0000-0000-0000CC010000}"/>
    <cellStyle name="Normal 3 2 4 2 3" xfId="214" xr:uid="{00000000-0005-0000-0000-0000CD010000}"/>
    <cellStyle name="Normal 3 2 4 2 4" xfId="488" xr:uid="{00000000-0005-0000-0000-0000CE010000}"/>
    <cellStyle name="Normal 3 2 4 3" xfId="87" xr:uid="{00000000-0005-0000-0000-0000CF010000}"/>
    <cellStyle name="Normal 3 2 4 3 2" xfId="334" xr:uid="{00000000-0005-0000-0000-0000D0010000}"/>
    <cellStyle name="Normal 3 2 4 3 2 2" xfId="600" xr:uid="{00000000-0005-0000-0000-0000D1010000}"/>
    <cellStyle name="Normal 3 2 4 3 3" xfId="243" xr:uid="{00000000-0005-0000-0000-0000D2010000}"/>
    <cellStyle name="Normal 3 2 4 3 4" xfId="517" xr:uid="{00000000-0005-0000-0000-0000D3010000}"/>
    <cellStyle name="Normal 3 2 4 4" xfId="108" xr:uid="{00000000-0005-0000-0000-0000D4010000}"/>
    <cellStyle name="Normal 3 2 4 4 2" xfId="280" xr:uid="{00000000-0005-0000-0000-0000D5010000}"/>
    <cellStyle name="Normal 3 2 4 4 3" xfId="546" xr:uid="{00000000-0005-0000-0000-0000D6010000}"/>
    <cellStyle name="Normal 3 2 4 5" xfId="136" xr:uid="{00000000-0005-0000-0000-0000D7010000}"/>
    <cellStyle name="Normal 3 2 4 5 2" xfId="411" xr:uid="{00000000-0005-0000-0000-0000D8010000}"/>
    <cellStyle name="Normal 3 2 4 5 3" xfId="631" xr:uid="{00000000-0005-0000-0000-0000D9010000}"/>
    <cellStyle name="Normal 3 2 4 6" xfId="155" xr:uid="{00000000-0005-0000-0000-0000DA010000}"/>
    <cellStyle name="Normal 3 2 4 6 2" xfId="439" xr:uid="{00000000-0005-0000-0000-0000DB010000}"/>
    <cellStyle name="Normal 3 2 4 6 3" xfId="659" xr:uid="{00000000-0005-0000-0000-0000DC010000}"/>
    <cellStyle name="Normal 3 2 4 7" xfId="172" xr:uid="{00000000-0005-0000-0000-0000DD010000}"/>
    <cellStyle name="Normal 3 2 4 8" xfId="188" xr:uid="{00000000-0005-0000-0000-0000DE010000}"/>
    <cellStyle name="Normal 3 2 4 9" xfId="463" xr:uid="{00000000-0005-0000-0000-0000DF010000}"/>
    <cellStyle name="Normal 3 2 5" xfId="44" xr:uid="{00000000-0005-0000-0000-0000E0010000}"/>
    <cellStyle name="Normal 3 2 5 2" xfId="247" xr:uid="{00000000-0005-0000-0000-0000E1010000}"/>
    <cellStyle name="Normal 3 2 5 2 2" xfId="338" xr:uid="{00000000-0005-0000-0000-0000E2010000}"/>
    <cellStyle name="Normal 3 2 5 2 2 2" xfId="604" xr:uid="{00000000-0005-0000-0000-0000E3010000}"/>
    <cellStyle name="Normal 3 2 5 2 3" xfId="521" xr:uid="{00000000-0005-0000-0000-0000E4010000}"/>
    <cellStyle name="Normal 3 2 5 3" xfId="309" xr:uid="{00000000-0005-0000-0000-0000E5010000}"/>
    <cellStyle name="Normal 3 2 5 3 2" xfId="575" xr:uid="{00000000-0005-0000-0000-0000E6010000}"/>
    <cellStyle name="Normal 3 2 5 4" xfId="415" xr:uid="{00000000-0005-0000-0000-0000E7010000}"/>
    <cellStyle name="Normal 3 2 5 4 2" xfId="635" xr:uid="{00000000-0005-0000-0000-0000E8010000}"/>
    <cellStyle name="Normal 3 2 5 5" xfId="218" xr:uid="{00000000-0005-0000-0000-0000E9010000}"/>
    <cellStyle name="Normal 3 2 5 6" xfId="492" xr:uid="{00000000-0005-0000-0000-0000EA010000}"/>
    <cellStyle name="Normal 3 2 6" xfId="70" xr:uid="{00000000-0005-0000-0000-0000EB010000}"/>
    <cellStyle name="Normal 3 2 6 2" xfId="292" xr:uid="{00000000-0005-0000-0000-0000EC010000}"/>
    <cellStyle name="Normal 3 2 6 2 2" xfId="558" xr:uid="{00000000-0005-0000-0000-0000ED010000}"/>
    <cellStyle name="Normal 3 2 6 3" xfId="200" xr:uid="{00000000-0005-0000-0000-0000EE010000}"/>
    <cellStyle name="Normal 3 2 6 4" xfId="475" xr:uid="{00000000-0005-0000-0000-0000EF010000}"/>
    <cellStyle name="Normal 3 2 7" xfId="96" xr:uid="{00000000-0005-0000-0000-0000F0010000}"/>
    <cellStyle name="Normal 3 2 7 2" xfId="321" xr:uid="{00000000-0005-0000-0000-0000F1010000}"/>
    <cellStyle name="Normal 3 2 7 2 2" xfId="587" xr:uid="{00000000-0005-0000-0000-0000F2010000}"/>
    <cellStyle name="Normal 3 2 7 3" xfId="230" xr:uid="{00000000-0005-0000-0000-0000F3010000}"/>
    <cellStyle name="Normal 3 2 7 4" xfId="504" xr:uid="{00000000-0005-0000-0000-0000F4010000}"/>
    <cellStyle name="Normal 3 2 8" xfId="123" xr:uid="{00000000-0005-0000-0000-0000F5010000}"/>
    <cellStyle name="Normal 3 2 8 2" xfId="267" xr:uid="{00000000-0005-0000-0000-0000F6010000}"/>
    <cellStyle name="Normal 3 2 8 3" xfId="534" xr:uid="{00000000-0005-0000-0000-0000F7010000}"/>
    <cellStyle name="Normal 3 2 9" xfId="142" xr:uid="{00000000-0005-0000-0000-0000F8010000}"/>
    <cellStyle name="Normal 3 2 9 2" xfId="398" xr:uid="{00000000-0005-0000-0000-0000F9010000}"/>
    <cellStyle name="Normal 3 2 9 3" xfId="618" xr:uid="{00000000-0005-0000-0000-0000FA010000}"/>
    <cellStyle name="Normal 3 3" xfId="26" xr:uid="{00000000-0005-0000-0000-0000FB010000}"/>
    <cellStyle name="Normal 3 3 10" xfId="458" xr:uid="{00000000-0005-0000-0000-0000FC010000}"/>
    <cellStyle name="Normal 3 3 2" xfId="34" xr:uid="{00000000-0005-0000-0000-0000FD010000}"/>
    <cellStyle name="Normal 3 3 2 2" xfId="58" xr:uid="{00000000-0005-0000-0000-0000FE010000}"/>
    <cellStyle name="Normal 3 3 2 2 2" xfId="316" xr:uid="{00000000-0005-0000-0000-0000FF010000}"/>
    <cellStyle name="Normal 3 3 2 2 2 2" xfId="582" xr:uid="{00000000-0005-0000-0000-000000020000}"/>
    <cellStyle name="Normal 3 3 2 2 3" xfId="225" xr:uid="{00000000-0005-0000-0000-000001020000}"/>
    <cellStyle name="Normal 3 3 2 2 4" xfId="499" xr:uid="{00000000-0005-0000-0000-000002020000}"/>
    <cellStyle name="Normal 3 3 2 3" xfId="75" xr:uid="{00000000-0005-0000-0000-000003020000}"/>
    <cellStyle name="Normal 3 3 2 3 2" xfId="345" xr:uid="{00000000-0005-0000-0000-000004020000}"/>
    <cellStyle name="Normal 3 3 2 3 2 2" xfId="611" xr:uid="{00000000-0005-0000-0000-000005020000}"/>
    <cellStyle name="Normal 3 3 2 3 3" xfId="254" xr:uid="{00000000-0005-0000-0000-000006020000}"/>
    <cellStyle name="Normal 3 3 2 3 4" xfId="528" xr:uid="{00000000-0005-0000-0000-000007020000}"/>
    <cellStyle name="Normal 3 3 2 4" xfId="110" xr:uid="{00000000-0005-0000-0000-000008020000}"/>
    <cellStyle name="Normal 3 3 2 4 2" xfId="282" xr:uid="{00000000-0005-0000-0000-000009020000}"/>
    <cellStyle name="Normal 3 3 2 4 3" xfId="548" xr:uid="{00000000-0005-0000-0000-00000A020000}"/>
    <cellStyle name="Normal 3 3 2 5" xfId="422" xr:uid="{00000000-0005-0000-0000-00000B020000}"/>
    <cellStyle name="Normal 3 3 2 5 2" xfId="642" xr:uid="{00000000-0005-0000-0000-00000C020000}"/>
    <cellStyle name="Normal 3 3 2 6" xfId="441" xr:uid="{00000000-0005-0000-0000-00000D020000}"/>
    <cellStyle name="Normal 3 3 2 6 2" xfId="661" xr:uid="{00000000-0005-0000-0000-00000E020000}"/>
    <cellStyle name="Normal 3 3 2 7" xfId="190" xr:uid="{00000000-0005-0000-0000-00000F020000}"/>
    <cellStyle name="Normal 3 3 2 8" xfId="465" xr:uid="{00000000-0005-0000-0000-000010020000}"/>
    <cellStyle name="Normal 3 3 3" xfId="51" xr:uid="{00000000-0005-0000-0000-000011020000}"/>
    <cellStyle name="Normal 3 3 3 2" xfId="299" xr:uid="{00000000-0005-0000-0000-000012020000}"/>
    <cellStyle name="Normal 3 3 3 2 2" xfId="565" xr:uid="{00000000-0005-0000-0000-000013020000}"/>
    <cellStyle name="Normal 3 3 3 3" xfId="207" xr:uid="{00000000-0005-0000-0000-000014020000}"/>
    <cellStyle name="Normal 3 3 3 4" xfId="482" xr:uid="{00000000-0005-0000-0000-000015020000}"/>
    <cellStyle name="Normal 3 3 4" xfId="78" xr:uid="{00000000-0005-0000-0000-000016020000}"/>
    <cellStyle name="Normal 3 3 4 2" xfId="328" xr:uid="{00000000-0005-0000-0000-000017020000}"/>
    <cellStyle name="Normal 3 3 4 2 2" xfId="594" xr:uid="{00000000-0005-0000-0000-000018020000}"/>
    <cellStyle name="Normal 3 3 4 3" xfId="237" xr:uid="{00000000-0005-0000-0000-000019020000}"/>
    <cellStyle name="Normal 3 3 4 4" xfId="511" xr:uid="{00000000-0005-0000-0000-00001A020000}"/>
    <cellStyle name="Normal 3 3 5" xfId="103" xr:uid="{00000000-0005-0000-0000-00001B020000}"/>
    <cellStyle name="Normal 3 3 5 2" xfId="275" xr:uid="{00000000-0005-0000-0000-00001C020000}"/>
    <cellStyle name="Normal 3 3 5 3" xfId="541" xr:uid="{00000000-0005-0000-0000-00001D020000}"/>
    <cellStyle name="Normal 3 3 6" xfId="130" xr:uid="{00000000-0005-0000-0000-00001E020000}"/>
    <cellStyle name="Normal 3 3 6 2" xfId="405" xr:uid="{00000000-0005-0000-0000-00001F020000}"/>
    <cellStyle name="Normal 3 3 6 3" xfId="625" xr:uid="{00000000-0005-0000-0000-000020020000}"/>
    <cellStyle name="Normal 3 3 7" xfId="149" xr:uid="{00000000-0005-0000-0000-000021020000}"/>
    <cellStyle name="Normal 3 3 7 2" xfId="434" xr:uid="{00000000-0005-0000-0000-000022020000}"/>
    <cellStyle name="Normal 3 3 7 3" xfId="654" xr:uid="{00000000-0005-0000-0000-000023020000}"/>
    <cellStyle name="Normal 3 3 8" xfId="166" xr:uid="{00000000-0005-0000-0000-000024020000}"/>
    <cellStyle name="Normal 3 3 9" xfId="183" xr:uid="{00000000-0005-0000-0000-000025020000}"/>
    <cellStyle name="Normal 3 4" xfId="27" xr:uid="{00000000-0005-0000-0000-000026020000}"/>
    <cellStyle name="Normal 3 4 10" xfId="459" xr:uid="{00000000-0005-0000-0000-000027020000}"/>
    <cellStyle name="Normal 3 4 2" xfId="38" xr:uid="{00000000-0005-0000-0000-000028020000}"/>
    <cellStyle name="Normal 3 4 2 2" xfId="62" xr:uid="{00000000-0005-0000-0000-000029020000}"/>
    <cellStyle name="Normal 3 4 2 2 2" xfId="317" xr:uid="{00000000-0005-0000-0000-00002A020000}"/>
    <cellStyle name="Normal 3 4 2 2 2 2" xfId="583" xr:uid="{00000000-0005-0000-0000-00002B020000}"/>
    <cellStyle name="Normal 3 4 2 2 3" xfId="226" xr:uid="{00000000-0005-0000-0000-00002C020000}"/>
    <cellStyle name="Normal 3 4 2 2 4" xfId="500" xr:uid="{00000000-0005-0000-0000-00002D020000}"/>
    <cellStyle name="Normal 3 4 2 3" xfId="90" xr:uid="{00000000-0005-0000-0000-00002E020000}"/>
    <cellStyle name="Normal 3 4 2 3 2" xfId="346" xr:uid="{00000000-0005-0000-0000-00002F020000}"/>
    <cellStyle name="Normal 3 4 2 3 2 2" xfId="612" xr:uid="{00000000-0005-0000-0000-000030020000}"/>
    <cellStyle name="Normal 3 4 2 3 3" xfId="255" xr:uid="{00000000-0005-0000-0000-000031020000}"/>
    <cellStyle name="Normal 3 4 2 3 4" xfId="529" xr:uid="{00000000-0005-0000-0000-000032020000}"/>
    <cellStyle name="Normal 3 4 2 4" xfId="114" xr:uid="{00000000-0005-0000-0000-000033020000}"/>
    <cellStyle name="Normal 3 4 2 4 2" xfId="286" xr:uid="{00000000-0005-0000-0000-000034020000}"/>
    <cellStyle name="Normal 3 4 2 4 3" xfId="552" xr:uid="{00000000-0005-0000-0000-000035020000}"/>
    <cellStyle name="Normal 3 4 2 5" xfId="423" xr:uid="{00000000-0005-0000-0000-000036020000}"/>
    <cellStyle name="Normal 3 4 2 5 2" xfId="643" xr:uid="{00000000-0005-0000-0000-000037020000}"/>
    <cellStyle name="Normal 3 4 2 6" xfId="445" xr:uid="{00000000-0005-0000-0000-000038020000}"/>
    <cellStyle name="Normal 3 4 2 6 2" xfId="665" xr:uid="{00000000-0005-0000-0000-000039020000}"/>
    <cellStyle name="Normal 3 4 2 7" xfId="194" xr:uid="{00000000-0005-0000-0000-00003A020000}"/>
    <cellStyle name="Normal 3 4 2 8" xfId="469" xr:uid="{00000000-0005-0000-0000-00003B020000}"/>
    <cellStyle name="Normal 3 4 3" xfId="52" xr:uid="{00000000-0005-0000-0000-00003C020000}"/>
    <cellStyle name="Normal 3 4 3 2" xfId="300" xr:uid="{00000000-0005-0000-0000-00003D020000}"/>
    <cellStyle name="Normal 3 4 3 2 2" xfId="566" xr:uid="{00000000-0005-0000-0000-00003E020000}"/>
    <cellStyle name="Normal 3 4 3 3" xfId="208" xr:uid="{00000000-0005-0000-0000-00003F020000}"/>
    <cellStyle name="Normal 3 4 3 4" xfId="483" xr:uid="{00000000-0005-0000-0000-000040020000}"/>
    <cellStyle name="Normal 3 4 4" xfId="79" xr:uid="{00000000-0005-0000-0000-000041020000}"/>
    <cellStyle name="Normal 3 4 4 2" xfId="329" xr:uid="{00000000-0005-0000-0000-000042020000}"/>
    <cellStyle name="Normal 3 4 4 2 2" xfId="595" xr:uid="{00000000-0005-0000-0000-000043020000}"/>
    <cellStyle name="Normal 3 4 4 3" xfId="238" xr:uid="{00000000-0005-0000-0000-000044020000}"/>
    <cellStyle name="Normal 3 4 4 4" xfId="512" xr:uid="{00000000-0005-0000-0000-000045020000}"/>
    <cellStyle name="Normal 3 4 5" xfId="104" xr:uid="{00000000-0005-0000-0000-000046020000}"/>
    <cellStyle name="Normal 3 4 5 2" xfId="276" xr:uid="{00000000-0005-0000-0000-000047020000}"/>
    <cellStyle name="Normal 3 4 5 3" xfId="542" xr:uid="{00000000-0005-0000-0000-000048020000}"/>
    <cellStyle name="Normal 3 4 6" xfId="131" xr:uid="{00000000-0005-0000-0000-000049020000}"/>
    <cellStyle name="Normal 3 4 6 2" xfId="406" xr:uid="{00000000-0005-0000-0000-00004A020000}"/>
    <cellStyle name="Normal 3 4 6 3" xfId="626" xr:uid="{00000000-0005-0000-0000-00004B020000}"/>
    <cellStyle name="Normal 3 4 7" xfId="150" xr:uid="{00000000-0005-0000-0000-00004C020000}"/>
    <cellStyle name="Normal 3 4 7 2" xfId="435" xr:uid="{00000000-0005-0000-0000-00004D020000}"/>
    <cellStyle name="Normal 3 4 7 3" xfId="655" xr:uid="{00000000-0005-0000-0000-00004E020000}"/>
    <cellStyle name="Normal 3 4 8" xfId="167" xr:uid="{00000000-0005-0000-0000-00004F020000}"/>
    <cellStyle name="Normal 3 4 9" xfId="184" xr:uid="{00000000-0005-0000-0000-000050020000}"/>
    <cellStyle name="Normal 3 5" xfId="30" xr:uid="{00000000-0005-0000-0000-000051020000}"/>
    <cellStyle name="Normal 3 5 2" xfId="54" xr:uid="{00000000-0005-0000-0000-000052020000}"/>
    <cellStyle name="Normal 3 5 2 2" xfId="210" xr:uid="{00000000-0005-0000-0000-000053020000}"/>
    <cellStyle name="Normal 3 5 3" xfId="82" xr:uid="{00000000-0005-0000-0000-000054020000}"/>
    <cellStyle name="Normal 3 5 3 2" xfId="278" xr:uid="{00000000-0005-0000-0000-000055020000}"/>
    <cellStyle name="Normal 3 5 3 3" xfId="544" xr:uid="{00000000-0005-0000-0000-000056020000}"/>
    <cellStyle name="Normal 3 5 4" xfId="65" xr:uid="{00000000-0005-0000-0000-000057020000}"/>
    <cellStyle name="Normal 3 5 4 2" xfId="437" xr:uid="{00000000-0005-0000-0000-000058020000}"/>
    <cellStyle name="Normal 3 5 4 3" xfId="657" xr:uid="{00000000-0005-0000-0000-000059020000}"/>
    <cellStyle name="Normal 3 5 5" xfId="106" xr:uid="{00000000-0005-0000-0000-00005A020000}"/>
    <cellStyle name="Normal 3 5 6" xfId="186" xr:uid="{00000000-0005-0000-0000-00005B020000}"/>
    <cellStyle name="Normal 3 5 7" xfId="461" xr:uid="{00000000-0005-0000-0000-00005C020000}"/>
    <cellStyle name="Normal 3 6" xfId="42" xr:uid="{00000000-0005-0000-0000-00005D020000}"/>
    <cellStyle name="Normal 3 6 2" xfId="85" xr:uid="{00000000-0005-0000-0000-00005E020000}"/>
    <cellStyle name="Normal 3 6 2 2" xfId="332" xr:uid="{00000000-0005-0000-0000-00005F020000}"/>
    <cellStyle name="Normal 3 6 2 2 2" xfId="598" xr:uid="{00000000-0005-0000-0000-000060020000}"/>
    <cellStyle name="Normal 3 6 2 3" xfId="241" xr:uid="{00000000-0005-0000-0000-000061020000}"/>
    <cellStyle name="Normal 3 6 2 4" xfId="515" xr:uid="{00000000-0005-0000-0000-000062020000}"/>
    <cellStyle name="Normal 3 6 3" xfId="134" xr:uid="{00000000-0005-0000-0000-000063020000}"/>
    <cellStyle name="Normal 3 6 3 2" xfId="303" xr:uid="{00000000-0005-0000-0000-000064020000}"/>
    <cellStyle name="Normal 3 6 3 3" xfId="569" xr:uid="{00000000-0005-0000-0000-000065020000}"/>
    <cellStyle name="Normal 3 6 4" xfId="153" xr:uid="{00000000-0005-0000-0000-000066020000}"/>
    <cellStyle name="Normal 3 6 4 2" xfId="409" xr:uid="{00000000-0005-0000-0000-000067020000}"/>
    <cellStyle name="Normal 3 6 4 3" xfId="629" xr:uid="{00000000-0005-0000-0000-000068020000}"/>
    <cellStyle name="Normal 3 6 5" xfId="170" xr:uid="{00000000-0005-0000-0000-000069020000}"/>
    <cellStyle name="Normal 3 6 6" xfId="212" xr:uid="{00000000-0005-0000-0000-00006A020000}"/>
    <cellStyle name="Normal 3 6 7" xfId="486" xr:uid="{00000000-0005-0000-0000-00006B020000}"/>
    <cellStyle name="Normal 3 7" xfId="68" xr:uid="{00000000-0005-0000-0000-00006C020000}"/>
    <cellStyle name="Normal 3 7 2" xfId="245" xr:uid="{00000000-0005-0000-0000-00006D020000}"/>
    <cellStyle name="Normal 3 7 2 2" xfId="336" xr:uid="{00000000-0005-0000-0000-00006E020000}"/>
    <cellStyle name="Normal 3 7 2 2 2" xfId="602" xr:uid="{00000000-0005-0000-0000-00006F020000}"/>
    <cellStyle name="Normal 3 7 2 3" xfId="519" xr:uid="{00000000-0005-0000-0000-000070020000}"/>
    <cellStyle name="Normal 3 7 3" xfId="307" xr:uid="{00000000-0005-0000-0000-000071020000}"/>
    <cellStyle name="Normal 3 7 3 2" xfId="573" xr:uid="{00000000-0005-0000-0000-000072020000}"/>
    <cellStyle name="Normal 3 7 4" xfId="413" xr:uid="{00000000-0005-0000-0000-000073020000}"/>
    <cellStyle name="Normal 3 7 4 2" xfId="633" xr:uid="{00000000-0005-0000-0000-000074020000}"/>
    <cellStyle name="Normal 3 7 5" xfId="216" xr:uid="{00000000-0005-0000-0000-000075020000}"/>
    <cellStyle name="Normal 3 7 6" xfId="490" xr:uid="{00000000-0005-0000-0000-000076020000}"/>
    <cellStyle name="Normal 3 8" xfId="94" xr:uid="{00000000-0005-0000-0000-000077020000}"/>
    <cellStyle name="Normal 3 8 2" xfId="290" xr:uid="{00000000-0005-0000-0000-000078020000}"/>
    <cellStyle name="Normal 3 8 2 2" xfId="556" xr:uid="{00000000-0005-0000-0000-000079020000}"/>
    <cellStyle name="Normal 3 8 3" xfId="198" xr:uid="{00000000-0005-0000-0000-00007A020000}"/>
    <cellStyle name="Normal 3 8 4" xfId="473" xr:uid="{00000000-0005-0000-0000-00007B020000}"/>
    <cellStyle name="Normal 3 9" xfId="121" xr:uid="{00000000-0005-0000-0000-00007C020000}"/>
    <cellStyle name="Normal 3 9 2" xfId="319" xr:uid="{00000000-0005-0000-0000-00007D020000}"/>
    <cellStyle name="Normal 3 9 2 2" xfId="585" xr:uid="{00000000-0005-0000-0000-00007E020000}"/>
    <cellStyle name="Normal 3 9 3" xfId="228" xr:uid="{00000000-0005-0000-0000-00007F020000}"/>
    <cellStyle name="Normal 3 9 4" xfId="502" xr:uid="{00000000-0005-0000-0000-000080020000}"/>
    <cellStyle name="Normal 4" xfId="15" xr:uid="{00000000-0005-0000-0000-000081020000}"/>
    <cellStyle name="Normal 4 2" xfId="28" xr:uid="{00000000-0005-0000-0000-000082020000}"/>
    <cellStyle name="Normal 5" xfId="18" xr:uid="{00000000-0005-0000-0000-000083020000}"/>
    <cellStyle name="Normal 6" xfId="83" xr:uid="{00000000-0005-0000-0000-000084020000}"/>
    <cellStyle name="Normal 7" xfId="117" xr:uid="{00000000-0005-0000-0000-000085020000}"/>
    <cellStyle name="Normal 7 2" xfId="256" xr:uid="{00000000-0005-0000-0000-000086020000}"/>
    <cellStyle name="Normal 8" xfId="119" xr:uid="{00000000-0005-0000-0000-000087020000}"/>
    <cellStyle name="Normal 8 2" xfId="347" xr:uid="{00000000-0005-0000-0000-000088020000}"/>
    <cellStyle name="Normal 8 3" xfId="257" xr:uid="{00000000-0005-0000-0000-000089020000}"/>
    <cellStyle name="Normal 9" xfId="137" xr:uid="{00000000-0005-0000-0000-00008A020000}"/>
    <cellStyle name="Normal 9 2" xfId="261" xr:uid="{00000000-0005-0000-0000-00008B020000}"/>
    <cellStyle name="Normal_3crit_2002-03.xls" xfId="11" xr:uid="{00000000-0005-0000-0000-00008C020000}"/>
    <cellStyle name="Pourcentage" xfId="12" builtinId="5"/>
    <cellStyle name="Pourcentage 2" xfId="13" xr:uid="{00000000-0005-0000-0000-000091020000}"/>
    <cellStyle name="Pourcentage 3" xfId="138" xr:uid="{00000000-0005-0000-0000-000092020000}"/>
    <cellStyle name="Pourcentage 3 2" xfId="265" xr:uid="{00000000-0005-0000-0000-000093020000}"/>
    <cellStyle name="Pourcentage 4" xfId="259" xr:uid="{00000000-0005-0000-0000-000094020000}"/>
    <cellStyle name="Satisfaisant 2" xfId="381" xr:uid="{00000000-0005-0000-0000-000095020000}"/>
    <cellStyle name="Sortie 2" xfId="382" xr:uid="{00000000-0005-0000-0000-000096020000}"/>
    <cellStyle name="Texte explicatif 2" xfId="383" xr:uid="{00000000-0005-0000-0000-000097020000}"/>
    <cellStyle name="Titre 2" xfId="384" xr:uid="{00000000-0005-0000-0000-000098020000}"/>
    <cellStyle name="Titre 1 2" xfId="385" xr:uid="{00000000-0005-0000-0000-000099020000}"/>
    <cellStyle name="Titre 2 2" xfId="386" xr:uid="{00000000-0005-0000-0000-00009A020000}"/>
    <cellStyle name="Titre 3 2" xfId="387" xr:uid="{00000000-0005-0000-0000-00009B020000}"/>
    <cellStyle name="Titre 4 2" xfId="388" xr:uid="{00000000-0005-0000-0000-00009C020000}"/>
    <cellStyle name="Total 2" xfId="389" xr:uid="{00000000-0005-0000-0000-00009D020000}"/>
    <cellStyle name="Vérification 2" xfId="390" xr:uid="{00000000-0005-0000-0000-00009E02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nances%20Communales/1.%20P&#233;r&#233;quations/2021/Decompte/1.%20D&#233;compte%20d&#233;finitif/0303%20-%20Publication%20FAO%20population/Population%20au%2031%20d&#233;cembre%202021%20&#224;%20faire%20para&#238;tre%20dans%20la%20FAO%20selon%20courriel%20L&#233;na%20Pasche%2021.02.202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21"/>
    </sheetNames>
    <sheetDataSet>
      <sheetData sheetId="0">
        <row r="2">
          <cell r="C2"/>
        </row>
        <row r="3">
          <cell r="C3"/>
        </row>
        <row r="4">
          <cell r="C4"/>
          <cell r="D4"/>
        </row>
        <row r="5">
          <cell r="C5"/>
          <cell r="D5"/>
        </row>
        <row r="6">
          <cell r="C6"/>
          <cell r="D6"/>
        </row>
        <row r="7">
          <cell r="C7"/>
          <cell r="D7"/>
        </row>
        <row r="8">
          <cell r="C8"/>
          <cell r="D8"/>
        </row>
        <row r="9">
          <cell r="C9"/>
          <cell r="D9"/>
        </row>
        <row r="10">
          <cell r="C10"/>
          <cell r="D10"/>
        </row>
        <row r="11">
          <cell r="C11"/>
          <cell r="D11"/>
        </row>
        <row r="12">
          <cell r="C12"/>
        </row>
        <row r="13">
          <cell r="C13"/>
        </row>
        <row r="14">
          <cell r="C14"/>
        </row>
        <row r="15">
          <cell r="C15"/>
        </row>
        <row r="16">
          <cell r="C16"/>
        </row>
        <row r="17">
          <cell r="C17"/>
        </row>
        <row r="18">
          <cell r="C18"/>
        </row>
        <row r="19">
          <cell r="C19"/>
        </row>
        <row r="20">
          <cell r="C20"/>
        </row>
        <row r="21">
          <cell r="C21"/>
        </row>
        <row r="22">
          <cell r="C22"/>
        </row>
        <row r="23">
          <cell r="C23"/>
        </row>
        <row r="24">
          <cell r="C24"/>
        </row>
        <row r="25">
          <cell r="C25"/>
          <cell r="D25" t="str">
            <v>Total FAO</v>
          </cell>
        </row>
        <row r="26">
          <cell r="C26"/>
          <cell r="D26"/>
        </row>
        <row r="27">
          <cell r="C27"/>
          <cell r="D27">
            <v>823881</v>
          </cell>
        </row>
        <row r="28">
          <cell r="C28"/>
        </row>
        <row r="29">
          <cell r="C29"/>
          <cell r="D29">
            <v>47214</v>
          </cell>
        </row>
        <row r="30">
          <cell r="C30" t="str">
            <v>Aigle</v>
          </cell>
          <cell r="D30">
            <v>10828</v>
          </cell>
        </row>
        <row r="31">
          <cell r="C31" t="str">
            <v>Bex</v>
          </cell>
          <cell r="D31">
            <v>8063</v>
          </cell>
        </row>
        <row r="32">
          <cell r="C32" t="str">
            <v>Chessel</v>
          </cell>
          <cell r="D32">
            <v>497</v>
          </cell>
        </row>
        <row r="33">
          <cell r="C33" t="str">
            <v>Corbeyrier</v>
          </cell>
          <cell r="D33">
            <v>439</v>
          </cell>
        </row>
        <row r="34">
          <cell r="C34" t="str">
            <v>Gryon</v>
          </cell>
          <cell r="D34">
            <v>1382</v>
          </cell>
        </row>
        <row r="35">
          <cell r="C35" t="str">
            <v>Lavey-Morcles</v>
          </cell>
          <cell r="D35">
            <v>966</v>
          </cell>
        </row>
        <row r="36">
          <cell r="C36" t="str">
            <v>Leysin</v>
          </cell>
          <cell r="D36">
            <v>3637</v>
          </cell>
        </row>
        <row r="37">
          <cell r="C37" t="str">
            <v>Noville</v>
          </cell>
          <cell r="D37">
            <v>1169</v>
          </cell>
        </row>
        <row r="38">
          <cell r="C38" t="str">
            <v>Ollon</v>
          </cell>
          <cell r="D38">
            <v>7904</v>
          </cell>
        </row>
        <row r="39">
          <cell r="C39" t="str">
            <v>Ormont-Dessous</v>
          </cell>
          <cell r="D39">
            <v>1162</v>
          </cell>
        </row>
        <row r="40">
          <cell r="C40" t="str">
            <v>Ormont-Dessus</v>
          </cell>
          <cell r="D40">
            <v>1451</v>
          </cell>
        </row>
        <row r="41">
          <cell r="C41" t="str">
            <v>Rennaz</v>
          </cell>
          <cell r="D41">
            <v>883</v>
          </cell>
        </row>
        <row r="42">
          <cell r="C42" t="str">
            <v>Roche</v>
          </cell>
          <cell r="D42">
            <v>1874</v>
          </cell>
        </row>
        <row r="43">
          <cell r="C43" t="str">
            <v>Villeneuve</v>
          </cell>
          <cell r="D43">
            <v>5921</v>
          </cell>
        </row>
        <row r="44">
          <cell r="C44" t="str">
            <v>Yvorne</v>
          </cell>
          <cell r="D44">
            <v>1038</v>
          </cell>
        </row>
        <row r="45">
          <cell r="C45"/>
          <cell r="D45">
            <v>45367</v>
          </cell>
        </row>
        <row r="46">
          <cell r="C46" t="str">
            <v>Avenches</v>
          </cell>
          <cell r="D46">
            <v>4616</v>
          </cell>
        </row>
        <row r="47">
          <cell r="C47" t="str">
            <v>Bussy-sur-Moudon</v>
          </cell>
          <cell r="D47">
            <v>236</v>
          </cell>
        </row>
        <row r="48">
          <cell r="C48" t="str">
            <v>Champtauroz</v>
          </cell>
          <cell r="D48">
            <v>169</v>
          </cell>
        </row>
        <row r="49">
          <cell r="C49" t="str">
            <v>Chavannes-sur-Moudon</v>
          </cell>
          <cell r="D49">
            <v>222</v>
          </cell>
        </row>
        <row r="50">
          <cell r="C50" t="str">
            <v>Chevroux</v>
          </cell>
          <cell r="D50">
            <v>506</v>
          </cell>
        </row>
        <row r="51">
          <cell r="C51" t="str">
            <v>Corcelles-le-Jorat</v>
          </cell>
          <cell r="D51">
            <v>489</v>
          </cell>
        </row>
        <row r="52">
          <cell r="C52" t="str">
            <v>Corcelles-près-Payerne</v>
          </cell>
          <cell r="D52">
            <v>2722</v>
          </cell>
        </row>
        <row r="53">
          <cell r="C53" t="str">
            <v>Cudrefin</v>
          </cell>
          <cell r="D53">
            <v>1836</v>
          </cell>
        </row>
        <row r="54">
          <cell r="C54" t="str">
            <v>Curtilles</v>
          </cell>
          <cell r="D54">
            <v>296</v>
          </cell>
        </row>
        <row r="55">
          <cell r="C55" t="str">
            <v>Dompierre</v>
          </cell>
          <cell r="D55">
            <v>246</v>
          </cell>
        </row>
        <row r="56">
          <cell r="C56" t="str">
            <v>Faoug</v>
          </cell>
          <cell r="D56">
            <v>866</v>
          </cell>
        </row>
        <row r="57">
          <cell r="C57" t="str">
            <v>Grandcour</v>
          </cell>
          <cell r="D57">
            <v>987</v>
          </cell>
        </row>
        <row r="58">
          <cell r="C58" t="str">
            <v>Henniez</v>
          </cell>
          <cell r="D58">
            <v>407</v>
          </cell>
        </row>
        <row r="59">
          <cell r="C59" t="str">
            <v>Hermenches</v>
          </cell>
          <cell r="D59">
            <v>371</v>
          </cell>
        </row>
        <row r="60">
          <cell r="C60" t="str">
            <v>Lovatens</v>
          </cell>
          <cell r="D60">
            <v>146</v>
          </cell>
        </row>
        <row r="61">
          <cell r="C61" t="str">
            <v>Lucens</v>
          </cell>
          <cell r="D61">
            <v>4373</v>
          </cell>
        </row>
        <row r="62">
          <cell r="C62" t="str">
            <v>Missy</v>
          </cell>
          <cell r="D62">
            <v>366</v>
          </cell>
        </row>
        <row r="63">
          <cell r="C63" t="str">
            <v>Moudon</v>
          </cell>
          <cell r="D63">
            <v>6120</v>
          </cell>
        </row>
        <row r="64">
          <cell r="C64" t="str">
            <v>Payerne</v>
          </cell>
          <cell r="D64">
            <v>10258</v>
          </cell>
        </row>
        <row r="65">
          <cell r="C65" t="str">
            <v>Prévonloup</v>
          </cell>
          <cell r="D65">
            <v>215</v>
          </cell>
        </row>
        <row r="66">
          <cell r="C66" t="str">
            <v>Ropraz</v>
          </cell>
          <cell r="D66">
            <v>534</v>
          </cell>
        </row>
        <row r="67">
          <cell r="C67" t="str">
            <v>Rossenges</v>
          </cell>
          <cell r="D67">
            <v>93</v>
          </cell>
        </row>
        <row r="68">
          <cell r="C68" t="str">
            <v>Syens</v>
          </cell>
          <cell r="D68">
            <v>161</v>
          </cell>
        </row>
        <row r="69">
          <cell r="C69" t="str">
            <v>Trey</v>
          </cell>
          <cell r="D69">
            <v>321</v>
          </cell>
        </row>
        <row r="70">
          <cell r="C70" t="str">
            <v>Treytorrens</v>
          </cell>
          <cell r="D70">
            <v>110</v>
          </cell>
        </row>
        <row r="71">
          <cell r="C71" t="str">
            <v>Valbroye</v>
          </cell>
          <cell r="D71">
            <v>3349</v>
          </cell>
        </row>
        <row r="72">
          <cell r="C72" t="str">
            <v>Villars-le-Comte</v>
          </cell>
          <cell r="D72">
            <v>133</v>
          </cell>
        </row>
        <row r="73">
          <cell r="C73" t="str">
            <v>Villarzel</v>
          </cell>
          <cell r="D73">
            <v>500</v>
          </cell>
        </row>
        <row r="74">
          <cell r="C74" t="str">
            <v>Vucherens</v>
          </cell>
          <cell r="D74">
            <v>623</v>
          </cell>
        </row>
        <row r="75">
          <cell r="C75" t="str">
            <v>Vulliens</v>
          </cell>
          <cell r="D75">
            <v>631</v>
          </cell>
        </row>
        <row r="76">
          <cell r="C76" t="str">
            <v>Vully-les-Lacs</v>
          </cell>
          <cell r="D76">
            <v>3465</v>
          </cell>
        </row>
        <row r="77">
          <cell r="C77"/>
          <cell r="D77">
            <v>46817</v>
          </cell>
        </row>
        <row r="78">
          <cell r="C78" t="str">
            <v>Assens</v>
          </cell>
          <cell r="D78">
            <v>1669</v>
          </cell>
        </row>
        <row r="79">
          <cell r="C79" t="str">
            <v>Bercher</v>
          </cell>
          <cell r="D79">
            <v>1320</v>
          </cell>
        </row>
        <row r="80">
          <cell r="C80" t="str">
            <v>Bettens</v>
          </cell>
          <cell r="D80">
            <v>626</v>
          </cell>
        </row>
        <row r="81">
          <cell r="C81" t="str">
            <v>Bottens</v>
          </cell>
          <cell r="D81">
            <v>1357</v>
          </cell>
        </row>
        <row r="82">
          <cell r="C82" t="str">
            <v>Boulens</v>
          </cell>
          <cell r="D82">
            <v>371</v>
          </cell>
        </row>
        <row r="83">
          <cell r="C83" t="str">
            <v>Bournens</v>
          </cell>
          <cell r="D83">
            <v>507</v>
          </cell>
        </row>
        <row r="84">
          <cell r="C84" t="str">
            <v>Boussens</v>
          </cell>
          <cell r="D84">
            <v>1001</v>
          </cell>
        </row>
        <row r="85">
          <cell r="C85" t="str">
            <v>Bretigny-sur-Morrens</v>
          </cell>
          <cell r="D85">
            <v>882</v>
          </cell>
        </row>
        <row r="86">
          <cell r="C86" t="str">
            <v>Cugy</v>
          </cell>
          <cell r="D86">
            <v>2733</v>
          </cell>
        </row>
        <row r="87">
          <cell r="C87" t="str">
            <v>Daillens</v>
          </cell>
          <cell r="D87">
            <v>1051</v>
          </cell>
        </row>
        <row r="88">
          <cell r="C88" t="str">
            <v>Echallens</v>
          </cell>
          <cell r="D88">
            <v>5739</v>
          </cell>
        </row>
        <row r="89">
          <cell r="C89" t="str">
            <v>Essertines-sur-Yverdon</v>
          </cell>
          <cell r="D89">
            <v>1059</v>
          </cell>
        </row>
        <row r="90">
          <cell r="C90" t="str">
            <v>Etagnières</v>
          </cell>
          <cell r="D90">
            <v>1148</v>
          </cell>
        </row>
        <row r="91">
          <cell r="C91" t="str">
            <v>Fey</v>
          </cell>
          <cell r="D91">
            <v>754</v>
          </cell>
        </row>
        <row r="92">
          <cell r="C92" t="str">
            <v>Froideville</v>
          </cell>
          <cell r="D92">
            <v>2673</v>
          </cell>
        </row>
        <row r="93">
          <cell r="C93" t="str">
            <v>Goumoëns</v>
          </cell>
          <cell r="D93">
            <v>1166</v>
          </cell>
        </row>
        <row r="94">
          <cell r="C94" t="str">
            <v>Jorat-Menthue</v>
          </cell>
          <cell r="D94">
            <v>1603</v>
          </cell>
        </row>
        <row r="95">
          <cell r="C95" t="str">
            <v>Lussery-Villars</v>
          </cell>
          <cell r="D95">
            <v>475</v>
          </cell>
        </row>
        <row r="96">
          <cell r="C96" t="str">
            <v>Mex</v>
          </cell>
          <cell r="D96">
            <v>795</v>
          </cell>
        </row>
        <row r="97">
          <cell r="C97" t="str">
            <v>Montanaire</v>
          </cell>
          <cell r="D97">
            <v>2768</v>
          </cell>
        </row>
        <row r="98">
          <cell r="C98" t="str">
            <v>Montilliez</v>
          </cell>
          <cell r="D98">
            <v>1883</v>
          </cell>
        </row>
        <row r="99">
          <cell r="C99" t="str">
            <v>Morrens</v>
          </cell>
          <cell r="D99">
            <v>1156</v>
          </cell>
        </row>
        <row r="100">
          <cell r="C100" t="str">
            <v>Ogens</v>
          </cell>
          <cell r="D100">
            <v>321</v>
          </cell>
        </row>
        <row r="101">
          <cell r="C101" t="str">
            <v>Oppens</v>
          </cell>
          <cell r="D101">
            <v>201</v>
          </cell>
        </row>
        <row r="102">
          <cell r="C102" t="str">
            <v>Oulens-sous-Echallens</v>
          </cell>
          <cell r="D102">
            <v>619</v>
          </cell>
        </row>
        <row r="103">
          <cell r="C103" t="str">
            <v>Pailly</v>
          </cell>
          <cell r="D103">
            <v>575</v>
          </cell>
        </row>
        <row r="104">
          <cell r="C104" t="str">
            <v>Penthalaz</v>
          </cell>
          <cell r="D104">
            <v>3210</v>
          </cell>
        </row>
        <row r="105">
          <cell r="C105" t="str">
            <v>Penthaz</v>
          </cell>
          <cell r="D105">
            <v>1890</v>
          </cell>
        </row>
        <row r="106">
          <cell r="C106" t="str">
            <v>Penthéréaz</v>
          </cell>
          <cell r="D106">
            <v>417</v>
          </cell>
        </row>
        <row r="107">
          <cell r="C107" t="str">
            <v>Poliez-Pittet</v>
          </cell>
          <cell r="D107">
            <v>833</v>
          </cell>
        </row>
        <row r="108">
          <cell r="C108" t="str">
            <v>Rueyres</v>
          </cell>
          <cell r="D108">
            <v>304</v>
          </cell>
        </row>
        <row r="109">
          <cell r="C109" t="str">
            <v>Saint-Barthélemy</v>
          </cell>
          <cell r="D109">
            <v>809</v>
          </cell>
        </row>
        <row r="110">
          <cell r="C110" t="str">
            <v>Sullens</v>
          </cell>
          <cell r="D110">
            <v>1143</v>
          </cell>
        </row>
        <row r="111">
          <cell r="C111" t="str">
            <v>Villars-le-Terroir</v>
          </cell>
          <cell r="D111">
            <v>1316</v>
          </cell>
        </row>
        <row r="112">
          <cell r="C112" t="str">
            <v>Vuarrens</v>
          </cell>
          <cell r="D112">
            <v>1097</v>
          </cell>
        </row>
        <row r="113">
          <cell r="C113" t="str">
            <v>Vufflens-la-Ville</v>
          </cell>
          <cell r="D113">
            <v>1346</v>
          </cell>
        </row>
        <row r="114">
          <cell r="C114"/>
          <cell r="D114">
            <v>93979</v>
          </cell>
        </row>
        <row r="115">
          <cell r="C115" t="str">
            <v>L'Abbaye</v>
          </cell>
          <cell r="D115">
            <v>1521</v>
          </cell>
        </row>
        <row r="116">
          <cell r="C116" t="str">
            <v>L'Abergement</v>
          </cell>
          <cell r="D116">
            <v>256</v>
          </cell>
        </row>
        <row r="117">
          <cell r="C117" t="str">
            <v>Agiez</v>
          </cell>
          <cell r="D117">
            <v>375</v>
          </cell>
        </row>
        <row r="118">
          <cell r="C118" t="str">
            <v>Arnex-sur-Orbe</v>
          </cell>
          <cell r="D118">
            <v>665</v>
          </cell>
        </row>
        <row r="119">
          <cell r="C119" t="str">
            <v>Ballaigues</v>
          </cell>
          <cell r="D119">
            <v>1173</v>
          </cell>
        </row>
        <row r="120">
          <cell r="C120" t="str">
            <v>Baulmes</v>
          </cell>
          <cell r="D120">
            <v>1126</v>
          </cell>
        </row>
        <row r="121">
          <cell r="C121" t="str">
            <v>Bavois</v>
          </cell>
          <cell r="D121">
            <v>978</v>
          </cell>
        </row>
        <row r="122">
          <cell r="C122" t="str">
            <v>Belmont-sur-Yverdon</v>
          </cell>
          <cell r="D122">
            <v>415</v>
          </cell>
        </row>
        <row r="123">
          <cell r="C123" t="str">
            <v>Bioley-Magnoux</v>
          </cell>
          <cell r="D123">
            <v>234</v>
          </cell>
        </row>
        <row r="124">
          <cell r="C124" t="str">
            <v>Bofflens</v>
          </cell>
          <cell r="D124">
            <v>206</v>
          </cell>
        </row>
        <row r="125">
          <cell r="C125" t="str">
            <v>Bonvillars</v>
          </cell>
          <cell r="D125">
            <v>481</v>
          </cell>
        </row>
        <row r="126">
          <cell r="C126" t="str">
            <v>Bretonnières</v>
          </cell>
          <cell r="D126">
            <v>266</v>
          </cell>
        </row>
        <row r="127">
          <cell r="C127" t="str">
            <v>Bullet</v>
          </cell>
          <cell r="D127">
            <v>657</v>
          </cell>
        </row>
        <row r="128">
          <cell r="C128" t="str">
            <v>Chamblon</v>
          </cell>
          <cell r="D128">
            <v>561</v>
          </cell>
        </row>
        <row r="129">
          <cell r="C129" t="str">
            <v>Champagne</v>
          </cell>
          <cell r="D129">
            <v>1085</v>
          </cell>
        </row>
        <row r="130">
          <cell r="C130" t="str">
            <v>Champvent</v>
          </cell>
          <cell r="D130">
            <v>712</v>
          </cell>
        </row>
        <row r="131">
          <cell r="C131" t="str">
            <v>Chavannes-le-Chêne</v>
          </cell>
          <cell r="D131">
            <v>325</v>
          </cell>
        </row>
        <row r="132">
          <cell r="C132" t="str">
            <v>Chavornay</v>
          </cell>
          <cell r="D132">
            <v>5366</v>
          </cell>
        </row>
        <row r="133">
          <cell r="C133" t="str">
            <v>Chêne-Pâquier</v>
          </cell>
          <cell r="D133">
            <v>153</v>
          </cell>
        </row>
        <row r="134">
          <cell r="C134" t="str">
            <v>Le Chenit</v>
          </cell>
          <cell r="D134">
            <v>4569</v>
          </cell>
        </row>
        <row r="135">
          <cell r="C135" t="str">
            <v>Cheseaux-Noréaz</v>
          </cell>
          <cell r="D135">
            <v>728</v>
          </cell>
        </row>
        <row r="136">
          <cell r="C136" t="str">
            <v>Les Clées</v>
          </cell>
          <cell r="D136">
            <v>182</v>
          </cell>
        </row>
        <row r="137">
          <cell r="C137" t="str">
            <v>Concise</v>
          </cell>
          <cell r="D137">
            <v>1004</v>
          </cell>
        </row>
        <row r="138">
          <cell r="C138" t="str">
            <v>Corcelles-près-Concise</v>
          </cell>
          <cell r="D138">
            <v>417</v>
          </cell>
        </row>
        <row r="139">
          <cell r="C139" t="str">
            <v>Cronay</v>
          </cell>
          <cell r="D139">
            <v>403</v>
          </cell>
        </row>
        <row r="140">
          <cell r="C140" t="str">
            <v>Croy</v>
          </cell>
          <cell r="D140">
            <v>390</v>
          </cell>
        </row>
        <row r="141">
          <cell r="C141" t="str">
            <v>Cuarny</v>
          </cell>
          <cell r="D141">
            <v>245</v>
          </cell>
        </row>
        <row r="142">
          <cell r="C142" t="str">
            <v>Démoret</v>
          </cell>
          <cell r="D142">
            <v>164</v>
          </cell>
        </row>
        <row r="143">
          <cell r="C143" t="str">
            <v>Donneloye</v>
          </cell>
          <cell r="D143">
            <v>891</v>
          </cell>
        </row>
        <row r="144">
          <cell r="C144" t="str">
            <v>Ependes</v>
          </cell>
          <cell r="D144">
            <v>381</v>
          </cell>
        </row>
        <row r="145">
          <cell r="C145" t="str">
            <v>Fiez</v>
          </cell>
          <cell r="D145">
            <v>442</v>
          </cell>
        </row>
        <row r="146">
          <cell r="C146" t="str">
            <v>Fontaines-sur-Grandson</v>
          </cell>
          <cell r="D146">
            <v>220</v>
          </cell>
        </row>
        <row r="147">
          <cell r="C147" t="str">
            <v>Giez</v>
          </cell>
          <cell r="D147">
            <v>443</v>
          </cell>
        </row>
        <row r="148">
          <cell r="C148" t="str">
            <v>Grandevent</v>
          </cell>
          <cell r="D148">
            <v>238</v>
          </cell>
        </row>
        <row r="149">
          <cell r="C149" t="str">
            <v>Grandson</v>
          </cell>
          <cell r="D149">
            <v>3366</v>
          </cell>
        </row>
        <row r="150">
          <cell r="C150" t="str">
            <v>Juriens</v>
          </cell>
          <cell r="D150">
            <v>348</v>
          </cell>
        </row>
        <row r="151">
          <cell r="C151" t="str">
            <v>Le Lieu</v>
          </cell>
          <cell r="D151">
            <v>881</v>
          </cell>
        </row>
        <row r="152">
          <cell r="C152" t="str">
            <v>Lignerolle</v>
          </cell>
          <cell r="D152">
            <v>409</v>
          </cell>
        </row>
        <row r="153">
          <cell r="C153" t="str">
            <v>Mathod</v>
          </cell>
          <cell r="D153">
            <v>655</v>
          </cell>
        </row>
        <row r="154">
          <cell r="C154" t="str">
            <v>Mauborget</v>
          </cell>
          <cell r="D154">
            <v>137</v>
          </cell>
        </row>
        <row r="155">
          <cell r="C155" t="str">
            <v>Molondin</v>
          </cell>
          <cell r="D155">
            <v>239</v>
          </cell>
        </row>
        <row r="156">
          <cell r="C156" t="str">
            <v>Montagny-près-Yverdon</v>
          </cell>
          <cell r="D156">
            <v>775</v>
          </cell>
        </row>
        <row r="157">
          <cell r="C157" t="str">
            <v>Montcherand</v>
          </cell>
          <cell r="D157">
            <v>502</v>
          </cell>
        </row>
        <row r="158">
          <cell r="C158" t="str">
            <v>Mutrux</v>
          </cell>
          <cell r="D158">
            <v>151</v>
          </cell>
        </row>
        <row r="159">
          <cell r="C159" t="str">
            <v>Novalles</v>
          </cell>
          <cell r="D159">
            <v>103</v>
          </cell>
        </row>
        <row r="160">
          <cell r="C160" t="str">
            <v>Onnens</v>
          </cell>
          <cell r="D160">
            <v>495</v>
          </cell>
        </row>
        <row r="161">
          <cell r="C161" t="str">
            <v>Orbe</v>
          </cell>
          <cell r="D161">
            <v>7570</v>
          </cell>
        </row>
        <row r="162">
          <cell r="C162" t="str">
            <v>Orges</v>
          </cell>
          <cell r="D162">
            <v>367</v>
          </cell>
        </row>
        <row r="163">
          <cell r="C163" t="str">
            <v>Orzens</v>
          </cell>
          <cell r="D163">
            <v>202</v>
          </cell>
        </row>
        <row r="164">
          <cell r="C164" t="str">
            <v>Pomy</v>
          </cell>
          <cell r="D164">
            <v>838</v>
          </cell>
        </row>
        <row r="165">
          <cell r="C165" t="str">
            <v>La Praz</v>
          </cell>
          <cell r="D165">
            <v>182</v>
          </cell>
        </row>
        <row r="166">
          <cell r="C166" t="str">
            <v>Premier</v>
          </cell>
          <cell r="D166">
            <v>232</v>
          </cell>
        </row>
        <row r="167">
          <cell r="C167" t="str">
            <v>Provence</v>
          </cell>
          <cell r="D167">
            <v>403</v>
          </cell>
        </row>
        <row r="168">
          <cell r="C168" t="str">
            <v>Rances</v>
          </cell>
          <cell r="D168">
            <v>512</v>
          </cell>
        </row>
        <row r="169">
          <cell r="C169" t="str">
            <v>Romainmôtier-Envy</v>
          </cell>
          <cell r="D169">
            <v>551</v>
          </cell>
        </row>
        <row r="170">
          <cell r="C170" t="str">
            <v>Rovray</v>
          </cell>
          <cell r="D170">
            <v>206</v>
          </cell>
        </row>
        <row r="171">
          <cell r="C171" t="str">
            <v>Sainte-Croix</v>
          </cell>
          <cell r="D171">
            <v>4948</v>
          </cell>
        </row>
        <row r="172">
          <cell r="C172" t="str">
            <v>Sergey</v>
          </cell>
          <cell r="D172">
            <v>141</v>
          </cell>
        </row>
        <row r="173">
          <cell r="C173" t="str">
            <v>Suchy</v>
          </cell>
          <cell r="D173">
            <v>656</v>
          </cell>
        </row>
        <row r="174">
          <cell r="C174" t="str">
            <v>Suscévaz</v>
          </cell>
          <cell r="D174">
            <v>215</v>
          </cell>
        </row>
        <row r="175">
          <cell r="C175" t="str">
            <v>Tévenon</v>
          </cell>
          <cell r="D175">
            <v>883</v>
          </cell>
        </row>
        <row r="176">
          <cell r="C176" t="str">
            <v>Treycovagnes</v>
          </cell>
          <cell r="D176">
            <v>490</v>
          </cell>
        </row>
        <row r="177">
          <cell r="C177" t="str">
            <v>Ursins</v>
          </cell>
          <cell r="D177">
            <v>228</v>
          </cell>
        </row>
        <row r="178">
          <cell r="C178" t="str">
            <v>Valeyres-sous-Montagny</v>
          </cell>
          <cell r="D178">
            <v>697</v>
          </cell>
        </row>
        <row r="179">
          <cell r="C179" t="str">
            <v>Valeyres-sous-Rances</v>
          </cell>
          <cell r="D179">
            <v>614</v>
          </cell>
        </row>
        <row r="180">
          <cell r="C180" t="str">
            <v>Valeyres-sous-Ursins</v>
          </cell>
          <cell r="D180">
            <v>247</v>
          </cell>
        </row>
        <row r="181">
          <cell r="C181" t="str">
            <v>Vallorbe</v>
          </cell>
          <cell r="D181">
            <v>3924</v>
          </cell>
        </row>
        <row r="182">
          <cell r="C182" t="str">
            <v>Vaulion</v>
          </cell>
          <cell r="D182">
            <v>492</v>
          </cell>
        </row>
        <row r="183">
          <cell r="C183" t="str">
            <v>Villars-Epeney</v>
          </cell>
          <cell r="D183">
            <v>95</v>
          </cell>
        </row>
        <row r="184">
          <cell r="C184" t="str">
            <v>Vugelles-La Mothe</v>
          </cell>
          <cell r="D184">
            <v>140</v>
          </cell>
        </row>
        <row r="185">
          <cell r="C185" t="str">
            <v>Vuiteboeuf</v>
          </cell>
          <cell r="D185">
            <v>591</v>
          </cell>
        </row>
        <row r="186">
          <cell r="C186" t="str">
            <v>Yverdon-les-Bains</v>
          </cell>
          <cell r="D186">
            <v>29710</v>
          </cell>
        </row>
        <row r="187">
          <cell r="C187" t="str">
            <v>Yvonand</v>
          </cell>
          <cell r="D187">
            <v>3512</v>
          </cell>
        </row>
        <row r="188">
          <cell r="C188"/>
          <cell r="D188">
            <v>169245</v>
          </cell>
        </row>
        <row r="189">
          <cell r="C189" t="str">
            <v>Cheseaux-sur-Lausanne</v>
          </cell>
          <cell r="D189">
            <v>4449</v>
          </cell>
        </row>
        <row r="190">
          <cell r="C190" t="str">
            <v>Epalinges</v>
          </cell>
          <cell r="D190">
            <v>9813</v>
          </cell>
        </row>
        <row r="191">
          <cell r="C191" t="str">
            <v>Jouxtens-Mézery</v>
          </cell>
          <cell r="D191">
            <v>1460</v>
          </cell>
        </row>
        <row r="192">
          <cell r="C192" t="str">
            <v>Lausanne</v>
          </cell>
          <cell r="D192">
            <v>140824</v>
          </cell>
        </row>
        <row r="193">
          <cell r="C193" t="str">
            <v>Le Mont-sur-Lausanne</v>
          </cell>
          <cell r="D193">
            <v>9217</v>
          </cell>
        </row>
        <row r="194">
          <cell r="C194" t="str">
            <v>Romanel-sur-Lausanne</v>
          </cell>
          <cell r="D194">
            <v>3482</v>
          </cell>
        </row>
        <row r="195">
          <cell r="C195"/>
          <cell r="D195">
            <v>64304</v>
          </cell>
        </row>
        <row r="196">
          <cell r="C196" t="str">
            <v>Belmont-sur-Lausanne</v>
          </cell>
          <cell r="D196">
            <v>3871</v>
          </cell>
        </row>
        <row r="197">
          <cell r="C197" t="str">
            <v>Bourg-en-Lavaux</v>
          </cell>
          <cell r="D197">
            <v>5367</v>
          </cell>
        </row>
        <row r="198">
          <cell r="C198" t="str">
            <v>Chexbres</v>
          </cell>
          <cell r="D198">
            <v>2229</v>
          </cell>
        </row>
        <row r="199">
          <cell r="C199" t="str">
            <v>Essertes</v>
          </cell>
          <cell r="D199">
            <v>397</v>
          </cell>
        </row>
        <row r="200">
          <cell r="C200" t="str">
            <v>Forel (Lavaux)</v>
          </cell>
          <cell r="D200">
            <v>2110</v>
          </cell>
        </row>
        <row r="201">
          <cell r="C201" t="str">
            <v>Jorat-Mézières</v>
          </cell>
          <cell r="D201">
            <v>3095</v>
          </cell>
        </row>
        <row r="202">
          <cell r="C202" t="str">
            <v>Lutry</v>
          </cell>
          <cell r="D202">
            <v>10704</v>
          </cell>
        </row>
        <row r="203">
          <cell r="C203" t="str">
            <v>Maracon</v>
          </cell>
          <cell r="D203">
            <v>547</v>
          </cell>
        </row>
        <row r="204">
          <cell r="C204" t="str">
            <v>Montpreveyres</v>
          </cell>
          <cell r="D204">
            <v>662</v>
          </cell>
        </row>
        <row r="205">
          <cell r="C205" t="str">
            <v>Oron</v>
          </cell>
          <cell r="D205">
            <v>5703</v>
          </cell>
        </row>
        <row r="206">
          <cell r="C206" t="str">
            <v>Paudex</v>
          </cell>
          <cell r="D206">
            <v>1545</v>
          </cell>
        </row>
        <row r="207">
          <cell r="C207" t="str">
            <v>Puidoux</v>
          </cell>
          <cell r="D207">
            <v>2924</v>
          </cell>
        </row>
        <row r="208">
          <cell r="C208" t="str">
            <v>Pully</v>
          </cell>
          <cell r="D208">
            <v>18946</v>
          </cell>
        </row>
        <row r="209">
          <cell r="C209" t="str">
            <v>Rivaz</v>
          </cell>
          <cell r="D209">
            <v>331</v>
          </cell>
        </row>
        <row r="210">
          <cell r="C210" t="str">
            <v>St-Saphorin (Lavaux)</v>
          </cell>
          <cell r="D210">
            <v>396</v>
          </cell>
        </row>
        <row r="211">
          <cell r="C211" t="str">
            <v>Savigny</v>
          </cell>
          <cell r="D211">
            <v>3370</v>
          </cell>
        </row>
        <row r="212">
          <cell r="C212" t="str">
            <v>Servion</v>
          </cell>
          <cell r="D212">
            <v>2107</v>
          </cell>
        </row>
        <row r="213">
          <cell r="C213"/>
          <cell r="D213">
            <v>86038</v>
          </cell>
        </row>
        <row r="214">
          <cell r="C214" t="str">
            <v>Aclens</v>
          </cell>
          <cell r="D214">
            <v>517</v>
          </cell>
        </row>
        <row r="215">
          <cell r="C215" t="str">
            <v>Allaman</v>
          </cell>
          <cell r="D215">
            <v>430</v>
          </cell>
        </row>
        <row r="216">
          <cell r="C216" t="str">
            <v>Aubonne</v>
          </cell>
          <cell r="D216">
            <v>3781</v>
          </cell>
        </row>
        <row r="217">
          <cell r="C217" t="str">
            <v>Ballens</v>
          </cell>
          <cell r="D217">
            <v>567</v>
          </cell>
        </row>
        <row r="218">
          <cell r="C218" t="str">
            <v>Berolle</v>
          </cell>
          <cell r="D218">
            <v>308</v>
          </cell>
        </row>
        <row r="219">
          <cell r="C219" t="str">
            <v>Bière</v>
          </cell>
          <cell r="D219">
            <v>1634</v>
          </cell>
        </row>
        <row r="220">
          <cell r="C220" t="str">
            <v>Bougy-Villars</v>
          </cell>
          <cell r="D220">
            <v>497</v>
          </cell>
        </row>
        <row r="221">
          <cell r="C221" t="str">
            <v>Bremblens</v>
          </cell>
          <cell r="D221">
            <v>607</v>
          </cell>
        </row>
        <row r="222">
          <cell r="C222" t="str">
            <v>Buchillon</v>
          </cell>
          <cell r="D222">
            <v>669</v>
          </cell>
        </row>
        <row r="223">
          <cell r="C223" t="str">
            <v>La Chaux (Cossonay)</v>
          </cell>
          <cell r="D223">
            <v>398</v>
          </cell>
        </row>
        <row r="224">
          <cell r="C224" t="str">
            <v>Chavannes-le-Veyron</v>
          </cell>
          <cell r="D224">
            <v>155</v>
          </cell>
        </row>
        <row r="225">
          <cell r="C225" t="str">
            <v>Chevilly</v>
          </cell>
          <cell r="D225">
            <v>322</v>
          </cell>
        </row>
        <row r="226">
          <cell r="C226" t="str">
            <v>Chigny</v>
          </cell>
          <cell r="D226">
            <v>405</v>
          </cell>
        </row>
        <row r="227">
          <cell r="C227" t="str">
            <v>Clarmont</v>
          </cell>
          <cell r="D227">
            <v>211</v>
          </cell>
        </row>
        <row r="228">
          <cell r="C228" t="str">
            <v>Cossonay</v>
          </cell>
          <cell r="D228">
            <v>4326</v>
          </cell>
        </row>
        <row r="229">
          <cell r="C229" t="str">
            <v>Cuarnens</v>
          </cell>
          <cell r="D229">
            <v>531</v>
          </cell>
        </row>
        <row r="230">
          <cell r="C230" t="str">
            <v>Denens</v>
          </cell>
          <cell r="D230">
            <v>733</v>
          </cell>
        </row>
        <row r="231">
          <cell r="C231" t="str">
            <v>Denges</v>
          </cell>
          <cell r="D231">
            <v>1744</v>
          </cell>
        </row>
        <row r="232">
          <cell r="C232" t="str">
            <v>Dizy</v>
          </cell>
          <cell r="D232">
            <v>225</v>
          </cell>
        </row>
        <row r="233">
          <cell r="C233" t="str">
            <v>Echandens</v>
          </cell>
          <cell r="D233">
            <v>2775</v>
          </cell>
        </row>
        <row r="234">
          <cell r="C234" t="str">
            <v>Echichens</v>
          </cell>
          <cell r="D234">
            <v>3142</v>
          </cell>
        </row>
        <row r="235">
          <cell r="C235" t="str">
            <v>Eclépens</v>
          </cell>
          <cell r="D235">
            <v>1198</v>
          </cell>
        </row>
        <row r="236">
          <cell r="C236" t="str">
            <v>Etoy</v>
          </cell>
          <cell r="D236">
            <v>2918</v>
          </cell>
        </row>
        <row r="237">
          <cell r="C237" t="str">
            <v>Féchy</v>
          </cell>
          <cell r="D237">
            <v>893</v>
          </cell>
        </row>
        <row r="238">
          <cell r="C238" t="str">
            <v>Ferreyres</v>
          </cell>
          <cell r="D238">
            <v>319</v>
          </cell>
        </row>
        <row r="239">
          <cell r="C239" t="str">
            <v>Gimel</v>
          </cell>
          <cell r="D239">
            <v>2402</v>
          </cell>
        </row>
        <row r="240">
          <cell r="C240" t="str">
            <v>Gollion</v>
          </cell>
          <cell r="D240">
            <v>1018</v>
          </cell>
        </row>
        <row r="241">
          <cell r="C241" t="str">
            <v>Grancy</v>
          </cell>
          <cell r="D241">
            <v>445</v>
          </cell>
        </row>
        <row r="242">
          <cell r="C242" t="str">
            <v>Hautemorges</v>
          </cell>
          <cell r="D242">
            <v>4173</v>
          </cell>
        </row>
        <row r="243">
          <cell r="C243" t="str">
            <v>L'Isle</v>
          </cell>
          <cell r="D243">
            <v>1079</v>
          </cell>
        </row>
        <row r="244">
          <cell r="C244" t="str">
            <v>Lavigny</v>
          </cell>
          <cell r="D244">
            <v>1026</v>
          </cell>
        </row>
        <row r="245">
          <cell r="C245" t="str">
            <v>Lonay</v>
          </cell>
          <cell r="D245">
            <v>2751</v>
          </cell>
        </row>
        <row r="246">
          <cell r="C246" t="str">
            <v>Lully</v>
          </cell>
          <cell r="D246">
            <v>828</v>
          </cell>
        </row>
        <row r="247">
          <cell r="C247" t="str">
            <v>Lussy-sur-Morges</v>
          </cell>
          <cell r="D247">
            <v>740</v>
          </cell>
        </row>
        <row r="248">
          <cell r="C248" t="str">
            <v>Mauraz</v>
          </cell>
          <cell r="D248">
            <v>60</v>
          </cell>
        </row>
        <row r="249">
          <cell r="C249" t="str">
            <v>Moiry</v>
          </cell>
          <cell r="D249">
            <v>301</v>
          </cell>
        </row>
        <row r="250">
          <cell r="C250" t="str">
            <v>Mollens</v>
          </cell>
          <cell r="D250">
            <v>319</v>
          </cell>
        </row>
        <row r="251">
          <cell r="C251" t="str">
            <v>Mont-la-Ville</v>
          </cell>
          <cell r="D251">
            <v>508</v>
          </cell>
        </row>
        <row r="252">
          <cell r="C252" t="str">
            <v>Montricher</v>
          </cell>
          <cell r="D252">
            <v>981</v>
          </cell>
        </row>
        <row r="253">
          <cell r="C253" t="str">
            <v>Morges</v>
          </cell>
          <cell r="D253">
            <v>16885</v>
          </cell>
        </row>
        <row r="254">
          <cell r="C254" t="str">
            <v>Orny</v>
          </cell>
          <cell r="D254">
            <v>480</v>
          </cell>
        </row>
        <row r="255">
          <cell r="C255" t="str">
            <v>Pompaples</v>
          </cell>
          <cell r="D255">
            <v>849</v>
          </cell>
        </row>
        <row r="256">
          <cell r="C256" t="str">
            <v>Préverenges</v>
          </cell>
          <cell r="D256">
            <v>5208</v>
          </cell>
        </row>
        <row r="257">
          <cell r="C257" t="str">
            <v>Romanel-sur-Morges</v>
          </cell>
          <cell r="D257">
            <v>466</v>
          </cell>
        </row>
        <row r="258">
          <cell r="C258" t="str">
            <v>Saint-Livres</v>
          </cell>
          <cell r="D258">
            <v>674</v>
          </cell>
        </row>
        <row r="259">
          <cell r="C259" t="str">
            <v>Saint-Oyens</v>
          </cell>
          <cell r="D259">
            <v>458</v>
          </cell>
        </row>
        <row r="260">
          <cell r="C260" t="str">
            <v>Saint-Prex</v>
          </cell>
          <cell r="D260">
            <v>5866</v>
          </cell>
        </row>
        <row r="261">
          <cell r="C261" t="str">
            <v>La Sarraz</v>
          </cell>
          <cell r="D261">
            <v>2620</v>
          </cell>
        </row>
        <row r="262">
          <cell r="C262" t="str">
            <v>Saubraz</v>
          </cell>
          <cell r="D262">
            <v>444</v>
          </cell>
        </row>
        <row r="263">
          <cell r="C263" t="str">
            <v>Senarclens</v>
          </cell>
          <cell r="D263">
            <v>491</v>
          </cell>
        </row>
        <row r="264">
          <cell r="C264" t="str">
            <v>Tolochenaz</v>
          </cell>
          <cell r="D264">
            <v>1886</v>
          </cell>
        </row>
        <row r="265">
          <cell r="C265" t="str">
            <v>Vaux-sur-Morges</v>
          </cell>
          <cell r="D265">
            <v>196</v>
          </cell>
        </row>
        <row r="266">
          <cell r="C266" t="str">
            <v>Villars-sous-Yens</v>
          </cell>
          <cell r="D266">
            <v>626</v>
          </cell>
        </row>
        <row r="267">
          <cell r="C267" t="str">
            <v>Vufflens-le-Château</v>
          </cell>
          <cell r="D267">
            <v>894</v>
          </cell>
        </row>
        <row r="268">
          <cell r="C268" t="str">
            <v>Vullierens</v>
          </cell>
          <cell r="D268">
            <v>560</v>
          </cell>
        </row>
        <row r="269">
          <cell r="C269" t="str">
            <v>Yens</v>
          </cell>
          <cell r="D269">
            <v>1499</v>
          </cell>
        </row>
        <row r="270">
          <cell r="C270"/>
          <cell r="D270">
            <v>104181</v>
          </cell>
        </row>
        <row r="271">
          <cell r="C271" t="str">
            <v>Arnex-sur-Nyon</v>
          </cell>
          <cell r="D271">
            <v>226</v>
          </cell>
        </row>
        <row r="272">
          <cell r="C272" t="str">
            <v>Arzier-Le Muids</v>
          </cell>
          <cell r="D272">
            <v>2947</v>
          </cell>
        </row>
        <row r="273">
          <cell r="C273" t="str">
            <v>Bassins</v>
          </cell>
          <cell r="D273">
            <v>1487</v>
          </cell>
        </row>
        <row r="274">
          <cell r="C274" t="str">
            <v>Begnins</v>
          </cell>
          <cell r="D274">
            <v>1941</v>
          </cell>
        </row>
        <row r="275">
          <cell r="C275" t="str">
            <v>Bogis-Bossey</v>
          </cell>
          <cell r="D275">
            <v>888</v>
          </cell>
        </row>
        <row r="276">
          <cell r="C276" t="str">
            <v>Borex</v>
          </cell>
          <cell r="D276">
            <v>1165</v>
          </cell>
        </row>
        <row r="277">
          <cell r="C277" t="str">
            <v>Bursinel</v>
          </cell>
          <cell r="D277">
            <v>515</v>
          </cell>
        </row>
        <row r="278">
          <cell r="C278" t="str">
            <v>Bursins</v>
          </cell>
          <cell r="D278">
            <v>773</v>
          </cell>
        </row>
        <row r="279">
          <cell r="C279" t="str">
            <v>Burtigny</v>
          </cell>
          <cell r="D279">
            <v>416</v>
          </cell>
        </row>
        <row r="280">
          <cell r="C280" t="str">
            <v>Chavannes-de-Bogis</v>
          </cell>
          <cell r="D280">
            <v>1330</v>
          </cell>
        </row>
        <row r="281">
          <cell r="C281" t="str">
            <v>Chavannes-des-Bois</v>
          </cell>
          <cell r="D281">
            <v>1005</v>
          </cell>
        </row>
        <row r="282">
          <cell r="C282" t="str">
            <v>Chéserex</v>
          </cell>
          <cell r="D282">
            <v>1263</v>
          </cell>
        </row>
        <row r="283">
          <cell r="C283" t="str">
            <v>Coinsins</v>
          </cell>
          <cell r="D283">
            <v>508</v>
          </cell>
        </row>
        <row r="284">
          <cell r="C284" t="str">
            <v>Commugny</v>
          </cell>
          <cell r="D284">
            <v>3001</v>
          </cell>
        </row>
        <row r="285">
          <cell r="C285" t="str">
            <v>Coppet</v>
          </cell>
          <cell r="D285">
            <v>3211</v>
          </cell>
        </row>
        <row r="286">
          <cell r="C286" t="str">
            <v>Crans</v>
          </cell>
          <cell r="D286">
            <v>2373</v>
          </cell>
        </row>
        <row r="287">
          <cell r="C287" t="str">
            <v>Crassier</v>
          </cell>
          <cell r="D287">
            <v>1228</v>
          </cell>
        </row>
        <row r="288">
          <cell r="C288" t="str">
            <v>Duillier</v>
          </cell>
          <cell r="D288">
            <v>1146</v>
          </cell>
        </row>
        <row r="289">
          <cell r="C289" t="str">
            <v>Dully</v>
          </cell>
          <cell r="D289">
            <v>634</v>
          </cell>
        </row>
        <row r="290">
          <cell r="C290" t="str">
            <v>Essertines-sur-Rolle</v>
          </cell>
          <cell r="D290">
            <v>753</v>
          </cell>
        </row>
        <row r="291">
          <cell r="C291" t="str">
            <v>Eysins</v>
          </cell>
          <cell r="D291">
            <v>1736</v>
          </cell>
        </row>
        <row r="292">
          <cell r="C292" t="str">
            <v>Founex</v>
          </cell>
          <cell r="D292">
            <v>3822</v>
          </cell>
        </row>
        <row r="293">
          <cell r="C293" t="str">
            <v>Genolier</v>
          </cell>
          <cell r="D293">
            <v>2022</v>
          </cell>
        </row>
        <row r="294">
          <cell r="C294" t="str">
            <v>Gilly</v>
          </cell>
          <cell r="D294">
            <v>1438</v>
          </cell>
        </row>
        <row r="295">
          <cell r="C295" t="str">
            <v>Gingins</v>
          </cell>
          <cell r="D295">
            <v>1265</v>
          </cell>
        </row>
        <row r="296">
          <cell r="C296" t="str">
            <v>Givrins</v>
          </cell>
          <cell r="D296">
            <v>1010</v>
          </cell>
        </row>
        <row r="297">
          <cell r="C297" t="str">
            <v>Gland</v>
          </cell>
          <cell r="D297">
            <v>13306</v>
          </cell>
        </row>
        <row r="298">
          <cell r="C298" t="str">
            <v>Grens</v>
          </cell>
          <cell r="D298">
            <v>401</v>
          </cell>
        </row>
        <row r="299">
          <cell r="C299" t="str">
            <v>Longirod</v>
          </cell>
          <cell r="D299">
            <v>520</v>
          </cell>
        </row>
        <row r="300">
          <cell r="C300" t="str">
            <v>Luins</v>
          </cell>
          <cell r="D300">
            <v>630</v>
          </cell>
        </row>
        <row r="301">
          <cell r="C301" t="str">
            <v>Marchissy</v>
          </cell>
          <cell r="D301">
            <v>485</v>
          </cell>
        </row>
        <row r="302">
          <cell r="C302" t="str">
            <v>Mies</v>
          </cell>
          <cell r="D302">
            <v>2195</v>
          </cell>
        </row>
        <row r="303">
          <cell r="C303" t="str">
            <v>Mont-sur-Rolle</v>
          </cell>
          <cell r="D303">
            <v>2739</v>
          </cell>
        </row>
        <row r="304">
          <cell r="C304" t="str">
            <v>Nyon</v>
          </cell>
          <cell r="D304">
            <v>22124</v>
          </cell>
        </row>
        <row r="305">
          <cell r="C305" t="str">
            <v>Perroy</v>
          </cell>
          <cell r="D305">
            <v>1514</v>
          </cell>
        </row>
        <row r="306">
          <cell r="C306" t="str">
            <v>Prangins</v>
          </cell>
          <cell r="D306">
            <v>4060</v>
          </cell>
        </row>
        <row r="307">
          <cell r="C307" t="str">
            <v>La Rippe</v>
          </cell>
          <cell r="D307">
            <v>1165</v>
          </cell>
        </row>
        <row r="308">
          <cell r="C308" t="str">
            <v>Rolle</v>
          </cell>
          <cell r="D308">
            <v>6291</v>
          </cell>
        </row>
        <row r="309">
          <cell r="C309" t="str">
            <v>Saint-Cergue</v>
          </cell>
          <cell r="D309">
            <v>2755</v>
          </cell>
        </row>
        <row r="310">
          <cell r="C310" t="str">
            <v>Saint-George</v>
          </cell>
          <cell r="D310">
            <v>1072</v>
          </cell>
        </row>
        <row r="311">
          <cell r="C311" t="str">
            <v>Signy-Avenex</v>
          </cell>
          <cell r="D311">
            <v>584</v>
          </cell>
        </row>
        <row r="312">
          <cell r="C312" t="str">
            <v>Tannay</v>
          </cell>
          <cell r="D312">
            <v>1644</v>
          </cell>
        </row>
        <row r="313">
          <cell r="C313" t="str">
            <v>Tartegnin</v>
          </cell>
          <cell r="D313">
            <v>241</v>
          </cell>
        </row>
        <row r="314">
          <cell r="C314" t="str">
            <v>Trélex</v>
          </cell>
          <cell r="D314">
            <v>1439</v>
          </cell>
        </row>
        <row r="315">
          <cell r="C315" t="str">
            <v>Le Vaud</v>
          </cell>
          <cell r="D315">
            <v>1387</v>
          </cell>
        </row>
        <row r="316">
          <cell r="C316" t="str">
            <v>Vich</v>
          </cell>
          <cell r="D316">
            <v>1157</v>
          </cell>
        </row>
        <row r="317">
          <cell r="C317" t="str">
            <v>Vinzel</v>
          </cell>
          <cell r="D317">
            <v>369</v>
          </cell>
        </row>
        <row r="318">
          <cell r="C318"/>
          <cell r="D318">
            <v>80356</v>
          </cell>
        </row>
        <row r="319">
          <cell r="C319" t="str">
            <v>Bussigny</v>
          </cell>
          <cell r="D319">
            <v>10253</v>
          </cell>
        </row>
        <row r="320">
          <cell r="C320" t="str">
            <v>Chavannes-près-Renens</v>
          </cell>
          <cell r="D320">
            <v>8767</v>
          </cell>
        </row>
        <row r="321">
          <cell r="C321" t="str">
            <v>Crissier</v>
          </cell>
          <cell r="D321">
            <v>8974</v>
          </cell>
        </row>
        <row r="322">
          <cell r="C322" t="str">
            <v>Ecublens</v>
          </cell>
          <cell r="D322">
            <v>13214</v>
          </cell>
        </row>
        <row r="323">
          <cell r="C323" t="str">
            <v>Prilly</v>
          </cell>
          <cell r="D323">
            <v>12341</v>
          </cell>
        </row>
        <row r="324">
          <cell r="C324" t="str">
            <v>Renens</v>
          </cell>
          <cell r="D324">
            <v>20917</v>
          </cell>
        </row>
        <row r="325">
          <cell r="C325" t="str">
            <v>Saint-Sulpice</v>
          </cell>
          <cell r="D325">
            <v>4932</v>
          </cell>
        </row>
        <row r="326">
          <cell r="C326" t="str">
            <v>Villars-Sainte-Croix</v>
          </cell>
          <cell r="D326">
            <v>958</v>
          </cell>
        </row>
        <row r="327">
          <cell r="C327"/>
          <cell r="D327">
            <v>86380</v>
          </cell>
        </row>
        <row r="328">
          <cell r="C328" t="str">
            <v>Blonay</v>
          </cell>
          <cell r="D328">
            <v>6291</v>
          </cell>
        </row>
        <row r="329">
          <cell r="C329" t="str">
            <v>Chardonne</v>
          </cell>
          <cell r="D329">
            <v>3078</v>
          </cell>
        </row>
        <row r="330">
          <cell r="C330" t="str">
            <v>Château-d'Oex</v>
          </cell>
          <cell r="D330">
            <v>3549</v>
          </cell>
        </row>
        <row r="331">
          <cell r="C331" t="str">
            <v>Corseaux</v>
          </cell>
          <cell r="D331">
            <v>2330</v>
          </cell>
        </row>
        <row r="332">
          <cell r="C332" t="str">
            <v>Corsier-sur-Vevey</v>
          </cell>
          <cell r="D332">
            <v>3390</v>
          </cell>
        </row>
        <row r="333">
          <cell r="C333" t="str">
            <v>Jongny</v>
          </cell>
          <cell r="D333">
            <v>1805</v>
          </cell>
        </row>
        <row r="334">
          <cell r="C334" t="str">
            <v>Montreux</v>
          </cell>
          <cell r="D334">
            <v>26012</v>
          </cell>
        </row>
        <row r="335">
          <cell r="C335" t="str">
            <v>Rossinière</v>
          </cell>
          <cell r="D335">
            <v>534</v>
          </cell>
        </row>
        <row r="336">
          <cell r="C336" t="str">
            <v>Rougemont</v>
          </cell>
          <cell r="D336">
            <v>862</v>
          </cell>
        </row>
        <row r="337">
          <cell r="C337" t="str">
            <v>St-Légier-La Chiésaz</v>
          </cell>
          <cell r="D337">
            <v>5634</v>
          </cell>
        </row>
        <row r="338">
          <cell r="C338" t="str">
            <v>La Tour-de-Peilz</v>
          </cell>
          <cell r="D338">
            <v>12222</v>
          </cell>
        </row>
        <row r="339">
          <cell r="C339" t="str">
            <v>Vevey</v>
          </cell>
          <cell r="D339">
            <v>19721</v>
          </cell>
        </row>
        <row r="340">
          <cell r="C340" t="str">
            <v>Veytaux</v>
          </cell>
          <cell r="D340">
            <v>952</v>
          </cell>
        </row>
        <row r="341">
          <cell r="C341"/>
        </row>
        <row r="342">
          <cell r="C342"/>
        </row>
      </sheetData>
    </sheetDataSet>
  </externalBook>
</externalLink>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euil1">
    <tabColor rgb="FF00B0F0"/>
  </sheetPr>
  <dimension ref="A1:L538"/>
  <sheetViews>
    <sheetView zoomScaleNormal="100" workbookViewId="0">
      <selection activeCell="B38" sqref="B38"/>
    </sheetView>
  </sheetViews>
  <sheetFormatPr baseColWidth="10" defaultColWidth="10.75" defaultRowHeight="15" x14ac:dyDescent="0.25"/>
  <cols>
    <col min="1" max="1" width="48" style="157" bestFit="1" customWidth="1"/>
    <col min="2" max="2" width="13.75" style="157" customWidth="1"/>
    <col min="3" max="3" width="16.625" style="157" customWidth="1"/>
    <col min="4" max="4" width="12.25" style="157" customWidth="1"/>
    <col min="5" max="5" width="11" style="157" bestFit="1" customWidth="1"/>
    <col min="6" max="6" width="12.125" style="157" bestFit="1" customWidth="1"/>
    <col min="7" max="7" width="12.5" style="157" bestFit="1" customWidth="1"/>
    <col min="8" max="8" width="12" style="157" bestFit="1" customWidth="1"/>
    <col min="9" max="10" width="12.125" style="157" bestFit="1" customWidth="1"/>
    <col min="11" max="11" width="14.375" style="157" bestFit="1" customWidth="1"/>
    <col min="12" max="16384" width="10.75" style="157"/>
  </cols>
  <sheetData>
    <row r="1" spans="1:11" ht="31.5" x14ac:dyDescent="0.5">
      <c r="A1" s="196" t="s">
        <v>366</v>
      </c>
    </row>
    <row r="4" spans="1:11" ht="21" x14ac:dyDescent="0.35">
      <c r="A4" s="176" t="s">
        <v>443</v>
      </c>
    </row>
    <row r="5" spans="1:11" x14ac:dyDescent="0.25">
      <c r="A5" s="157" t="s">
        <v>435</v>
      </c>
      <c r="B5" s="340" t="s">
        <v>586</v>
      </c>
    </row>
    <row r="6" spans="1:11" x14ac:dyDescent="0.25">
      <c r="A6" s="157" t="s">
        <v>481</v>
      </c>
      <c r="B6" s="340" t="s">
        <v>546</v>
      </c>
    </row>
    <row r="7" spans="1:11" x14ac:dyDescent="0.25">
      <c r="A7" s="157" t="s">
        <v>477</v>
      </c>
      <c r="B7" s="177">
        <v>43099</v>
      </c>
    </row>
    <row r="8" spans="1:11" x14ac:dyDescent="0.25">
      <c r="A8" s="157" t="s">
        <v>478</v>
      </c>
      <c r="B8" s="237">
        <v>2021</v>
      </c>
    </row>
    <row r="10" spans="1:11" ht="21" x14ac:dyDescent="0.35">
      <c r="A10" s="176" t="s">
        <v>444</v>
      </c>
      <c r="C10" s="159"/>
      <c r="D10" s="159"/>
    </row>
    <row r="11" spans="1:11" x14ac:dyDescent="0.25">
      <c r="A11" s="157" t="s">
        <v>429</v>
      </c>
      <c r="B11" s="178">
        <v>0.5</v>
      </c>
      <c r="C11" s="167"/>
      <c r="D11" s="167"/>
    </row>
    <row r="12" spans="1:11" x14ac:dyDescent="0.25">
      <c r="A12" s="157" t="s">
        <v>486</v>
      </c>
      <c r="B12" s="178">
        <v>0.3</v>
      </c>
      <c r="C12" s="168"/>
      <c r="D12" s="168"/>
      <c r="F12" s="164"/>
    </row>
    <row r="14" spans="1:11" ht="21" x14ac:dyDescent="0.35">
      <c r="A14" s="176" t="s">
        <v>445</v>
      </c>
      <c r="H14" s="407"/>
      <c r="I14" s="407"/>
      <c r="J14" s="407"/>
      <c r="K14" s="407"/>
    </row>
    <row r="15" spans="1:11" x14ac:dyDescent="0.25">
      <c r="B15" s="169" t="s">
        <v>285</v>
      </c>
      <c r="C15" s="169" t="s">
        <v>286</v>
      </c>
      <c r="D15" s="169" t="s">
        <v>397</v>
      </c>
      <c r="E15" s="169" t="s">
        <v>506</v>
      </c>
      <c r="F15" s="169" t="s">
        <v>507</v>
      </c>
      <c r="H15" s="407"/>
      <c r="I15" s="407"/>
      <c r="J15" s="407"/>
      <c r="K15" s="407"/>
    </row>
    <row r="16" spans="1:11" x14ac:dyDescent="0.25">
      <c r="A16" s="157" t="s">
        <v>485</v>
      </c>
      <c r="B16" s="179">
        <v>0.2</v>
      </c>
      <c r="C16" s="179">
        <v>0.3</v>
      </c>
      <c r="D16" s="179">
        <v>0.4</v>
      </c>
      <c r="E16" s="179">
        <v>0.5</v>
      </c>
      <c r="F16" s="179">
        <v>0.6</v>
      </c>
      <c r="G16" s="356"/>
      <c r="H16" s="407"/>
      <c r="I16" s="407"/>
      <c r="J16" s="407"/>
      <c r="K16" s="407"/>
    </row>
    <row r="17" spans="1:12" x14ac:dyDescent="0.25">
      <c r="A17" s="157" t="s">
        <v>446</v>
      </c>
      <c r="B17" s="179">
        <v>1</v>
      </c>
      <c r="C17" s="179">
        <v>1.2</v>
      </c>
      <c r="D17" s="179">
        <v>1.5</v>
      </c>
      <c r="E17" s="267">
        <v>2</v>
      </c>
      <c r="F17" s="409">
        <v>3</v>
      </c>
      <c r="G17" s="356"/>
      <c r="H17" s="407"/>
      <c r="I17" s="407"/>
      <c r="J17" s="407"/>
      <c r="K17" s="407"/>
    </row>
    <row r="18" spans="1:12" x14ac:dyDescent="0.25">
      <c r="F18" s="159"/>
      <c r="I18" s="159"/>
      <c r="J18" s="159"/>
      <c r="K18" s="159"/>
      <c r="L18" s="159"/>
    </row>
    <row r="19" spans="1:12" ht="21" x14ac:dyDescent="0.35">
      <c r="A19" s="176" t="s">
        <v>447</v>
      </c>
      <c r="B19" s="159"/>
      <c r="C19" s="159"/>
      <c r="D19" s="159"/>
      <c r="E19" s="170"/>
      <c r="F19" s="160"/>
      <c r="I19" s="159"/>
      <c r="J19" s="408"/>
      <c r="K19" s="408"/>
      <c r="L19" s="161"/>
    </row>
    <row r="20" spans="1:12" x14ac:dyDescent="0.25">
      <c r="A20" s="181" t="s">
        <v>482</v>
      </c>
      <c r="B20" s="185">
        <v>0</v>
      </c>
      <c r="C20" s="185">
        <v>1000</v>
      </c>
      <c r="D20" s="185">
        <v>3000</v>
      </c>
      <c r="E20" s="185">
        <v>5000</v>
      </c>
      <c r="F20" s="185">
        <v>9000</v>
      </c>
      <c r="G20" s="185">
        <v>12000</v>
      </c>
      <c r="H20" s="185">
        <v>15000</v>
      </c>
      <c r="I20" s="171"/>
      <c r="J20" s="408"/>
      <c r="K20" s="408"/>
      <c r="L20" s="159"/>
    </row>
    <row r="21" spans="1:12" ht="15" customHeight="1" x14ac:dyDescent="0.25">
      <c r="A21" s="181"/>
      <c r="B21" s="185">
        <v>1000</v>
      </c>
      <c r="C21" s="185">
        <v>3000</v>
      </c>
      <c r="D21" s="185">
        <v>5000</v>
      </c>
      <c r="E21" s="185">
        <v>9000</v>
      </c>
      <c r="F21" s="185">
        <v>12000</v>
      </c>
      <c r="G21" s="185">
        <v>15000</v>
      </c>
      <c r="H21" s="185"/>
      <c r="I21" s="171"/>
      <c r="J21" s="408"/>
      <c r="K21" s="408"/>
      <c r="L21" s="159"/>
    </row>
    <row r="22" spans="1:12" x14ac:dyDescent="0.25">
      <c r="A22" s="182" t="s">
        <v>448</v>
      </c>
      <c r="B22" s="244">
        <v>125</v>
      </c>
      <c r="C22" s="244">
        <v>350</v>
      </c>
      <c r="D22" s="244">
        <v>500</v>
      </c>
      <c r="E22" s="244">
        <v>600</v>
      </c>
      <c r="F22" s="244">
        <v>850</v>
      </c>
      <c r="G22" s="244">
        <v>1000</v>
      </c>
      <c r="H22" s="244">
        <v>1050</v>
      </c>
      <c r="I22" s="172"/>
      <c r="J22" s="408"/>
      <c r="K22" s="408"/>
      <c r="L22" s="159"/>
    </row>
    <row r="23" spans="1:12" x14ac:dyDescent="0.25">
      <c r="A23" s="159" t="s">
        <v>430</v>
      </c>
      <c r="B23" s="260">
        <v>99.4</v>
      </c>
      <c r="C23" s="180"/>
      <c r="D23" s="180"/>
      <c r="E23" s="180"/>
      <c r="F23" s="180"/>
      <c r="G23" s="180"/>
      <c r="H23" s="180"/>
      <c r="I23" s="159"/>
      <c r="J23" s="408"/>
      <c r="K23" s="408"/>
      <c r="L23" s="159"/>
    </row>
    <row r="24" spans="1:12" x14ac:dyDescent="0.25">
      <c r="A24" s="159" t="s">
        <v>431</v>
      </c>
      <c r="B24" s="261">
        <v>99.2</v>
      </c>
      <c r="C24" s="180"/>
      <c r="D24" s="180"/>
      <c r="E24" s="180"/>
      <c r="F24" s="180"/>
      <c r="G24" s="180"/>
      <c r="H24" s="180"/>
      <c r="I24" s="159"/>
      <c r="J24" s="159"/>
      <c r="K24" s="159"/>
      <c r="L24" s="159"/>
    </row>
    <row r="25" spans="1:12" x14ac:dyDescent="0.25">
      <c r="A25" s="159" t="s">
        <v>432</v>
      </c>
      <c r="B25" s="262">
        <f>+B22/$B$23*$B$24</f>
        <v>124.74849094567404</v>
      </c>
      <c r="C25" s="174">
        <f t="shared" ref="C25:H25" si="0">+C22/$B$23*$B$24</f>
        <v>349.2957746478873</v>
      </c>
      <c r="D25" s="174">
        <f t="shared" si="0"/>
        <v>498.99396378269614</v>
      </c>
      <c r="E25" s="174">
        <f t="shared" si="0"/>
        <v>598.79275653923537</v>
      </c>
      <c r="F25" s="174">
        <f t="shared" si="0"/>
        <v>848.2897384305835</v>
      </c>
      <c r="G25" s="174">
        <f t="shared" si="0"/>
        <v>997.98792756539228</v>
      </c>
      <c r="H25" s="174">
        <f t="shared" si="0"/>
        <v>1047.8873239436618</v>
      </c>
      <c r="I25" s="159"/>
      <c r="J25" s="159"/>
      <c r="K25" s="159"/>
      <c r="L25" s="159"/>
    </row>
    <row r="27" spans="1:12" ht="21" x14ac:dyDescent="0.35">
      <c r="A27" s="176" t="s">
        <v>449</v>
      </c>
    </row>
    <row r="28" spans="1:12" x14ac:dyDescent="0.25">
      <c r="A28" s="157" t="s">
        <v>483</v>
      </c>
      <c r="B28" s="186">
        <v>0.27</v>
      </c>
    </row>
    <row r="30" spans="1:12" ht="21" x14ac:dyDescent="0.35">
      <c r="A30" s="176" t="s">
        <v>450</v>
      </c>
    </row>
    <row r="31" spans="1:12" x14ac:dyDescent="0.25">
      <c r="A31" s="157" t="s">
        <v>368</v>
      </c>
      <c r="C31" s="162"/>
    </row>
    <row r="32" spans="1:12" x14ac:dyDescent="0.25">
      <c r="A32" s="157" t="s">
        <v>406</v>
      </c>
      <c r="B32" s="236">
        <v>7191649.1244711308</v>
      </c>
      <c r="C32" s="99">
        <f>Synthèse!L314-Synthèse!F314</f>
        <v>450000.00000202656</v>
      </c>
      <c r="D32" s="184">
        <f>+'J) Plafonnement effort'!J314+'K) Plafonnement aide'!J314+'L) Plafonnement taux'!Q315</f>
        <v>7191649.124472864</v>
      </c>
      <c r="L32" s="164"/>
    </row>
    <row r="33" spans="1:12" x14ac:dyDescent="0.25">
      <c r="A33" s="157" t="s">
        <v>484</v>
      </c>
      <c r="B33" s="236">
        <v>-450000</v>
      </c>
      <c r="C33" s="163"/>
      <c r="D33" s="164"/>
      <c r="L33" s="164"/>
    </row>
    <row r="34" spans="1:12" x14ac:dyDescent="0.25">
      <c r="G34" s="164"/>
      <c r="H34" s="165"/>
      <c r="L34" s="164"/>
    </row>
    <row r="35" spans="1:12" ht="21" x14ac:dyDescent="0.35">
      <c r="A35" s="176" t="s">
        <v>451</v>
      </c>
      <c r="G35" s="164"/>
      <c r="H35" s="165"/>
      <c r="L35" s="164"/>
    </row>
    <row r="36" spans="1:12" x14ac:dyDescent="0.25">
      <c r="A36" s="175"/>
      <c r="B36" s="188" t="s">
        <v>369</v>
      </c>
      <c r="C36" s="188" t="s">
        <v>367</v>
      </c>
      <c r="E36" s="173" t="s">
        <v>509</v>
      </c>
      <c r="F36" s="173"/>
      <c r="G36" s="190">
        <f>+'D) Ecrêtage'!C314</f>
        <v>39896757.238841556</v>
      </c>
      <c r="H36" s="192"/>
      <c r="I36" s="191" t="s">
        <v>428</v>
      </c>
      <c r="J36" s="173"/>
      <c r="K36" s="99">
        <f>+'I) Dépenses thématiques'!K314</f>
        <v>0</v>
      </c>
    </row>
    <row r="37" spans="1:12" x14ac:dyDescent="0.25">
      <c r="A37" s="157" t="s">
        <v>452</v>
      </c>
      <c r="B37" s="187">
        <v>8</v>
      </c>
      <c r="C37" s="169" t="e">
        <f>+H38</f>
        <v>#DIV/0!</v>
      </c>
      <c r="E37" s="173" t="s">
        <v>557</v>
      </c>
      <c r="F37" s="173"/>
      <c r="G37" s="314">
        <v>4.5</v>
      </c>
      <c r="H37" s="284">
        <v>0.75</v>
      </c>
      <c r="I37" s="191" t="s">
        <v>209</v>
      </c>
      <c r="J37" s="173"/>
      <c r="K37" s="99">
        <f>+'I) Dépenses thématiques'!Q314</f>
        <v>0</v>
      </c>
    </row>
    <row r="38" spans="1:12" x14ac:dyDescent="0.25">
      <c r="A38" s="157" t="s">
        <v>487</v>
      </c>
      <c r="B38" s="187">
        <v>1</v>
      </c>
      <c r="C38" s="169" t="e">
        <f>+H38</f>
        <v>#DIV/0!</v>
      </c>
      <c r="E38" s="173" t="s">
        <v>453</v>
      </c>
      <c r="F38" s="173"/>
      <c r="G38" s="189">
        <f>+G36*G37</f>
        <v>179535407.57478699</v>
      </c>
      <c r="H38" s="259" t="e">
        <f>IF((G38/K38)&gt;H37,H37,(G38/K38))</f>
        <v>#DIV/0!</v>
      </c>
      <c r="I38" s="173" t="s">
        <v>136</v>
      </c>
      <c r="J38" s="173"/>
      <c r="K38" s="99">
        <f>SUM(K36:K37)</f>
        <v>0</v>
      </c>
    </row>
    <row r="40" spans="1:12" ht="21" x14ac:dyDescent="0.35">
      <c r="A40" s="176" t="s">
        <v>454</v>
      </c>
      <c r="H40" s="285"/>
      <c r="K40" s="373"/>
    </row>
    <row r="41" spans="1:12" x14ac:dyDescent="0.25">
      <c r="A41" s="157" t="s">
        <v>500</v>
      </c>
      <c r="B41" s="449">
        <v>48</v>
      </c>
      <c r="H41" s="350"/>
    </row>
    <row r="42" spans="1:12" x14ac:dyDescent="0.25">
      <c r="A42" s="157" t="s">
        <v>488</v>
      </c>
      <c r="B42" s="395">
        <v>48</v>
      </c>
      <c r="C42" s="268" t="s">
        <v>496</v>
      </c>
      <c r="D42" s="315">
        <v>45</v>
      </c>
      <c r="E42" s="268" t="s">
        <v>499</v>
      </c>
      <c r="F42" s="315">
        <v>45</v>
      </c>
      <c r="G42" s="268" t="s">
        <v>514</v>
      </c>
      <c r="H42" s="315">
        <v>48</v>
      </c>
    </row>
    <row r="43" spans="1:12" x14ac:dyDescent="0.25">
      <c r="A43" s="157" t="s">
        <v>489</v>
      </c>
      <c r="B43" s="396">
        <v>-8</v>
      </c>
      <c r="C43" s="268" t="s">
        <v>496</v>
      </c>
      <c r="D43" s="315">
        <v>-6.5</v>
      </c>
      <c r="E43" s="268" t="s">
        <v>497</v>
      </c>
      <c r="F43" s="315">
        <v>8</v>
      </c>
      <c r="G43" s="268" t="s">
        <v>515</v>
      </c>
      <c r="H43" s="315">
        <v>8</v>
      </c>
    </row>
    <row r="44" spans="1:12" x14ac:dyDescent="0.25">
      <c r="A44" s="157" t="s">
        <v>501</v>
      </c>
      <c r="B44" s="450">
        <v>93.408000000000001</v>
      </c>
      <c r="C44" s="378"/>
      <c r="E44" s="312"/>
    </row>
    <row r="45" spans="1:12" x14ac:dyDescent="0.25">
      <c r="A45" s="157" t="s">
        <v>505</v>
      </c>
      <c r="B45" s="499">
        <v>93.882000000000005</v>
      </c>
    </row>
    <row r="46" spans="1:12" x14ac:dyDescent="0.25">
      <c r="A46" s="157" t="s">
        <v>493</v>
      </c>
      <c r="B46" s="266">
        <v>48</v>
      </c>
      <c r="I46" s="163"/>
    </row>
    <row r="47" spans="1:12" x14ac:dyDescent="0.25">
      <c r="A47" s="157" t="s">
        <v>494</v>
      </c>
      <c r="B47" s="266">
        <v>85</v>
      </c>
    </row>
    <row r="49" spans="1:9" x14ac:dyDescent="0.25">
      <c r="A49" s="166"/>
      <c r="B49" s="158"/>
    </row>
    <row r="50" spans="1:9" ht="21" x14ac:dyDescent="0.35">
      <c r="A50" s="197" t="s">
        <v>542</v>
      </c>
      <c r="B50" s="159"/>
      <c r="E50" s="377"/>
    </row>
    <row r="51" spans="1:9" x14ac:dyDescent="0.25">
      <c r="A51" s="159" t="s">
        <v>549</v>
      </c>
      <c r="B51" s="183">
        <v>844273246</v>
      </c>
      <c r="D51" s="542" t="s">
        <v>556</v>
      </c>
      <c r="E51" s="543"/>
      <c r="F51" s="543"/>
      <c r="G51" s="543"/>
      <c r="H51" s="544"/>
      <c r="I51" s="183">
        <v>845342044</v>
      </c>
    </row>
    <row r="52" spans="1:9" x14ac:dyDescent="0.25">
      <c r="A52" s="408" t="s">
        <v>550</v>
      </c>
      <c r="B52" s="184">
        <f>I51+I52+I53</f>
        <v>795342044</v>
      </c>
      <c r="D52" s="539" t="s">
        <v>551</v>
      </c>
      <c r="E52" s="540"/>
      <c r="F52" s="540"/>
      <c r="G52" s="540"/>
      <c r="H52" s="541"/>
      <c r="I52" s="183">
        <v>-25000000</v>
      </c>
    </row>
    <row r="53" spans="1:9" x14ac:dyDescent="0.25">
      <c r="A53" s="159" t="s">
        <v>519</v>
      </c>
      <c r="B53" s="183">
        <v>39256044.323379673</v>
      </c>
      <c r="D53" s="542" t="s">
        <v>552</v>
      </c>
      <c r="E53" s="543"/>
      <c r="F53" s="543"/>
      <c r="G53" s="543"/>
      <c r="H53" s="544"/>
      <c r="I53" s="183">
        <v>-25000000</v>
      </c>
    </row>
    <row r="54" spans="1:9" x14ac:dyDescent="0.25">
      <c r="A54" s="159" t="s">
        <v>547</v>
      </c>
      <c r="B54" s="183">
        <f>+'D) Ecrêtage'!C314</f>
        <v>39896757.238841556</v>
      </c>
      <c r="C54" s="407"/>
      <c r="D54" s="407"/>
      <c r="E54" s="159"/>
    </row>
    <row r="55" spans="1:9" x14ac:dyDescent="0.25">
      <c r="A55" s="159" t="s">
        <v>548</v>
      </c>
      <c r="B55" s="194">
        <f>(B52-B51)*100/B51</f>
        <v>-5.79565943038304</v>
      </c>
      <c r="C55" s="159"/>
      <c r="D55" s="159"/>
      <c r="E55" s="159"/>
    </row>
    <row r="56" spans="1:9" x14ac:dyDescent="0.25">
      <c r="A56" s="159" t="s">
        <v>422</v>
      </c>
      <c r="B56" s="194">
        <f>(B54-B53)*100/B53</f>
        <v>1.6321382515871432</v>
      </c>
      <c r="C56" s="171"/>
      <c r="D56" s="159"/>
      <c r="E56" s="159"/>
    </row>
    <row r="57" spans="1:9" x14ac:dyDescent="0.25">
      <c r="A57" s="159" t="s">
        <v>423</v>
      </c>
      <c r="B57" s="195">
        <f>(B52-B51)/B54</f>
        <v>-1.226445590729939</v>
      </c>
      <c r="C57" s="193"/>
      <c r="D57" s="159"/>
      <c r="E57" s="159"/>
    </row>
    <row r="58" spans="1:9" x14ac:dyDescent="0.25">
      <c r="A58" s="159"/>
      <c r="B58" s="159"/>
      <c r="C58" s="159"/>
      <c r="D58" s="159"/>
      <c r="E58" s="159"/>
    </row>
    <row r="59" spans="1:9" ht="21" x14ac:dyDescent="0.35">
      <c r="A59" s="197" t="s">
        <v>472</v>
      </c>
      <c r="B59" s="159"/>
      <c r="C59" s="159"/>
      <c r="D59" s="159"/>
      <c r="E59" s="159"/>
    </row>
    <row r="60" spans="1:9" x14ac:dyDescent="0.25">
      <c r="A60" s="159" t="s">
        <v>473</v>
      </c>
      <c r="B60" s="228">
        <v>2</v>
      </c>
      <c r="C60" s="159">
        <v>2013</v>
      </c>
      <c r="D60" s="243">
        <v>62118300</v>
      </c>
      <c r="E60" s="157">
        <v>2016</v>
      </c>
      <c r="F60" s="243">
        <f>D62*101.5%</f>
        <v>64955763.00176248</v>
      </c>
      <c r="G60" s="372" t="s">
        <v>508</v>
      </c>
      <c r="H60" s="201">
        <f>+F62*101.5/100</f>
        <v>67922836.702568099</v>
      </c>
    </row>
    <row r="61" spans="1:9" x14ac:dyDescent="0.25">
      <c r="A61" s="159" t="s">
        <v>476</v>
      </c>
      <c r="B61" s="236">
        <f>H62</f>
        <v>69975804.441903219</v>
      </c>
      <c r="C61" s="159">
        <v>2014</v>
      </c>
      <c r="D61" s="243">
        <f>D60*101.5%</f>
        <v>63050074.499999993</v>
      </c>
      <c r="E61" s="159">
        <v>2017</v>
      </c>
      <c r="F61" s="201">
        <f>+F60*1.015</f>
        <v>65930099.446788907</v>
      </c>
      <c r="G61" s="372" t="s">
        <v>518</v>
      </c>
      <c r="H61" s="201">
        <f>+H60*101.5/100</f>
        <v>68941679.253106624</v>
      </c>
    </row>
    <row r="62" spans="1:9" x14ac:dyDescent="0.25">
      <c r="A62" s="159"/>
      <c r="B62" s="159"/>
      <c r="C62" s="159">
        <v>2015</v>
      </c>
      <c r="D62" s="243">
        <f>D61*101.5%</f>
        <v>63995825.617499985</v>
      </c>
      <c r="E62" s="159">
        <v>2018</v>
      </c>
      <c r="F62" s="201">
        <f>+F61*101.5/100</f>
        <v>66919050.938490741</v>
      </c>
      <c r="G62" s="157">
        <v>2021</v>
      </c>
      <c r="H62" s="201">
        <f>+H61*101.5/100</f>
        <v>69975804.441903219</v>
      </c>
    </row>
    <row r="63" spans="1:9" ht="21" x14ac:dyDescent="0.35">
      <c r="A63" s="197" t="s">
        <v>458</v>
      </c>
    </row>
    <row r="64" spans="1:9" x14ac:dyDescent="0.25">
      <c r="A64" s="157" t="s">
        <v>393</v>
      </c>
      <c r="B64" s="157">
        <v>5621</v>
      </c>
    </row>
    <row r="65" spans="1:2" x14ac:dyDescent="0.25">
      <c r="A65" s="157" t="s">
        <v>320</v>
      </c>
      <c r="B65" s="157">
        <v>5742</v>
      </c>
    </row>
    <row r="66" spans="1:2" x14ac:dyDescent="0.25">
      <c r="A66" s="157" t="s">
        <v>254</v>
      </c>
      <c r="B66" s="157">
        <v>5401</v>
      </c>
    </row>
    <row r="67" spans="1:2" x14ac:dyDescent="0.25">
      <c r="A67" s="157" t="s">
        <v>16</v>
      </c>
      <c r="B67" s="157">
        <v>5851</v>
      </c>
    </row>
    <row r="68" spans="1:2" x14ac:dyDescent="0.25">
      <c r="A68" s="157" t="s">
        <v>72</v>
      </c>
      <c r="B68" s="157">
        <v>5421</v>
      </c>
    </row>
    <row r="69" spans="1:2" x14ac:dyDescent="0.25">
      <c r="A69" s="157" t="s">
        <v>108</v>
      </c>
      <c r="B69" s="157">
        <v>5701</v>
      </c>
    </row>
    <row r="70" spans="1:2" x14ac:dyDescent="0.25">
      <c r="A70" s="157" t="s">
        <v>258</v>
      </c>
      <c r="B70" s="157">
        <v>5743</v>
      </c>
    </row>
    <row r="71" spans="1:2" x14ac:dyDescent="0.25">
      <c r="A71" s="157" t="s">
        <v>426</v>
      </c>
      <c r="B71" s="157">
        <v>5702</v>
      </c>
    </row>
    <row r="72" spans="1:2" x14ac:dyDescent="0.25">
      <c r="A72" s="157" t="s">
        <v>172</v>
      </c>
      <c r="B72" s="157">
        <v>5511</v>
      </c>
    </row>
    <row r="73" spans="1:2" x14ac:dyDescent="0.25">
      <c r="A73" s="157" t="s">
        <v>73</v>
      </c>
      <c r="B73" s="157">
        <v>5422</v>
      </c>
    </row>
    <row r="74" spans="1:2" x14ac:dyDescent="0.25">
      <c r="A74" s="157" t="s">
        <v>339</v>
      </c>
      <c r="B74" s="157">
        <v>5451</v>
      </c>
    </row>
    <row r="75" spans="1:2" x14ac:dyDescent="0.25">
      <c r="A75" s="157" t="s">
        <v>259</v>
      </c>
      <c r="B75" s="157">
        <v>5744</v>
      </c>
    </row>
    <row r="76" spans="1:2" x14ac:dyDescent="0.25">
      <c r="A76" s="157" t="s">
        <v>74</v>
      </c>
      <c r="B76" s="157">
        <v>5423</v>
      </c>
    </row>
    <row r="77" spans="1:2" x14ac:dyDescent="0.25">
      <c r="A77" s="157" t="s">
        <v>109</v>
      </c>
      <c r="B77" s="157">
        <v>5703</v>
      </c>
    </row>
    <row r="78" spans="1:2" x14ac:dyDescent="0.25">
      <c r="A78" s="157" t="s">
        <v>260</v>
      </c>
      <c r="B78" s="157">
        <v>5745</v>
      </c>
    </row>
    <row r="79" spans="1:2" x14ac:dyDescent="0.25">
      <c r="A79" s="157" t="s">
        <v>261</v>
      </c>
      <c r="B79" s="157">
        <v>5746</v>
      </c>
    </row>
    <row r="80" spans="1:2" x14ac:dyDescent="0.25">
      <c r="A80" s="157" t="s">
        <v>214</v>
      </c>
      <c r="B80" s="157">
        <v>5704</v>
      </c>
    </row>
    <row r="81" spans="1:2" x14ac:dyDescent="0.25">
      <c r="A81" s="157" t="s">
        <v>377</v>
      </c>
      <c r="B81" s="157">
        <v>5581</v>
      </c>
    </row>
    <row r="82" spans="1:2" x14ac:dyDescent="0.25">
      <c r="A82" s="157" t="s">
        <v>55</v>
      </c>
      <c r="B82" s="157">
        <v>5902</v>
      </c>
    </row>
    <row r="83" spans="1:2" x14ac:dyDescent="0.25">
      <c r="A83" s="157" t="s">
        <v>173</v>
      </c>
      <c r="B83" s="157">
        <v>5512</v>
      </c>
    </row>
    <row r="84" spans="1:2" x14ac:dyDescent="0.25">
      <c r="A84" s="157" t="s">
        <v>75</v>
      </c>
      <c r="B84" s="157">
        <v>5424</v>
      </c>
    </row>
    <row r="85" spans="1:2" x14ac:dyDescent="0.25">
      <c r="A85" s="157" t="s">
        <v>342</v>
      </c>
      <c r="B85" s="157">
        <v>5471</v>
      </c>
    </row>
    <row r="86" spans="1:2" x14ac:dyDescent="0.25">
      <c r="A86" s="157" t="s">
        <v>255</v>
      </c>
      <c r="B86" s="157">
        <v>5402</v>
      </c>
    </row>
    <row r="87" spans="1:2" x14ac:dyDescent="0.25">
      <c r="A87" s="157" t="s">
        <v>76</v>
      </c>
      <c r="B87" s="157">
        <v>5425</v>
      </c>
    </row>
    <row r="88" spans="1:2" x14ac:dyDescent="0.25">
      <c r="A88" s="157" t="s">
        <v>56</v>
      </c>
      <c r="B88" s="157">
        <v>5903</v>
      </c>
    </row>
    <row r="89" spans="1:2" x14ac:dyDescent="0.25">
      <c r="A89" s="157" t="s">
        <v>174</v>
      </c>
      <c r="B89" s="157">
        <v>5513</v>
      </c>
    </row>
    <row r="90" spans="1:2" x14ac:dyDescent="0.25">
      <c r="A90" s="157" t="s">
        <v>202</v>
      </c>
      <c r="B90" s="157">
        <v>5881</v>
      </c>
    </row>
    <row r="91" spans="1:2" x14ac:dyDescent="0.25">
      <c r="A91" s="157" t="s">
        <v>262</v>
      </c>
      <c r="B91" s="157">
        <v>5747</v>
      </c>
    </row>
    <row r="92" spans="1:2" x14ac:dyDescent="0.25">
      <c r="A92" s="157" t="s">
        <v>215</v>
      </c>
      <c r="B92" s="157">
        <v>5705</v>
      </c>
    </row>
    <row r="93" spans="1:2" x14ac:dyDescent="0.25">
      <c r="A93" s="157" t="s">
        <v>33</v>
      </c>
      <c r="B93" s="157">
        <v>5551</v>
      </c>
    </row>
    <row r="94" spans="1:2" x14ac:dyDescent="0.25">
      <c r="A94" s="157" t="s">
        <v>216</v>
      </c>
      <c r="B94" s="157">
        <v>5706</v>
      </c>
    </row>
    <row r="95" spans="1:2" x14ac:dyDescent="0.25">
      <c r="A95" s="157" t="s">
        <v>175</v>
      </c>
      <c r="B95" s="157">
        <v>5514</v>
      </c>
    </row>
    <row r="96" spans="1:2" x14ac:dyDescent="0.25">
      <c r="A96" s="157" t="s">
        <v>70</v>
      </c>
      <c r="B96" s="157">
        <v>5426</v>
      </c>
    </row>
    <row r="97" spans="1:2" x14ac:dyDescent="0.25">
      <c r="A97" s="157" t="s">
        <v>198</v>
      </c>
      <c r="B97" s="157">
        <v>5661</v>
      </c>
    </row>
    <row r="98" spans="1:2" x14ac:dyDescent="0.25">
      <c r="A98" s="157" t="s">
        <v>413</v>
      </c>
      <c r="B98" s="157">
        <v>5613</v>
      </c>
    </row>
    <row r="99" spans="1:2" x14ac:dyDescent="0.25">
      <c r="A99" s="157" t="s">
        <v>343</v>
      </c>
      <c r="B99" s="157">
        <v>5472</v>
      </c>
    </row>
    <row r="100" spans="1:2" x14ac:dyDescent="0.25">
      <c r="A100" s="157" t="s">
        <v>205</v>
      </c>
      <c r="B100" s="157">
        <v>5473</v>
      </c>
    </row>
    <row r="101" spans="1:2" x14ac:dyDescent="0.25">
      <c r="A101" s="157" t="s">
        <v>143</v>
      </c>
      <c r="B101" s="157">
        <v>5622</v>
      </c>
    </row>
    <row r="102" spans="1:2" x14ac:dyDescent="0.25">
      <c r="A102" s="157" t="s">
        <v>176</v>
      </c>
      <c r="B102" s="157">
        <v>5515</v>
      </c>
    </row>
    <row r="103" spans="1:2" x14ac:dyDescent="0.25">
      <c r="A103" s="157" t="s">
        <v>263</v>
      </c>
      <c r="B103" s="157">
        <v>5748</v>
      </c>
    </row>
    <row r="104" spans="1:2" x14ac:dyDescent="0.25">
      <c r="A104" s="157" t="s">
        <v>144</v>
      </c>
      <c r="B104" s="157">
        <v>5623</v>
      </c>
    </row>
    <row r="105" spans="1:2" x14ac:dyDescent="0.25">
      <c r="A105" s="157" t="s">
        <v>34</v>
      </c>
      <c r="B105" s="157">
        <v>5552</v>
      </c>
    </row>
    <row r="106" spans="1:2" x14ac:dyDescent="0.25">
      <c r="A106" s="157" t="s">
        <v>17</v>
      </c>
      <c r="B106" s="157">
        <v>5852</v>
      </c>
    </row>
    <row r="107" spans="1:2" x14ac:dyDescent="0.25">
      <c r="A107" s="157" t="s">
        <v>18</v>
      </c>
      <c r="B107" s="157">
        <v>5853</v>
      </c>
    </row>
    <row r="108" spans="1:2" x14ac:dyDescent="0.25">
      <c r="A108" s="157" t="s">
        <v>19</v>
      </c>
      <c r="B108" s="157">
        <v>5854</v>
      </c>
    </row>
    <row r="109" spans="1:2" x14ac:dyDescent="0.25">
      <c r="A109" s="157" t="s">
        <v>425</v>
      </c>
      <c r="B109" s="157">
        <v>5624</v>
      </c>
    </row>
    <row r="110" spans="1:2" x14ac:dyDescent="0.25">
      <c r="A110" s="157" t="s">
        <v>294</v>
      </c>
      <c r="B110" s="157">
        <v>5625</v>
      </c>
    </row>
    <row r="111" spans="1:2" x14ac:dyDescent="0.25">
      <c r="A111" s="157" t="s">
        <v>199</v>
      </c>
      <c r="B111" s="157">
        <v>5663</v>
      </c>
    </row>
    <row r="112" spans="1:2" x14ac:dyDescent="0.25">
      <c r="A112" s="157" t="s">
        <v>57</v>
      </c>
      <c r="B112" s="157">
        <v>5904</v>
      </c>
    </row>
    <row r="113" spans="1:2" x14ac:dyDescent="0.25">
      <c r="A113" s="157" t="s">
        <v>35</v>
      </c>
      <c r="B113" s="157">
        <v>5553</v>
      </c>
    </row>
    <row r="114" spans="1:2" x14ac:dyDescent="0.25">
      <c r="A114" s="157" t="s">
        <v>375</v>
      </c>
      <c r="B114" s="157">
        <v>5812</v>
      </c>
    </row>
    <row r="115" spans="1:2" x14ac:dyDescent="0.25">
      <c r="A115" s="157" t="s">
        <v>58</v>
      </c>
      <c r="B115" s="157">
        <v>5905</v>
      </c>
    </row>
    <row r="116" spans="1:2" x14ac:dyDescent="0.25">
      <c r="A116" s="157" t="s">
        <v>203</v>
      </c>
      <c r="B116" s="157">
        <v>5882</v>
      </c>
    </row>
    <row r="117" spans="1:2" x14ac:dyDescent="0.25">
      <c r="A117" s="157" t="s">
        <v>13</v>
      </c>
      <c r="B117" s="157">
        <v>5841</v>
      </c>
    </row>
    <row r="118" spans="1:2" x14ac:dyDescent="0.25">
      <c r="A118" s="157" t="s">
        <v>217</v>
      </c>
      <c r="B118" s="157">
        <v>5707</v>
      </c>
    </row>
    <row r="119" spans="1:2" x14ac:dyDescent="0.25">
      <c r="A119" s="157" t="s">
        <v>218</v>
      </c>
      <c r="B119" s="157">
        <v>5708</v>
      </c>
    </row>
    <row r="120" spans="1:2" x14ac:dyDescent="0.25">
      <c r="A120" s="157" t="s">
        <v>59</v>
      </c>
      <c r="B120" s="157">
        <v>5907</v>
      </c>
    </row>
    <row r="121" spans="1:2" x14ac:dyDescent="0.25">
      <c r="A121" s="157" t="s">
        <v>361</v>
      </c>
      <c r="B121" s="157">
        <v>5475</v>
      </c>
    </row>
    <row r="122" spans="1:2" x14ac:dyDescent="0.25">
      <c r="A122" s="157" t="s">
        <v>248</v>
      </c>
      <c r="B122" s="157">
        <v>5627</v>
      </c>
    </row>
    <row r="123" spans="1:2" x14ac:dyDescent="0.25">
      <c r="A123" s="157" t="s">
        <v>95</v>
      </c>
      <c r="B123" s="157">
        <v>5665</v>
      </c>
    </row>
    <row r="124" spans="1:2" x14ac:dyDescent="0.25">
      <c r="A124" s="157" t="s">
        <v>264</v>
      </c>
      <c r="B124" s="157">
        <v>5749</v>
      </c>
    </row>
    <row r="125" spans="1:2" x14ac:dyDescent="0.25">
      <c r="A125" s="157" t="s">
        <v>60</v>
      </c>
      <c r="B125" s="157">
        <v>5908</v>
      </c>
    </row>
    <row r="126" spans="1:2" x14ac:dyDescent="0.25">
      <c r="A126" s="157" t="s">
        <v>61</v>
      </c>
      <c r="B126" s="157">
        <v>5909</v>
      </c>
    </row>
    <row r="127" spans="1:2" x14ac:dyDescent="0.25">
      <c r="A127" s="157" t="s">
        <v>378</v>
      </c>
      <c r="B127" s="157">
        <v>5582</v>
      </c>
    </row>
    <row r="128" spans="1:2" x14ac:dyDescent="0.25">
      <c r="A128" s="157" t="s">
        <v>219</v>
      </c>
      <c r="B128" s="157">
        <v>5709</v>
      </c>
    </row>
    <row r="129" spans="1:2" x14ac:dyDescent="0.25">
      <c r="A129" s="157" t="s">
        <v>110</v>
      </c>
      <c r="B129" s="157">
        <v>5403</v>
      </c>
    </row>
    <row r="130" spans="1:2" x14ac:dyDescent="0.25">
      <c r="A130" s="157" t="s">
        <v>362</v>
      </c>
      <c r="B130" s="157">
        <v>5476</v>
      </c>
    </row>
    <row r="131" spans="1:2" x14ac:dyDescent="0.25">
      <c r="A131" s="157" t="s">
        <v>376</v>
      </c>
      <c r="B131" s="157">
        <v>5813</v>
      </c>
    </row>
    <row r="132" spans="1:2" x14ac:dyDescent="0.25">
      <c r="A132" s="157" t="s">
        <v>291</v>
      </c>
      <c r="B132" s="157">
        <v>5601</v>
      </c>
    </row>
    <row r="133" spans="1:2" x14ac:dyDescent="0.25">
      <c r="A133" s="157" t="s">
        <v>249</v>
      </c>
      <c r="B133" s="157">
        <v>5628</v>
      </c>
    </row>
    <row r="134" spans="1:2" x14ac:dyDescent="0.25">
      <c r="A134" s="157" t="s">
        <v>147</v>
      </c>
      <c r="B134" s="157">
        <v>5629</v>
      </c>
    </row>
    <row r="135" spans="1:2" x14ac:dyDescent="0.25">
      <c r="A135" s="157" t="s">
        <v>220</v>
      </c>
      <c r="B135" s="157">
        <v>5710</v>
      </c>
    </row>
    <row r="136" spans="1:2" x14ac:dyDescent="0.25">
      <c r="A136" s="157" t="s">
        <v>221</v>
      </c>
      <c r="B136" s="157">
        <v>5711</v>
      </c>
    </row>
    <row r="137" spans="1:2" x14ac:dyDescent="0.25">
      <c r="A137" s="157" t="s">
        <v>36</v>
      </c>
      <c r="B137" s="157">
        <v>5554</v>
      </c>
    </row>
    <row r="138" spans="1:2" x14ac:dyDescent="0.25">
      <c r="A138" s="157" t="s">
        <v>222</v>
      </c>
      <c r="B138" s="157">
        <v>5712</v>
      </c>
    </row>
    <row r="139" spans="1:2" x14ac:dyDescent="0.25">
      <c r="A139" s="157" t="s">
        <v>111</v>
      </c>
      <c r="B139" s="157">
        <v>5404</v>
      </c>
    </row>
    <row r="140" spans="1:2" x14ac:dyDescent="0.25">
      <c r="A140" s="157" t="s">
        <v>272</v>
      </c>
      <c r="B140" s="157">
        <v>5785</v>
      </c>
    </row>
    <row r="141" spans="1:2" x14ac:dyDescent="0.25">
      <c r="A141" s="157" t="s">
        <v>37</v>
      </c>
      <c r="B141" s="157">
        <v>5555</v>
      </c>
    </row>
    <row r="142" spans="1:2" x14ac:dyDescent="0.25">
      <c r="A142" s="157" t="s">
        <v>6</v>
      </c>
      <c r="B142" s="157">
        <v>5816</v>
      </c>
    </row>
    <row r="143" spans="1:2" x14ac:dyDescent="0.25">
      <c r="A143" s="157" t="s">
        <v>204</v>
      </c>
      <c r="B143" s="157">
        <v>5883</v>
      </c>
    </row>
    <row r="144" spans="1:2" x14ac:dyDescent="0.25">
      <c r="A144" s="157" t="s">
        <v>49</v>
      </c>
      <c r="B144" s="157">
        <v>5884</v>
      </c>
    </row>
    <row r="145" spans="1:2" x14ac:dyDescent="0.25">
      <c r="A145" s="157" t="s">
        <v>363</v>
      </c>
      <c r="B145" s="157">
        <v>5477</v>
      </c>
    </row>
    <row r="146" spans="1:2" x14ac:dyDescent="0.25">
      <c r="A146" s="157" t="s">
        <v>234</v>
      </c>
      <c r="B146" s="157">
        <v>5478</v>
      </c>
    </row>
    <row r="147" spans="1:2" x14ac:dyDescent="0.25">
      <c r="A147" s="157" t="s">
        <v>223</v>
      </c>
      <c r="B147" s="157">
        <v>5713</v>
      </c>
    </row>
    <row r="148" spans="1:2" x14ac:dyDescent="0.25">
      <c r="A148" s="157" t="s">
        <v>224</v>
      </c>
      <c r="B148" s="157">
        <v>5714</v>
      </c>
    </row>
    <row r="149" spans="1:2" x14ac:dyDescent="0.25">
      <c r="A149" s="157" t="s">
        <v>379</v>
      </c>
      <c r="B149" s="157">
        <v>5583</v>
      </c>
    </row>
    <row r="150" spans="1:2" x14ac:dyDescent="0.25">
      <c r="A150" s="157" t="s">
        <v>62</v>
      </c>
      <c r="B150" s="157">
        <v>5910</v>
      </c>
    </row>
    <row r="151" spans="1:2" x14ac:dyDescent="0.25">
      <c r="A151" s="157" t="s">
        <v>324</v>
      </c>
      <c r="B151" s="157">
        <v>5752</v>
      </c>
    </row>
    <row r="152" spans="1:2" x14ac:dyDescent="0.25">
      <c r="A152" s="157" t="s">
        <v>235</v>
      </c>
      <c r="B152" s="157">
        <v>5479</v>
      </c>
    </row>
    <row r="153" spans="1:2" x14ac:dyDescent="0.25">
      <c r="A153" s="157" t="s">
        <v>63</v>
      </c>
      <c r="B153" s="157">
        <v>5911</v>
      </c>
    </row>
    <row r="154" spans="1:2" x14ac:dyDescent="0.25">
      <c r="A154" s="157" t="s">
        <v>340</v>
      </c>
      <c r="B154" s="157">
        <v>5456</v>
      </c>
    </row>
    <row r="155" spans="1:2" x14ac:dyDescent="0.25">
      <c r="A155" s="157" t="s">
        <v>177</v>
      </c>
      <c r="B155" s="157">
        <v>5516</v>
      </c>
    </row>
    <row r="156" spans="1:2" x14ac:dyDescent="0.25">
      <c r="A156" s="157" t="s">
        <v>96</v>
      </c>
      <c r="B156" s="157">
        <v>5669</v>
      </c>
    </row>
    <row r="157" spans="1:2" x14ac:dyDescent="0.25">
      <c r="A157" s="157" t="s">
        <v>236</v>
      </c>
      <c r="B157" s="157">
        <v>5480</v>
      </c>
    </row>
    <row r="158" spans="1:2" x14ac:dyDescent="0.25">
      <c r="A158" s="157" t="s">
        <v>64</v>
      </c>
      <c r="B158" s="157">
        <v>5912</v>
      </c>
    </row>
    <row r="159" spans="1:2" x14ac:dyDescent="0.25">
      <c r="A159" s="157" t="s">
        <v>148</v>
      </c>
      <c r="B159" s="157">
        <v>5631</v>
      </c>
    </row>
    <row r="160" spans="1:2" x14ac:dyDescent="0.25">
      <c r="A160" s="157" t="s">
        <v>149</v>
      </c>
      <c r="B160" s="157">
        <v>5632</v>
      </c>
    </row>
    <row r="161" spans="1:2" x14ac:dyDescent="0.25">
      <c r="A161" s="157" t="s">
        <v>237</v>
      </c>
      <c r="B161" s="157">
        <v>5481</v>
      </c>
    </row>
    <row r="162" spans="1:2" x14ac:dyDescent="0.25">
      <c r="A162" s="157" t="s">
        <v>97</v>
      </c>
      <c r="B162" s="157">
        <v>5671</v>
      </c>
    </row>
    <row r="163" spans="1:2" x14ac:dyDescent="0.25">
      <c r="A163" s="157" t="s">
        <v>65</v>
      </c>
      <c r="B163" s="157">
        <v>5913</v>
      </c>
    </row>
    <row r="164" spans="1:2" x14ac:dyDescent="0.25">
      <c r="A164" s="157" t="s">
        <v>225</v>
      </c>
      <c r="B164" s="157">
        <v>5715</v>
      </c>
    </row>
    <row r="165" spans="1:2" x14ac:dyDescent="0.25">
      <c r="A165" s="157" t="s">
        <v>20</v>
      </c>
      <c r="B165" s="157">
        <v>5855</v>
      </c>
    </row>
    <row r="166" spans="1:2" x14ac:dyDescent="0.25">
      <c r="A166" s="157" t="s">
        <v>178</v>
      </c>
      <c r="B166" s="157">
        <v>5518</v>
      </c>
    </row>
    <row r="167" spans="1:2" x14ac:dyDescent="0.25">
      <c r="A167" s="157" t="s">
        <v>150</v>
      </c>
      <c r="B167" s="157">
        <v>5633</v>
      </c>
    </row>
    <row r="168" spans="1:2" x14ac:dyDescent="0.25">
      <c r="A168" s="157" t="s">
        <v>151</v>
      </c>
      <c r="B168" s="157">
        <v>5634</v>
      </c>
    </row>
    <row r="169" spans="1:2" x14ac:dyDescent="0.25">
      <c r="A169" s="157" t="s">
        <v>238</v>
      </c>
      <c r="B169" s="157">
        <v>5482</v>
      </c>
    </row>
    <row r="170" spans="1:2" x14ac:dyDescent="0.25">
      <c r="A170" s="157" t="s">
        <v>152</v>
      </c>
      <c r="B170" s="157">
        <v>5635</v>
      </c>
    </row>
    <row r="171" spans="1:2" x14ac:dyDescent="0.25">
      <c r="A171" s="157" t="s">
        <v>380</v>
      </c>
      <c r="B171" s="157">
        <v>5584</v>
      </c>
    </row>
    <row r="172" spans="1:2" x14ac:dyDescent="0.25">
      <c r="A172" s="157" t="s">
        <v>66</v>
      </c>
      <c r="B172" s="157">
        <v>5914</v>
      </c>
    </row>
    <row r="173" spans="1:2" x14ac:dyDescent="0.25">
      <c r="A173" s="157" t="s">
        <v>273</v>
      </c>
      <c r="B173" s="157">
        <v>5788</v>
      </c>
    </row>
    <row r="174" spans="1:2" x14ac:dyDescent="0.25">
      <c r="A174" s="157" t="s">
        <v>21</v>
      </c>
      <c r="B174" s="157">
        <v>5856</v>
      </c>
    </row>
    <row r="175" spans="1:2" x14ac:dyDescent="0.25">
      <c r="A175" s="157" t="s">
        <v>179</v>
      </c>
      <c r="B175" s="157">
        <v>5520</v>
      </c>
    </row>
    <row r="176" spans="1:2" x14ac:dyDescent="0.25">
      <c r="A176" s="157" t="s">
        <v>180</v>
      </c>
      <c r="B176" s="157">
        <v>5521</v>
      </c>
    </row>
    <row r="177" spans="1:2" x14ac:dyDescent="0.25">
      <c r="A177" s="157" t="s">
        <v>153</v>
      </c>
      <c r="B177" s="157">
        <v>5636</v>
      </c>
    </row>
    <row r="178" spans="1:2" x14ac:dyDescent="0.25">
      <c r="A178" s="157" t="s">
        <v>226</v>
      </c>
      <c r="B178" s="157">
        <v>5716</v>
      </c>
    </row>
    <row r="179" spans="1:2" x14ac:dyDescent="0.25">
      <c r="A179" s="157" t="s">
        <v>341</v>
      </c>
      <c r="B179" s="157">
        <v>5458</v>
      </c>
    </row>
    <row r="180" spans="1:2" x14ac:dyDescent="0.25">
      <c r="A180" s="157" t="s">
        <v>334</v>
      </c>
      <c r="B180" s="157">
        <v>5427</v>
      </c>
    </row>
    <row r="181" spans="1:2" x14ac:dyDescent="0.25">
      <c r="A181" s="157" t="s">
        <v>138</v>
      </c>
      <c r="B181" s="157">
        <v>5483</v>
      </c>
    </row>
    <row r="182" spans="1:2" x14ac:dyDescent="0.25">
      <c r="A182" s="157" t="s">
        <v>181</v>
      </c>
      <c r="B182" s="157">
        <v>5522</v>
      </c>
    </row>
    <row r="183" spans="1:2" x14ac:dyDescent="0.25">
      <c r="A183" s="157" t="s">
        <v>38</v>
      </c>
      <c r="B183" s="157">
        <v>5556</v>
      </c>
    </row>
    <row r="184" spans="1:2" x14ac:dyDescent="0.25">
      <c r="A184" s="157" t="s">
        <v>39</v>
      </c>
      <c r="B184" s="157">
        <v>5557</v>
      </c>
    </row>
    <row r="185" spans="1:2" x14ac:dyDescent="0.25">
      <c r="A185" s="157" t="s">
        <v>141</v>
      </c>
      <c r="B185" s="157">
        <v>5604</v>
      </c>
    </row>
    <row r="186" spans="1:2" x14ac:dyDescent="0.25">
      <c r="A186" s="157" t="s">
        <v>227</v>
      </c>
      <c r="B186" s="157">
        <v>5717</v>
      </c>
    </row>
    <row r="187" spans="1:2" x14ac:dyDescent="0.25">
      <c r="A187" s="157" t="s">
        <v>182</v>
      </c>
      <c r="B187" s="157">
        <v>5523</v>
      </c>
    </row>
    <row r="188" spans="1:2" x14ac:dyDescent="0.25">
      <c r="A188" s="157" t="s">
        <v>228</v>
      </c>
      <c r="B188" s="157">
        <v>5718</v>
      </c>
    </row>
    <row r="189" spans="1:2" x14ac:dyDescent="0.25">
      <c r="A189" s="157" t="s">
        <v>40</v>
      </c>
      <c r="B189" s="157">
        <v>5559</v>
      </c>
    </row>
    <row r="190" spans="1:2" x14ac:dyDescent="0.25">
      <c r="A190" s="157" t="s">
        <v>22</v>
      </c>
      <c r="B190" s="157">
        <v>5857</v>
      </c>
    </row>
    <row r="191" spans="1:2" x14ac:dyDescent="0.25">
      <c r="A191" s="157" t="s">
        <v>335</v>
      </c>
      <c r="B191" s="157">
        <v>5428</v>
      </c>
    </row>
    <row r="192" spans="1:2" x14ac:dyDescent="0.25">
      <c r="A192" s="157" t="s">
        <v>229</v>
      </c>
      <c r="B192" s="157">
        <v>5719</v>
      </c>
    </row>
    <row r="193" spans="1:2" x14ac:dyDescent="0.25">
      <c r="A193" s="157" t="s">
        <v>230</v>
      </c>
      <c r="B193" s="157">
        <v>5720</v>
      </c>
    </row>
    <row r="194" spans="1:2" x14ac:dyDescent="0.25">
      <c r="A194" s="157" t="s">
        <v>231</v>
      </c>
      <c r="B194" s="157">
        <v>5721</v>
      </c>
    </row>
    <row r="195" spans="1:2" x14ac:dyDescent="0.25">
      <c r="A195" s="157" t="s">
        <v>139</v>
      </c>
      <c r="B195" s="157">
        <v>5484</v>
      </c>
    </row>
    <row r="196" spans="1:2" x14ac:dyDescent="0.25">
      <c r="A196" s="157" t="s">
        <v>416</v>
      </c>
      <c r="B196" s="157">
        <v>5541</v>
      </c>
    </row>
    <row r="197" spans="1:2" x14ac:dyDescent="0.25">
      <c r="A197" s="157" t="s">
        <v>140</v>
      </c>
      <c r="B197" s="157">
        <v>5485</v>
      </c>
    </row>
    <row r="198" spans="1:2" x14ac:dyDescent="0.25">
      <c r="A198" s="157" t="s">
        <v>7</v>
      </c>
      <c r="B198" s="157">
        <v>5817</v>
      </c>
    </row>
    <row r="199" spans="1:2" x14ac:dyDescent="0.25">
      <c r="A199" s="157" t="s">
        <v>41</v>
      </c>
      <c r="B199" s="157">
        <v>5560</v>
      </c>
    </row>
    <row r="200" spans="1:2" x14ac:dyDescent="0.25">
      <c r="A200" s="157" t="s">
        <v>42</v>
      </c>
      <c r="B200" s="157">
        <v>5561</v>
      </c>
    </row>
    <row r="201" spans="1:2" x14ac:dyDescent="0.25">
      <c r="A201" s="157" t="s">
        <v>232</v>
      </c>
      <c r="B201" s="157">
        <v>5722</v>
      </c>
    </row>
    <row r="202" spans="1:2" x14ac:dyDescent="0.25">
      <c r="A202" s="157" t="s">
        <v>112</v>
      </c>
      <c r="B202" s="157">
        <v>5405</v>
      </c>
    </row>
    <row r="203" spans="1:2" x14ac:dyDescent="0.25">
      <c r="A203" s="157" t="s">
        <v>8</v>
      </c>
      <c r="B203" s="157">
        <v>5819</v>
      </c>
    </row>
    <row r="204" spans="1:2" x14ac:dyDescent="0.25">
      <c r="A204" s="157" t="s">
        <v>98</v>
      </c>
      <c r="B204" s="157">
        <v>5673</v>
      </c>
    </row>
    <row r="205" spans="1:2" x14ac:dyDescent="0.25">
      <c r="A205" s="157" t="s">
        <v>50</v>
      </c>
      <c r="B205" s="157">
        <v>5885</v>
      </c>
    </row>
    <row r="206" spans="1:2" x14ac:dyDescent="0.25">
      <c r="A206" s="157" t="s">
        <v>418</v>
      </c>
      <c r="B206" s="157">
        <v>5804</v>
      </c>
    </row>
    <row r="207" spans="1:2" x14ac:dyDescent="0.25">
      <c r="A207" s="157" t="s">
        <v>495</v>
      </c>
      <c r="B207" s="157">
        <v>5806</v>
      </c>
    </row>
    <row r="208" spans="1:2" x14ac:dyDescent="0.25">
      <c r="A208" s="157" t="s">
        <v>381</v>
      </c>
      <c r="B208" s="157">
        <v>5585</v>
      </c>
    </row>
    <row r="209" spans="1:2" x14ac:dyDescent="0.25">
      <c r="A209" s="157" t="s">
        <v>325</v>
      </c>
      <c r="B209" s="157">
        <v>5754</v>
      </c>
    </row>
    <row r="210" spans="1:2" x14ac:dyDescent="0.25">
      <c r="A210" s="157" t="s">
        <v>206</v>
      </c>
      <c r="B210" s="157">
        <v>5474</v>
      </c>
    </row>
    <row r="211" spans="1:2" x14ac:dyDescent="0.25">
      <c r="A211" s="157" t="s">
        <v>211</v>
      </c>
      <c r="B211" s="157">
        <v>5758</v>
      </c>
    </row>
    <row r="212" spans="1:2" x14ac:dyDescent="0.25">
      <c r="A212" s="157" t="s">
        <v>312</v>
      </c>
      <c r="B212" s="157">
        <v>5726</v>
      </c>
    </row>
    <row r="213" spans="1:2" x14ac:dyDescent="0.25">
      <c r="A213" s="157" t="s">
        <v>167</v>
      </c>
      <c r="B213" s="157">
        <v>5498</v>
      </c>
    </row>
    <row r="214" spans="1:2" x14ac:dyDescent="0.25">
      <c r="A214" s="157" t="s">
        <v>52</v>
      </c>
      <c r="B214" s="157">
        <v>5889</v>
      </c>
    </row>
    <row r="215" spans="1:2" x14ac:dyDescent="0.25">
      <c r="A215" s="157" t="s">
        <v>29</v>
      </c>
      <c r="B215" s="157">
        <v>5871</v>
      </c>
    </row>
    <row r="216" spans="1:2" x14ac:dyDescent="0.25">
      <c r="A216" s="157" t="s">
        <v>319</v>
      </c>
      <c r="B216" s="157">
        <v>5741</v>
      </c>
    </row>
    <row r="217" spans="1:2" x14ac:dyDescent="0.25">
      <c r="A217" s="157" t="s">
        <v>118</v>
      </c>
      <c r="B217" s="157">
        <v>5586</v>
      </c>
    </row>
    <row r="218" spans="1:2" x14ac:dyDescent="0.25">
      <c r="A218" s="157" t="s">
        <v>113</v>
      </c>
      <c r="B218" s="157">
        <v>5406</v>
      </c>
    </row>
    <row r="219" spans="1:2" x14ac:dyDescent="0.25">
      <c r="A219" s="157" t="s">
        <v>154</v>
      </c>
      <c r="B219" s="157">
        <v>5637</v>
      </c>
    </row>
    <row r="220" spans="1:2" x14ac:dyDescent="0.25">
      <c r="A220" s="157" t="s">
        <v>200</v>
      </c>
      <c r="B220" s="157">
        <v>5872</v>
      </c>
    </row>
    <row r="221" spans="1:2" x14ac:dyDescent="0.25">
      <c r="A221" s="157" t="s">
        <v>201</v>
      </c>
      <c r="B221" s="157">
        <v>5873</v>
      </c>
    </row>
    <row r="222" spans="1:2" x14ac:dyDescent="0.25">
      <c r="A222" s="157" t="s">
        <v>119</v>
      </c>
      <c r="B222" s="157">
        <v>5587</v>
      </c>
    </row>
    <row r="223" spans="1:2" x14ac:dyDescent="0.25">
      <c r="A223" s="157" t="s">
        <v>317</v>
      </c>
      <c r="B223" s="157">
        <v>5731</v>
      </c>
    </row>
    <row r="224" spans="1:2" x14ac:dyDescent="0.25">
      <c r="A224" s="157" t="s">
        <v>265</v>
      </c>
      <c r="B224" s="157">
        <v>5750</v>
      </c>
    </row>
    <row r="225" spans="1:2" x14ac:dyDescent="0.25">
      <c r="A225" s="157" t="s">
        <v>114</v>
      </c>
      <c r="B225" s="157">
        <v>5407</v>
      </c>
    </row>
    <row r="226" spans="1:2" x14ac:dyDescent="0.25">
      <c r="A226" s="157" t="s">
        <v>326</v>
      </c>
      <c r="B226" s="157">
        <v>5755</v>
      </c>
    </row>
    <row r="227" spans="1:2" x14ac:dyDescent="0.25">
      <c r="A227" s="157" t="s">
        <v>1</v>
      </c>
      <c r="B227" s="157">
        <v>5486</v>
      </c>
    </row>
    <row r="228" spans="1:2" x14ac:dyDescent="0.25">
      <c r="A228" s="157" t="s">
        <v>155</v>
      </c>
      <c r="B228" s="157">
        <v>5638</v>
      </c>
    </row>
    <row r="229" spans="1:2" x14ac:dyDescent="0.25">
      <c r="A229" s="157" t="s">
        <v>353</v>
      </c>
      <c r="B229" s="157">
        <v>5429</v>
      </c>
    </row>
    <row r="230" spans="1:2" x14ac:dyDescent="0.25">
      <c r="A230" s="157" t="s">
        <v>99</v>
      </c>
      <c r="B230" s="157">
        <v>5674</v>
      </c>
    </row>
    <row r="231" spans="1:2" x14ac:dyDescent="0.25">
      <c r="A231" s="157" t="s">
        <v>100</v>
      </c>
      <c r="B231" s="157">
        <v>5675</v>
      </c>
    </row>
    <row r="232" spans="1:2" x14ac:dyDescent="0.25">
      <c r="A232" s="157" t="s">
        <v>23</v>
      </c>
      <c r="B232" s="157">
        <v>5858</v>
      </c>
    </row>
    <row r="233" spans="1:2" x14ac:dyDescent="0.25">
      <c r="A233" s="157" t="s">
        <v>156</v>
      </c>
      <c r="B233" s="157">
        <v>5639</v>
      </c>
    </row>
    <row r="234" spans="1:2" x14ac:dyDescent="0.25">
      <c r="A234" s="157" t="s">
        <v>2</v>
      </c>
      <c r="B234" s="157">
        <v>5487</v>
      </c>
    </row>
    <row r="235" spans="1:2" x14ac:dyDescent="0.25">
      <c r="A235" s="157" t="s">
        <v>157</v>
      </c>
      <c r="B235" s="157">
        <v>5640</v>
      </c>
    </row>
    <row r="236" spans="1:2" x14ac:dyDescent="0.25">
      <c r="A236" s="157" t="s">
        <v>142</v>
      </c>
      <c r="B236" s="157">
        <v>5606</v>
      </c>
    </row>
    <row r="237" spans="1:2" x14ac:dyDescent="0.25">
      <c r="A237" s="157" t="s">
        <v>274</v>
      </c>
      <c r="B237" s="157">
        <v>5790</v>
      </c>
    </row>
    <row r="238" spans="1:2" x14ac:dyDescent="0.25">
      <c r="A238" s="157" t="s">
        <v>354</v>
      </c>
      <c r="B238" s="157">
        <v>5430</v>
      </c>
    </row>
    <row r="239" spans="1:2" x14ac:dyDescent="0.25">
      <c r="A239" s="157" t="s">
        <v>382</v>
      </c>
      <c r="B239" s="157">
        <v>5919</v>
      </c>
    </row>
    <row r="240" spans="1:2" x14ac:dyDescent="0.25">
      <c r="A240" s="157" t="s">
        <v>43</v>
      </c>
      <c r="B240" s="157">
        <v>5562</v>
      </c>
    </row>
    <row r="241" spans="1:2" x14ac:dyDescent="0.25">
      <c r="A241" s="157" t="s">
        <v>3</v>
      </c>
      <c r="B241" s="157">
        <v>5488</v>
      </c>
    </row>
    <row r="242" spans="1:2" x14ac:dyDescent="0.25">
      <c r="A242" s="157" t="s">
        <v>4</v>
      </c>
      <c r="B242" s="157">
        <v>5489</v>
      </c>
    </row>
    <row r="243" spans="1:2" x14ac:dyDescent="0.25">
      <c r="A243" s="157" t="s">
        <v>233</v>
      </c>
      <c r="B243" s="157">
        <v>5723</v>
      </c>
    </row>
    <row r="244" spans="1:2" x14ac:dyDescent="0.25">
      <c r="A244" s="157" t="s">
        <v>9</v>
      </c>
      <c r="B244" s="157">
        <v>5821</v>
      </c>
    </row>
    <row r="245" spans="1:2" x14ac:dyDescent="0.25">
      <c r="A245" s="157" t="s">
        <v>5</v>
      </c>
      <c r="B245" s="157">
        <v>5490</v>
      </c>
    </row>
    <row r="246" spans="1:2" x14ac:dyDescent="0.25">
      <c r="A246" s="157" t="s">
        <v>355</v>
      </c>
      <c r="B246" s="157">
        <v>5431</v>
      </c>
    </row>
    <row r="247" spans="1:2" x14ac:dyDescent="0.25">
      <c r="A247" s="157" t="s">
        <v>383</v>
      </c>
      <c r="B247" s="157">
        <v>5921</v>
      </c>
    </row>
    <row r="248" spans="1:2" x14ac:dyDescent="0.25">
      <c r="A248" s="157" t="s">
        <v>266</v>
      </c>
      <c r="B248" s="157">
        <v>5922</v>
      </c>
    </row>
    <row r="249" spans="1:2" x14ac:dyDescent="0.25">
      <c r="A249" s="157" t="s">
        <v>427</v>
      </c>
      <c r="B249" s="157">
        <v>5693</v>
      </c>
    </row>
    <row r="250" spans="1:2" x14ac:dyDescent="0.25">
      <c r="A250" s="157" t="s">
        <v>327</v>
      </c>
      <c r="B250" s="157">
        <v>5756</v>
      </c>
    </row>
    <row r="251" spans="1:2" x14ac:dyDescent="0.25">
      <c r="A251" s="157" t="s">
        <v>417</v>
      </c>
      <c r="B251" s="157">
        <v>5540</v>
      </c>
    </row>
    <row r="252" spans="1:2" x14ac:dyDescent="0.25">
      <c r="A252" s="157" t="s">
        <v>160</v>
      </c>
      <c r="B252" s="157">
        <v>5491</v>
      </c>
    </row>
    <row r="253" spans="1:2" x14ac:dyDescent="0.25">
      <c r="A253" s="157" t="s">
        <v>275</v>
      </c>
      <c r="B253" s="157">
        <v>5792</v>
      </c>
    </row>
    <row r="254" spans="1:2" x14ac:dyDescent="0.25">
      <c r="A254" s="157" t="s">
        <v>51</v>
      </c>
      <c r="B254" s="157">
        <v>5886</v>
      </c>
    </row>
    <row r="255" spans="1:2" x14ac:dyDescent="0.25">
      <c r="A255" s="157" t="s">
        <v>161</v>
      </c>
      <c r="B255" s="157">
        <v>5492</v>
      </c>
    </row>
    <row r="256" spans="1:2" x14ac:dyDescent="0.25">
      <c r="A256" s="157" t="s">
        <v>24</v>
      </c>
      <c r="B256" s="157">
        <v>5859</v>
      </c>
    </row>
    <row r="257" spans="1:2" x14ac:dyDescent="0.25">
      <c r="A257" s="157" t="s">
        <v>158</v>
      </c>
      <c r="B257" s="157">
        <v>5642</v>
      </c>
    </row>
    <row r="258" spans="1:2" x14ac:dyDescent="0.25">
      <c r="A258" s="157" t="s">
        <v>183</v>
      </c>
      <c r="B258" s="157">
        <v>5527</v>
      </c>
    </row>
    <row r="259" spans="1:2" x14ac:dyDescent="0.25">
      <c r="A259" s="157" t="s">
        <v>101</v>
      </c>
      <c r="B259" s="157">
        <v>5678</v>
      </c>
    </row>
    <row r="260" spans="1:2" x14ac:dyDescent="0.25">
      <c r="A260" s="157" t="s">
        <v>278</v>
      </c>
      <c r="B260" s="157">
        <v>5563</v>
      </c>
    </row>
    <row r="261" spans="1:2" x14ac:dyDescent="0.25">
      <c r="A261" s="157" t="s">
        <v>279</v>
      </c>
      <c r="B261" s="157">
        <v>5564</v>
      </c>
    </row>
    <row r="262" spans="1:2" x14ac:dyDescent="0.25">
      <c r="A262" s="157" t="s">
        <v>115</v>
      </c>
      <c r="B262" s="157">
        <v>5408</v>
      </c>
    </row>
    <row r="263" spans="1:2" x14ac:dyDescent="0.25">
      <c r="A263" s="157" t="s">
        <v>68</v>
      </c>
      <c r="B263" s="157">
        <v>5724</v>
      </c>
    </row>
    <row r="264" spans="1:2" x14ac:dyDescent="0.25">
      <c r="A264" s="157" t="s">
        <v>102</v>
      </c>
      <c r="B264" s="157">
        <v>5680</v>
      </c>
    </row>
    <row r="265" spans="1:2" x14ac:dyDescent="0.25">
      <c r="A265" s="157" t="s">
        <v>116</v>
      </c>
      <c r="B265" s="157">
        <v>5409</v>
      </c>
    </row>
    <row r="266" spans="1:2" x14ac:dyDescent="0.25">
      <c r="A266" s="157" t="s">
        <v>280</v>
      </c>
      <c r="B266" s="157">
        <v>5565</v>
      </c>
    </row>
    <row r="267" spans="1:2" x14ac:dyDescent="0.25">
      <c r="A267" s="157" t="s">
        <v>267</v>
      </c>
      <c r="B267" s="157">
        <v>5923</v>
      </c>
    </row>
    <row r="268" spans="1:2" x14ac:dyDescent="0.25">
      <c r="A268" s="157" t="s">
        <v>328</v>
      </c>
      <c r="B268" s="157">
        <v>5757</v>
      </c>
    </row>
    <row r="269" spans="1:2" x14ac:dyDescent="0.25">
      <c r="A269" s="157" t="s">
        <v>268</v>
      </c>
      <c r="B269" s="157">
        <v>5924</v>
      </c>
    </row>
    <row r="270" spans="1:2" x14ac:dyDescent="0.25">
      <c r="A270" s="157" t="s">
        <v>128</v>
      </c>
      <c r="B270" s="157">
        <v>5410</v>
      </c>
    </row>
    <row r="271" spans="1:2" x14ac:dyDescent="0.25">
      <c r="A271" s="157" t="s">
        <v>129</v>
      </c>
      <c r="B271" s="157">
        <v>5411</v>
      </c>
    </row>
    <row r="272" spans="1:2" x14ac:dyDescent="0.25">
      <c r="A272" s="157" t="s">
        <v>162</v>
      </c>
      <c r="B272" s="157">
        <v>5493</v>
      </c>
    </row>
    <row r="273" spans="1:2" x14ac:dyDescent="0.25">
      <c r="A273" s="157" t="s">
        <v>420</v>
      </c>
      <c r="B273" s="157">
        <v>5805</v>
      </c>
    </row>
    <row r="274" spans="1:2" x14ac:dyDescent="0.25">
      <c r="A274" s="157" t="s">
        <v>387</v>
      </c>
      <c r="B274" s="157">
        <v>5925</v>
      </c>
    </row>
    <row r="275" spans="1:2" x14ac:dyDescent="0.25">
      <c r="A275" s="157" t="s">
        <v>184</v>
      </c>
      <c r="B275" s="157">
        <v>5529</v>
      </c>
    </row>
    <row r="276" spans="1:2" x14ac:dyDescent="0.25">
      <c r="A276" s="157" t="s">
        <v>185</v>
      </c>
      <c r="B276" s="157">
        <v>5530</v>
      </c>
    </row>
    <row r="277" spans="1:2" x14ac:dyDescent="0.25">
      <c r="A277" s="157" t="s">
        <v>163</v>
      </c>
      <c r="B277" s="157">
        <v>5494</v>
      </c>
    </row>
    <row r="278" spans="1:2" x14ac:dyDescent="0.25">
      <c r="A278" s="157" t="s">
        <v>120</v>
      </c>
      <c r="B278" s="157">
        <v>5588</v>
      </c>
    </row>
    <row r="279" spans="1:2" x14ac:dyDescent="0.25">
      <c r="A279" s="157" t="s">
        <v>10</v>
      </c>
      <c r="B279" s="157">
        <v>5822</v>
      </c>
    </row>
    <row r="280" spans="1:2" x14ac:dyDescent="0.25">
      <c r="A280" s="157" t="s">
        <v>164</v>
      </c>
      <c r="B280" s="157">
        <v>5495</v>
      </c>
    </row>
    <row r="281" spans="1:2" x14ac:dyDescent="0.25">
      <c r="A281" s="157" t="s">
        <v>165</v>
      </c>
      <c r="B281" s="157">
        <v>5496</v>
      </c>
    </row>
    <row r="282" spans="1:2" x14ac:dyDescent="0.25">
      <c r="A282" s="157" t="s">
        <v>186</v>
      </c>
      <c r="B282" s="157">
        <v>5531</v>
      </c>
    </row>
    <row r="283" spans="1:2" x14ac:dyDescent="0.25">
      <c r="A283" s="157" t="s">
        <v>25</v>
      </c>
      <c r="B283" s="157">
        <v>5860</v>
      </c>
    </row>
    <row r="284" spans="1:2" x14ac:dyDescent="0.25">
      <c r="A284" s="157" t="s">
        <v>187</v>
      </c>
      <c r="B284" s="157">
        <v>5533</v>
      </c>
    </row>
    <row r="285" spans="1:2" x14ac:dyDescent="0.25">
      <c r="A285" s="157" t="s">
        <v>166</v>
      </c>
      <c r="B285" s="157">
        <v>5497</v>
      </c>
    </row>
    <row r="286" spans="1:2" x14ac:dyDescent="0.25">
      <c r="A286" s="157" t="s">
        <v>388</v>
      </c>
      <c r="B286" s="157">
        <v>5926</v>
      </c>
    </row>
    <row r="287" spans="1:2" x14ac:dyDescent="0.25">
      <c r="A287" s="157" t="s">
        <v>69</v>
      </c>
      <c r="B287" s="157">
        <v>5725</v>
      </c>
    </row>
    <row r="288" spans="1:2" x14ac:dyDescent="0.25">
      <c r="A288" s="157" t="s">
        <v>212</v>
      </c>
      <c r="B288" s="157">
        <v>5759</v>
      </c>
    </row>
    <row r="289" spans="1:2" x14ac:dyDescent="0.25">
      <c r="A289" s="157" t="s">
        <v>159</v>
      </c>
      <c r="B289" s="157">
        <v>5643</v>
      </c>
    </row>
    <row r="290" spans="1:2" x14ac:dyDescent="0.25">
      <c r="A290" s="157" t="s">
        <v>103</v>
      </c>
      <c r="B290" s="157">
        <v>5683</v>
      </c>
    </row>
    <row r="291" spans="1:2" x14ac:dyDescent="0.25">
      <c r="A291" s="157" t="s">
        <v>121</v>
      </c>
      <c r="B291" s="157">
        <v>5589</v>
      </c>
    </row>
    <row r="292" spans="1:2" x14ac:dyDescent="0.25">
      <c r="A292" s="157" t="s">
        <v>281</v>
      </c>
      <c r="B292" s="157">
        <v>5566</v>
      </c>
    </row>
    <row r="293" spans="1:2" x14ac:dyDescent="0.25">
      <c r="A293" s="157" t="s">
        <v>293</v>
      </c>
      <c r="B293" s="157">
        <v>5607</v>
      </c>
    </row>
    <row r="294" spans="1:2" x14ac:dyDescent="0.25">
      <c r="A294" s="157" t="s">
        <v>122</v>
      </c>
      <c r="B294" s="157">
        <v>5590</v>
      </c>
    </row>
    <row r="295" spans="1:2" x14ac:dyDescent="0.25">
      <c r="A295" s="157" t="s">
        <v>213</v>
      </c>
      <c r="B295" s="157">
        <v>5760</v>
      </c>
    </row>
    <row r="296" spans="1:2" x14ac:dyDescent="0.25">
      <c r="A296" s="157" t="s">
        <v>384</v>
      </c>
      <c r="B296" s="157">
        <v>5591</v>
      </c>
    </row>
    <row r="297" spans="1:2" x14ac:dyDescent="0.25">
      <c r="A297" s="157" t="s">
        <v>130</v>
      </c>
      <c r="B297" s="157">
        <v>5412</v>
      </c>
    </row>
    <row r="298" spans="1:2" x14ac:dyDescent="0.25">
      <c r="A298" s="157" t="s">
        <v>305</v>
      </c>
      <c r="B298" s="157">
        <v>5644</v>
      </c>
    </row>
    <row r="299" spans="1:2" x14ac:dyDescent="0.25">
      <c r="A299" s="157" t="s">
        <v>126</v>
      </c>
      <c r="B299" s="157">
        <v>5609</v>
      </c>
    </row>
    <row r="300" spans="1:2" x14ac:dyDescent="0.25">
      <c r="A300" s="157" t="s">
        <v>131</v>
      </c>
      <c r="B300" s="157">
        <v>5413</v>
      </c>
    </row>
    <row r="301" spans="1:2" x14ac:dyDescent="0.25">
      <c r="A301" s="157" t="s">
        <v>26</v>
      </c>
      <c r="B301" s="157">
        <v>5861</v>
      </c>
    </row>
    <row r="302" spans="1:2" x14ac:dyDescent="0.25">
      <c r="A302" s="157" t="s">
        <v>133</v>
      </c>
      <c r="B302" s="157">
        <v>5761</v>
      </c>
    </row>
    <row r="303" spans="1:2" x14ac:dyDescent="0.25">
      <c r="A303" s="157" t="s">
        <v>210</v>
      </c>
      <c r="B303" s="157">
        <v>5592</v>
      </c>
    </row>
    <row r="304" spans="1:2" x14ac:dyDescent="0.25">
      <c r="A304" s="157" t="s">
        <v>306</v>
      </c>
      <c r="B304" s="157">
        <v>5645</v>
      </c>
    </row>
    <row r="305" spans="1:2" x14ac:dyDescent="0.25">
      <c r="A305" s="157" t="s">
        <v>276</v>
      </c>
      <c r="B305" s="157">
        <v>5798</v>
      </c>
    </row>
    <row r="306" spans="1:2" x14ac:dyDescent="0.25">
      <c r="A306" s="157" t="s">
        <v>104</v>
      </c>
      <c r="B306" s="157">
        <v>5684</v>
      </c>
    </row>
    <row r="307" spans="1:2" x14ac:dyDescent="0.25">
      <c r="A307" s="157" t="s">
        <v>14</v>
      </c>
      <c r="B307" s="157">
        <v>5842</v>
      </c>
    </row>
    <row r="308" spans="1:2" x14ac:dyDescent="0.25">
      <c r="A308" s="157" t="s">
        <v>15</v>
      </c>
      <c r="B308" s="157">
        <v>5843</v>
      </c>
    </row>
    <row r="309" spans="1:2" x14ac:dyDescent="0.25">
      <c r="A309" s="157" t="s">
        <v>389</v>
      </c>
      <c r="B309" s="157">
        <v>5928</v>
      </c>
    </row>
    <row r="310" spans="1:2" x14ac:dyDescent="0.25">
      <c r="A310" s="157" t="s">
        <v>188</v>
      </c>
      <c r="B310" s="157">
        <v>5534</v>
      </c>
    </row>
    <row r="311" spans="1:2" x14ac:dyDescent="0.25">
      <c r="A311" s="157" t="s">
        <v>30</v>
      </c>
      <c r="B311" s="157">
        <v>5535</v>
      </c>
    </row>
    <row r="312" spans="1:2" x14ac:dyDescent="0.25">
      <c r="A312" s="157" t="s">
        <v>313</v>
      </c>
      <c r="B312" s="157">
        <v>5727</v>
      </c>
    </row>
    <row r="313" spans="1:2" x14ac:dyDescent="0.25">
      <c r="A313" s="157" t="s">
        <v>117</v>
      </c>
      <c r="B313" s="157">
        <v>5568</v>
      </c>
    </row>
    <row r="314" spans="1:2" x14ac:dyDescent="0.25">
      <c r="A314" s="157" t="s">
        <v>356</v>
      </c>
      <c r="B314" s="157">
        <v>5434</v>
      </c>
    </row>
    <row r="315" spans="1:2" x14ac:dyDescent="0.25">
      <c r="A315" s="157" t="s">
        <v>492</v>
      </c>
      <c r="B315" s="157">
        <v>5888</v>
      </c>
    </row>
    <row r="316" spans="1:2" x14ac:dyDescent="0.25">
      <c r="A316" s="157" t="s">
        <v>336</v>
      </c>
      <c r="B316" s="157">
        <v>5435</v>
      </c>
    </row>
    <row r="317" spans="1:2" x14ac:dyDescent="0.25">
      <c r="A317" s="157" t="s">
        <v>337</v>
      </c>
      <c r="B317" s="157">
        <v>5436</v>
      </c>
    </row>
    <row r="318" spans="1:2" x14ac:dyDescent="0.25">
      <c r="A318" s="157" t="s">
        <v>307</v>
      </c>
      <c r="B318" s="157">
        <v>5646</v>
      </c>
    </row>
    <row r="319" spans="1:2" x14ac:dyDescent="0.25">
      <c r="A319" s="157" t="s">
        <v>308</v>
      </c>
      <c r="B319" s="157">
        <v>5648</v>
      </c>
    </row>
    <row r="320" spans="1:2" x14ac:dyDescent="0.25">
      <c r="A320" s="157" t="s">
        <v>338</v>
      </c>
      <c r="B320" s="157">
        <v>5437</v>
      </c>
    </row>
    <row r="321" spans="1:2" x14ac:dyDescent="0.25">
      <c r="A321" s="157" t="s">
        <v>290</v>
      </c>
      <c r="B321" s="157">
        <v>5611</v>
      </c>
    </row>
    <row r="322" spans="1:2" x14ac:dyDescent="0.25">
      <c r="A322" s="157" t="s">
        <v>168</v>
      </c>
      <c r="B322" s="157">
        <v>5499</v>
      </c>
    </row>
    <row r="323" spans="1:2" x14ac:dyDescent="0.25">
      <c r="A323" s="157" t="s">
        <v>134</v>
      </c>
      <c r="B323" s="157">
        <v>5762</v>
      </c>
    </row>
    <row r="324" spans="1:2" x14ac:dyDescent="0.25">
      <c r="A324" s="157" t="s">
        <v>277</v>
      </c>
      <c r="B324" s="157">
        <v>5799</v>
      </c>
    </row>
    <row r="325" spans="1:2" x14ac:dyDescent="0.25">
      <c r="A325" s="157" t="s">
        <v>169</v>
      </c>
      <c r="B325" s="157">
        <v>5500</v>
      </c>
    </row>
    <row r="326" spans="1:2" x14ac:dyDescent="0.25">
      <c r="A326" s="157" t="s">
        <v>314</v>
      </c>
      <c r="B326" s="157">
        <v>5728</v>
      </c>
    </row>
    <row r="327" spans="1:2" x14ac:dyDescent="0.25">
      <c r="A327" s="157" t="s">
        <v>127</v>
      </c>
      <c r="B327" s="157">
        <v>5610</v>
      </c>
    </row>
    <row r="328" spans="1:2" x14ac:dyDescent="0.25">
      <c r="A328" s="157" t="s">
        <v>390</v>
      </c>
      <c r="B328" s="157">
        <v>5929</v>
      </c>
    </row>
    <row r="329" spans="1:2" x14ac:dyDescent="0.25">
      <c r="A329" s="157" t="s">
        <v>170</v>
      </c>
      <c r="B329" s="157">
        <v>5501</v>
      </c>
    </row>
    <row r="330" spans="1:2" x14ac:dyDescent="0.25">
      <c r="A330" s="157" t="s">
        <v>391</v>
      </c>
      <c r="B330" s="157">
        <v>5930</v>
      </c>
    </row>
    <row r="331" spans="1:2" x14ac:dyDescent="0.25">
      <c r="A331" s="157" t="s">
        <v>105</v>
      </c>
      <c r="B331" s="157">
        <v>5688</v>
      </c>
    </row>
    <row r="332" spans="1:2" x14ac:dyDescent="0.25">
      <c r="A332" s="157" t="s">
        <v>315</v>
      </c>
      <c r="B332" s="157">
        <v>5729</v>
      </c>
    </row>
    <row r="333" spans="1:2" x14ac:dyDescent="0.25">
      <c r="A333" s="157" t="s">
        <v>27</v>
      </c>
      <c r="B333" s="157">
        <v>5862</v>
      </c>
    </row>
    <row r="334" spans="1:2" x14ac:dyDescent="0.25">
      <c r="A334" s="157" t="s">
        <v>414</v>
      </c>
      <c r="B334" s="157">
        <v>5571</v>
      </c>
    </row>
    <row r="335" spans="1:2" x14ac:dyDescent="0.25">
      <c r="A335" s="157" t="s">
        <v>309</v>
      </c>
      <c r="B335" s="157">
        <v>5649</v>
      </c>
    </row>
    <row r="336" spans="1:2" x14ac:dyDescent="0.25">
      <c r="A336" s="157" t="s">
        <v>316</v>
      </c>
      <c r="B336" s="157">
        <v>5730</v>
      </c>
    </row>
    <row r="337" spans="1:2" x14ac:dyDescent="0.25">
      <c r="A337" s="157" t="s">
        <v>11</v>
      </c>
      <c r="B337" s="157">
        <v>5827</v>
      </c>
    </row>
    <row r="338" spans="1:2" x14ac:dyDescent="0.25">
      <c r="A338" s="157" t="s">
        <v>392</v>
      </c>
      <c r="B338" s="157">
        <v>5931</v>
      </c>
    </row>
    <row r="339" spans="1:2" x14ac:dyDescent="0.25">
      <c r="A339" s="157" t="s">
        <v>491</v>
      </c>
      <c r="B339" s="157">
        <v>5828</v>
      </c>
    </row>
    <row r="340" spans="1:2" x14ac:dyDescent="0.25">
      <c r="A340" s="157" t="s">
        <v>269</v>
      </c>
      <c r="B340" s="157">
        <v>5932</v>
      </c>
    </row>
    <row r="341" spans="1:2" x14ac:dyDescent="0.25">
      <c r="A341" s="157" t="s">
        <v>419</v>
      </c>
      <c r="B341" s="157">
        <v>5831</v>
      </c>
    </row>
    <row r="342" spans="1:2" x14ac:dyDescent="0.25">
      <c r="A342" s="157" t="s">
        <v>385</v>
      </c>
      <c r="B342" s="157">
        <v>5933</v>
      </c>
    </row>
    <row r="343" spans="1:2" x14ac:dyDescent="0.25">
      <c r="A343" s="157" t="s">
        <v>135</v>
      </c>
      <c r="B343" s="157">
        <v>5763</v>
      </c>
    </row>
    <row r="344" spans="1:2" x14ac:dyDescent="0.25">
      <c r="A344" s="157" t="s">
        <v>386</v>
      </c>
      <c r="B344" s="157">
        <v>5934</v>
      </c>
    </row>
    <row r="345" spans="1:2" x14ac:dyDescent="0.25">
      <c r="A345" s="157" t="s">
        <v>329</v>
      </c>
      <c r="B345" s="157">
        <v>5764</v>
      </c>
    </row>
    <row r="346" spans="1:2" x14ac:dyDescent="0.25">
      <c r="A346" s="157" t="s">
        <v>330</v>
      </c>
      <c r="B346" s="157">
        <v>5765</v>
      </c>
    </row>
    <row r="347" spans="1:2" x14ac:dyDescent="0.25">
      <c r="A347" s="157" t="s">
        <v>310</v>
      </c>
      <c r="B347" s="157">
        <v>5650</v>
      </c>
    </row>
    <row r="348" spans="1:2" x14ac:dyDescent="0.25">
      <c r="A348" s="157" t="s">
        <v>53</v>
      </c>
      <c r="B348" s="157">
        <v>5890</v>
      </c>
    </row>
    <row r="349" spans="1:2" x14ac:dyDescent="0.25">
      <c r="A349" s="157" t="s">
        <v>54</v>
      </c>
      <c r="B349" s="157">
        <v>5891</v>
      </c>
    </row>
    <row r="350" spans="1:2" x14ac:dyDescent="0.25">
      <c r="A350" s="157" t="s">
        <v>318</v>
      </c>
      <c r="B350" s="157">
        <v>5732</v>
      </c>
    </row>
    <row r="351" spans="1:2" x14ac:dyDescent="0.25">
      <c r="A351" s="157" t="s">
        <v>292</v>
      </c>
      <c r="B351" s="157">
        <v>5935</v>
      </c>
    </row>
    <row r="352" spans="1:2" x14ac:dyDescent="0.25">
      <c r="A352" s="157" t="s">
        <v>106</v>
      </c>
      <c r="B352" s="157">
        <v>5690</v>
      </c>
    </row>
    <row r="353" spans="1:2" x14ac:dyDescent="0.25">
      <c r="A353" s="157" t="s">
        <v>31</v>
      </c>
      <c r="B353" s="157">
        <v>5537</v>
      </c>
    </row>
    <row r="354" spans="1:2" x14ac:dyDescent="0.25">
      <c r="A354" s="157" t="s">
        <v>311</v>
      </c>
      <c r="B354" s="157">
        <v>5651</v>
      </c>
    </row>
    <row r="355" spans="1:2" x14ac:dyDescent="0.25">
      <c r="A355" s="157" t="s">
        <v>194</v>
      </c>
      <c r="B355" s="157">
        <v>5652</v>
      </c>
    </row>
    <row r="356" spans="1:2" x14ac:dyDescent="0.25">
      <c r="A356" s="157" t="s">
        <v>12</v>
      </c>
      <c r="B356" s="157">
        <v>5830</v>
      </c>
    </row>
    <row r="357" spans="1:2" x14ac:dyDescent="0.25">
      <c r="A357" s="157" t="s">
        <v>132</v>
      </c>
      <c r="B357" s="157">
        <v>5414</v>
      </c>
    </row>
    <row r="358" spans="1:2" x14ac:dyDescent="0.25">
      <c r="A358" s="157" t="s">
        <v>28</v>
      </c>
      <c r="B358" s="157">
        <v>5863</v>
      </c>
    </row>
    <row r="359" spans="1:2" x14ac:dyDescent="0.25">
      <c r="A359" s="157" t="s">
        <v>32</v>
      </c>
      <c r="B359" s="157">
        <v>5539</v>
      </c>
    </row>
    <row r="360" spans="1:2" x14ac:dyDescent="0.25">
      <c r="A360" s="157" t="s">
        <v>107</v>
      </c>
      <c r="B360" s="157">
        <v>5692</v>
      </c>
    </row>
    <row r="361" spans="1:2" x14ac:dyDescent="0.25">
      <c r="A361" s="157" t="s">
        <v>171</v>
      </c>
      <c r="B361" s="157">
        <v>5503</v>
      </c>
    </row>
    <row r="362" spans="1:2" x14ac:dyDescent="0.25">
      <c r="A362" s="157" t="s">
        <v>195</v>
      </c>
      <c r="B362" s="157">
        <v>5653</v>
      </c>
    </row>
    <row r="363" spans="1:2" x14ac:dyDescent="0.25">
      <c r="A363" s="157" t="s">
        <v>270</v>
      </c>
      <c r="B363" s="157">
        <v>5937</v>
      </c>
    </row>
    <row r="364" spans="1:2" x14ac:dyDescent="0.25">
      <c r="A364" s="157" t="s">
        <v>331</v>
      </c>
      <c r="B364" s="157">
        <v>5766</v>
      </c>
    </row>
    <row r="365" spans="1:2" x14ac:dyDescent="0.25">
      <c r="A365" s="157" t="s">
        <v>374</v>
      </c>
      <c r="B365" s="157">
        <v>5803</v>
      </c>
    </row>
    <row r="366" spans="1:2" x14ac:dyDescent="0.25">
      <c r="A366" s="157" t="s">
        <v>196</v>
      </c>
      <c r="B366" s="157">
        <v>5654</v>
      </c>
    </row>
    <row r="367" spans="1:2" x14ac:dyDescent="0.25">
      <c r="A367" s="157" t="s">
        <v>415</v>
      </c>
      <c r="B367" s="157">
        <v>5464</v>
      </c>
    </row>
    <row r="368" spans="1:2" x14ac:dyDescent="0.25">
      <c r="A368" s="157" t="s">
        <v>197</v>
      </c>
      <c r="B368" s="157">
        <v>5655</v>
      </c>
    </row>
    <row r="369" spans="1:2" x14ac:dyDescent="0.25">
      <c r="A369" s="157" t="s">
        <v>146</v>
      </c>
      <c r="B369" s="157">
        <v>5938</v>
      </c>
    </row>
    <row r="370" spans="1:2" x14ac:dyDescent="0.25">
      <c r="A370" s="157" t="s">
        <v>145</v>
      </c>
      <c r="B370" s="157">
        <v>5939</v>
      </c>
    </row>
    <row r="371" spans="1:2" x14ac:dyDescent="0.25">
      <c r="A371" s="157" t="s">
        <v>71</v>
      </c>
      <c r="B371" s="157">
        <v>5415</v>
      </c>
    </row>
    <row r="372" spans="1:2" x14ac:dyDescent="0.25">
      <c r="B372" s="159"/>
    </row>
    <row r="373" spans="1:2" x14ac:dyDescent="0.25">
      <c r="B373" s="159"/>
    </row>
    <row r="374" spans="1:2" x14ac:dyDescent="0.25">
      <c r="B374" s="159"/>
    </row>
    <row r="375" spans="1:2" x14ac:dyDescent="0.25">
      <c r="B375" s="159"/>
    </row>
    <row r="376" spans="1:2" x14ac:dyDescent="0.25">
      <c r="B376" s="159"/>
    </row>
    <row r="377" spans="1:2" x14ac:dyDescent="0.25">
      <c r="B377" s="159"/>
    </row>
    <row r="378" spans="1:2" x14ac:dyDescent="0.25">
      <c r="B378" s="159"/>
    </row>
    <row r="379" spans="1:2" x14ac:dyDescent="0.25">
      <c r="B379" s="159"/>
    </row>
    <row r="380" spans="1:2" x14ac:dyDescent="0.25">
      <c r="B380" s="159"/>
    </row>
    <row r="381" spans="1:2" x14ac:dyDescent="0.25">
      <c r="B381" s="159"/>
    </row>
    <row r="382" spans="1:2" x14ac:dyDescent="0.25">
      <c r="B382" s="159"/>
    </row>
    <row r="383" spans="1:2" x14ac:dyDescent="0.25">
      <c r="B383" s="159"/>
    </row>
    <row r="384" spans="1:2" x14ac:dyDescent="0.25">
      <c r="B384" s="159"/>
    </row>
    <row r="385" spans="2:2" x14ac:dyDescent="0.25">
      <c r="B385" s="159"/>
    </row>
    <row r="386" spans="2:2" x14ac:dyDescent="0.25">
      <c r="B386" s="159"/>
    </row>
    <row r="387" spans="2:2" x14ac:dyDescent="0.25">
      <c r="B387" s="159"/>
    </row>
    <row r="388" spans="2:2" x14ac:dyDescent="0.25">
      <c r="B388" s="159"/>
    </row>
    <row r="389" spans="2:2" x14ac:dyDescent="0.25">
      <c r="B389" s="159"/>
    </row>
    <row r="390" spans="2:2" x14ac:dyDescent="0.25">
      <c r="B390" s="159"/>
    </row>
    <row r="391" spans="2:2" x14ac:dyDescent="0.25">
      <c r="B391" s="159"/>
    </row>
    <row r="392" spans="2:2" x14ac:dyDescent="0.25">
      <c r="B392" s="159"/>
    </row>
    <row r="393" spans="2:2" x14ac:dyDescent="0.25">
      <c r="B393" s="159"/>
    </row>
    <row r="394" spans="2:2" x14ac:dyDescent="0.25">
      <c r="B394" s="159"/>
    </row>
    <row r="395" spans="2:2" x14ac:dyDescent="0.25">
      <c r="B395" s="159"/>
    </row>
    <row r="396" spans="2:2" x14ac:dyDescent="0.25">
      <c r="B396" s="159"/>
    </row>
    <row r="397" spans="2:2" x14ac:dyDescent="0.25">
      <c r="B397" s="159"/>
    </row>
    <row r="398" spans="2:2" x14ac:dyDescent="0.25">
      <c r="B398" s="159"/>
    </row>
    <row r="399" spans="2:2" x14ac:dyDescent="0.25">
      <c r="B399" s="159"/>
    </row>
    <row r="400" spans="2:2" x14ac:dyDescent="0.25">
      <c r="B400" s="159"/>
    </row>
    <row r="401" spans="2:2" x14ac:dyDescent="0.25">
      <c r="B401" s="159"/>
    </row>
    <row r="402" spans="2:2" x14ac:dyDescent="0.25">
      <c r="B402" s="159"/>
    </row>
    <row r="403" spans="2:2" x14ac:dyDescent="0.25">
      <c r="B403" s="159"/>
    </row>
    <row r="404" spans="2:2" x14ac:dyDescent="0.25">
      <c r="B404" s="159"/>
    </row>
    <row r="405" spans="2:2" x14ac:dyDescent="0.25">
      <c r="B405" s="159"/>
    </row>
    <row r="406" spans="2:2" x14ac:dyDescent="0.25">
      <c r="B406" s="159"/>
    </row>
    <row r="407" spans="2:2" x14ac:dyDescent="0.25">
      <c r="B407" s="159"/>
    </row>
    <row r="408" spans="2:2" x14ac:dyDescent="0.25">
      <c r="B408" s="159"/>
    </row>
    <row r="409" spans="2:2" x14ac:dyDescent="0.25">
      <c r="B409" s="159"/>
    </row>
    <row r="410" spans="2:2" x14ac:dyDescent="0.25">
      <c r="B410" s="159"/>
    </row>
    <row r="411" spans="2:2" x14ac:dyDescent="0.25">
      <c r="B411" s="159"/>
    </row>
    <row r="412" spans="2:2" x14ac:dyDescent="0.25">
      <c r="B412" s="159"/>
    </row>
    <row r="413" spans="2:2" x14ac:dyDescent="0.25">
      <c r="B413" s="159"/>
    </row>
    <row r="414" spans="2:2" x14ac:dyDescent="0.25">
      <c r="B414" s="159"/>
    </row>
    <row r="415" spans="2:2" x14ac:dyDescent="0.25">
      <c r="B415" s="159"/>
    </row>
    <row r="416" spans="2:2" x14ac:dyDescent="0.25">
      <c r="B416" s="159"/>
    </row>
    <row r="417" spans="2:2" x14ac:dyDescent="0.25">
      <c r="B417" s="159"/>
    </row>
    <row r="418" spans="2:2" x14ac:dyDescent="0.25">
      <c r="B418" s="159"/>
    </row>
    <row r="419" spans="2:2" x14ac:dyDescent="0.25">
      <c r="B419" s="159"/>
    </row>
    <row r="420" spans="2:2" x14ac:dyDescent="0.25">
      <c r="B420" s="159"/>
    </row>
    <row r="421" spans="2:2" x14ac:dyDescent="0.25">
      <c r="B421" s="159"/>
    </row>
    <row r="422" spans="2:2" x14ac:dyDescent="0.25">
      <c r="B422" s="159"/>
    </row>
    <row r="423" spans="2:2" x14ac:dyDescent="0.25">
      <c r="B423" s="159"/>
    </row>
    <row r="424" spans="2:2" x14ac:dyDescent="0.25">
      <c r="B424" s="159"/>
    </row>
    <row r="425" spans="2:2" x14ac:dyDescent="0.25">
      <c r="B425" s="159"/>
    </row>
    <row r="426" spans="2:2" x14ac:dyDescent="0.25">
      <c r="B426" s="159"/>
    </row>
    <row r="427" spans="2:2" x14ac:dyDescent="0.25">
      <c r="B427" s="159"/>
    </row>
    <row r="428" spans="2:2" x14ac:dyDescent="0.25">
      <c r="B428" s="159"/>
    </row>
    <row r="429" spans="2:2" x14ac:dyDescent="0.25">
      <c r="B429" s="159"/>
    </row>
    <row r="430" spans="2:2" x14ac:dyDescent="0.25">
      <c r="B430" s="159"/>
    </row>
    <row r="431" spans="2:2" x14ac:dyDescent="0.25">
      <c r="B431" s="159"/>
    </row>
    <row r="432" spans="2:2" x14ac:dyDescent="0.25">
      <c r="B432" s="159"/>
    </row>
    <row r="433" spans="2:2" x14ac:dyDescent="0.25">
      <c r="B433" s="159"/>
    </row>
    <row r="434" spans="2:2" x14ac:dyDescent="0.25">
      <c r="B434" s="159"/>
    </row>
    <row r="435" spans="2:2" x14ac:dyDescent="0.25">
      <c r="B435" s="159"/>
    </row>
    <row r="436" spans="2:2" x14ac:dyDescent="0.25">
      <c r="B436" s="159"/>
    </row>
    <row r="437" spans="2:2" x14ac:dyDescent="0.25">
      <c r="B437" s="159"/>
    </row>
    <row r="438" spans="2:2" x14ac:dyDescent="0.25">
      <c r="B438" s="159"/>
    </row>
    <row r="439" spans="2:2" x14ac:dyDescent="0.25">
      <c r="B439" s="159"/>
    </row>
    <row r="440" spans="2:2" x14ac:dyDescent="0.25">
      <c r="B440" s="159"/>
    </row>
    <row r="441" spans="2:2" x14ac:dyDescent="0.25">
      <c r="B441" s="159"/>
    </row>
    <row r="442" spans="2:2" x14ac:dyDescent="0.25">
      <c r="B442" s="159"/>
    </row>
    <row r="443" spans="2:2" x14ac:dyDescent="0.25">
      <c r="B443" s="159"/>
    </row>
    <row r="444" spans="2:2" x14ac:dyDescent="0.25">
      <c r="B444" s="159"/>
    </row>
    <row r="445" spans="2:2" x14ac:dyDescent="0.25">
      <c r="B445" s="159"/>
    </row>
    <row r="446" spans="2:2" x14ac:dyDescent="0.25">
      <c r="B446" s="159"/>
    </row>
    <row r="447" spans="2:2" x14ac:dyDescent="0.25">
      <c r="B447" s="159"/>
    </row>
    <row r="448" spans="2:2" x14ac:dyDescent="0.25">
      <c r="B448" s="159"/>
    </row>
    <row r="449" spans="2:2" x14ac:dyDescent="0.25">
      <c r="B449" s="159"/>
    </row>
    <row r="450" spans="2:2" x14ac:dyDescent="0.25">
      <c r="B450" s="159"/>
    </row>
    <row r="451" spans="2:2" x14ac:dyDescent="0.25">
      <c r="B451" s="159"/>
    </row>
    <row r="452" spans="2:2" x14ac:dyDescent="0.25">
      <c r="B452" s="159"/>
    </row>
    <row r="453" spans="2:2" x14ac:dyDescent="0.25">
      <c r="B453" s="159"/>
    </row>
    <row r="454" spans="2:2" x14ac:dyDescent="0.25">
      <c r="B454" s="159"/>
    </row>
    <row r="455" spans="2:2" x14ac:dyDescent="0.25">
      <c r="B455" s="159"/>
    </row>
    <row r="456" spans="2:2" x14ac:dyDescent="0.25">
      <c r="B456" s="159"/>
    </row>
    <row r="457" spans="2:2" x14ac:dyDescent="0.25">
      <c r="B457" s="159"/>
    </row>
    <row r="458" spans="2:2" x14ac:dyDescent="0.25">
      <c r="B458" s="159"/>
    </row>
    <row r="459" spans="2:2" x14ac:dyDescent="0.25">
      <c r="B459" s="159"/>
    </row>
    <row r="460" spans="2:2" x14ac:dyDescent="0.25">
      <c r="B460" s="159"/>
    </row>
    <row r="461" spans="2:2" x14ac:dyDescent="0.25">
      <c r="B461" s="159"/>
    </row>
    <row r="462" spans="2:2" x14ac:dyDescent="0.25">
      <c r="B462" s="159"/>
    </row>
    <row r="463" spans="2:2" x14ac:dyDescent="0.25">
      <c r="B463" s="159"/>
    </row>
    <row r="464" spans="2:2" x14ac:dyDescent="0.25">
      <c r="B464" s="159"/>
    </row>
    <row r="465" spans="2:2" x14ac:dyDescent="0.25">
      <c r="B465" s="159"/>
    </row>
    <row r="466" spans="2:2" x14ac:dyDescent="0.25">
      <c r="B466" s="159"/>
    </row>
    <row r="467" spans="2:2" x14ac:dyDescent="0.25">
      <c r="B467" s="159"/>
    </row>
    <row r="468" spans="2:2" x14ac:dyDescent="0.25">
      <c r="B468" s="159"/>
    </row>
    <row r="469" spans="2:2" x14ac:dyDescent="0.25">
      <c r="B469" s="159"/>
    </row>
    <row r="470" spans="2:2" x14ac:dyDescent="0.25">
      <c r="B470" s="159"/>
    </row>
    <row r="471" spans="2:2" x14ac:dyDescent="0.25">
      <c r="B471" s="159"/>
    </row>
    <row r="472" spans="2:2" x14ac:dyDescent="0.25">
      <c r="B472" s="159"/>
    </row>
    <row r="473" spans="2:2" x14ac:dyDescent="0.25">
      <c r="B473" s="159"/>
    </row>
    <row r="474" spans="2:2" x14ac:dyDescent="0.25">
      <c r="B474" s="159"/>
    </row>
    <row r="475" spans="2:2" x14ac:dyDescent="0.25">
      <c r="B475" s="159"/>
    </row>
    <row r="476" spans="2:2" x14ac:dyDescent="0.25">
      <c r="B476" s="159"/>
    </row>
    <row r="477" spans="2:2" x14ac:dyDescent="0.25">
      <c r="B477" s="159"/>
    </row>
    <row r="478" spans="2:2" x14ac:dyDescent="0.25">
      <c r="B478" s="159"/>
    </row>
    <row r="479" spans="2:2" x14ac:dyDescent="0.25">
      <c r="B479" s="159"/>
    </row>
    <row r="480" spans="2:2" x14ac:dyDescent="0.25">
      <c r="B480" s="159"/>
    </row>
    <row r="481" spans="2:2" x14ac:dyDescent="0.25">
      <c r="B481" s="159"/>
    </row>
    <row r="482" spans="2:2" x14ac:dyDescent="0.25">
      <c r="B482" s="159"/>
    </row>
    <row r="483" spans="2:2" x14ac:dyDescent="0.25">
      <c r="B483" s="159"/>
    </row>
    <row r="484" spans="2:2" x14ac:dyDescent="0.25">
      <c r="B484" s="159"/>
    </row>
    <row r="485" spans="2:2" x14ac:dyDescent="0.25">
      <c r="B485" s="159"/>
    </row>
    <row r="486" spans="2:2" x14ac:dyDescent="0.25">
      <c r="B486" s="159"/>
    </row>
    <row r="487" spans="2:2" x14ac:dyDescent="0.25">
      <c r="B487" s="159"/>
    </row>
    <row r="488" spans="2:2" x14ac:dyDescent="0.25">
      <c r="B488" s="159"/>
    </row>
    <row r="489" spans="2:2" x14ac:dyDescent="0.25">
      <c r="B489" s="159"/>
    </row>
    <row r="490" spans="2:2" x14ac:dyDescent="0.25">
      <c r="B490" s="159"/>
    </row>
    <row r="491" spans="2:2" x14ac:dyDescent="0.25">
      <c r="B491" s="159"/>
    </row>
    <row r="492" spans="2:2" x14ac:dyDescent="0.25">
      <c r="B492" s="159"/>
    </row>
    <row r="493" spans="2:2" x14ac:dyDescent="0.25">
      <c r="B493" s="159"/>
    </row>
    <row r="494" spans="2:2" x14ac:dyDescent="0.25">
      <c r="B494" s="159"/>
    </row>
    <row r="495" spans="2:2" x14ac:dyDescent="0.25">
      <c r="B495" s="159"/>
    </row>
    <row r="496" spans="2:2" x14ac:dyDescent="0.25">
      <c r="B496" s="159"/>
    </row>
    <row r="497" spans="2:2" x14ac:dyDescent="0.25">
      <c r="B497" s="159"/>
    </row>
    <row r="498" spans="2:2" x14ac:dyDescent="0.25">
      <c r="B498" s="159"/>
    </row>
    <row r="499" spans="2:2" x14ac:dyDescent="0.25">
      <c r="B499" s="159"/>
    </row>
    <row r="500" spans="2:2" x14ac:dyDescent="0.25">
      <c r="B500" s="159"/>
    </row>
    <row r="501" spans="2:2" x14ac:dyDescent="0.25">
      <c r="B501" s="159"/>
    </row>
    <row r="502" spans="2:2" x14ac:dyDescent="0.25">
      <c r="B502" s="159"/>
    </row>
    <row r="503" spans="2:2" x14ac:dyDescent="0.25">
      <c r="B503" s="159"/>
    </row>
    <row r="504" spans="2:2" x14ac:dyDescent="0.25">
      <c r="B504" s="159"/>
    </row>
    <row r="505" spans="2:2" x14ac:dyDescent="0.25">
      <c r="B505" s="159"/>
    </row>
    <row r="506" spans="2:2" x14ac:dyDescent="0.25">
      <c r="B506" s="159"/>
    </row>
    <row r="507" spans="2:2" x14ac:dyDescent="0.25">
      <c r="B507" s="159"/>
    </row>
    <row r="508" spans="2:2" x14ac:dyDescent="0.25">
      <c r="B508" s="159"/>
    </row>
    <row r="509" spans="2:2" x14ac:dyDescent="0.25">
      <c r="B509" s="159"/>
    </row>
    <row r="510" spans="2:2" x14ac:dyDescent="0.25">
      <c r="B510" s="159"/>
    </row>
    <row r="511" spans="2:2" x14ac:dyDescent="0.25">
      <c r="B511" s="159"/>
    </row>
    <row r="512" spans="2:2" x14ac:dyDescent="0.25">
      <c r="B512" s="159"/>
    </row>
    <row r="513" spans="2:2" x14ac:dyDescent="0.25">
      <c r="B513" s="159"/>
    </row>
    <row r="514" spans="2:2" x14ac:dyDescent="0.25">
      <c r="B514" s="159"/>
    </row>
    <row r="515" spans="2:2" x14ac:dyDescent="0.25">
      <c r="B515" s="159"/>
    </row>
    <row r="516" spans="2:2" x14ac:dyDescent="0.25">
      <c r="B516" s="159"/>
    </row>
    <row r="517" spans="2:2" x14ac:dyDescent="0.25">
      <c r="B517" s="159"/>
    </row>
    <row r="518" spans="2:2" x14ac:dyDescent="0.25">
      <c r="B518" s="159"/>
    </row>
    <row r="519" spans="2:2" x14ac:dyDescent="0.25">
      <c r="B519" s="159"/>
    </row>
    <row r="520" spans="2:2" x14ac:dyDescent="0.25">
      <c r="B520" s="159"/>
    </row>
    <row r="521" spans="2:2" x14ac:dyDescent="0.25">
      <c r="B521" s="159"/>
    </row>
    <row r="522" spans="2:2" x14ac:dyDescent="0.25">
      <c r="B522" s="159"/>
    </row>
    <row r="523" spans="2:2" x14ac:dyDescent="0.25">
      <c r="B523" s="159"/>
    </row>
    <row r="524" spans="2:2" x14ac:dyDescent="0.25">
      <c r="B524" s="159"/>
    </row>
    <row r="525" spans="2:2" x14ac:dyDescent="0.25">
      <c r="B525" s="159"/>
    </row>
    <row r="526" spans="2:2" x14ac:dyDescent="0.25">
      <c r="B526" s="159"/>
    </row>
    <row r="527" spans="2:2" x14ac:dyDescent="0.25">
      <c r="B527" s="159"/>
    </row>
    <row r="528" spans="2:2" x14ac:dyDescent="0.25">
      <c r="B528" s="159"/>
    </row>
    <row r="529" spans="2:2" x14ac:dyDescent="0.25">
      <c r="B529" s="159"/>
    </row>
    <row r="530" spans="2:2" x14ac:dyDescent="0.25">
      <c r="B530" s="159"/>
    </row>
    <row r="531" spans="2:2" x14ac:dyDescent="0.25">
      <c r="B531" s="159"/>
    </row>
    <row r="532" spans="2:2" x14ac:dyDescent="0.25">
      <c r="B532" s="159"/>
    </row>
    <row r="533" spans="2:2" x14ac:dyDescent="0.25">
      <c r="B533" s="159"/>
    </row>
    <row r="534" spans="2:2" x14ac:dyDescent="0.25">
      <c r="B534" s="159"/>
    </row>
    <row r="535" spans="2:2" x14ac:dyDescent="0.25">
      <c r="B535" s="159"/>
    </row>
    <row r="536" spans="2:2" x14ac:dyDescent="0.25">
      <c r="B536" s="159"/>
    </row>
    <row r="537" spans="2:2" x14ac:dyDescent="0.25">
      <c r="B537" s="159"/>
    </row>
    <row r="538" spans="2:2" x14ac:dyDescent="0.25">
      <c r="B538" s="159"/>
    </row>
  </sheetData>
  <protectedRanges>
    <protectedRange sqref="B22:H22" name="Plage2"/>
    <protectedRange sqref="A372:A401 B11:B12 B24 B28 B32:B33 B37:B38 G37 B60:B61 B41 G42:H43 B42:F44 B16:F17" name="Plage1"/>
    <protectedRange sqref="A64:A371" name="Plage1_3"/>
    <protectedRange sqref="B64:B371" name="Plage1_4"/>
    <protectedRange sqref="B5:B8" name="Plage1_1"/>
    <protectedRange sqref="B51:B52" name="Plage1_2"/>
    <protectedRange sqref="B53" name="Plage1_5"/>
  </protectedRanges>
  <sortState xmlns:xlrd2="http://schemas.microsoft.com/office/spreadsheetml/2017/richdata2" ref="A64:B371">
    <sortCondition ref="A64:A371"/>
  </sortState>
  <mergeCells count="3">
    <mergeCell ref="D52:H52"/>
    <mergeCell ref="D53:H53"/>
    <mergeCell ref="D51:H51"/>
  </mergeCells>
  <phoneticPr fontId="21" type="noConversion"/>
  <printOptions horizontalCentered="1"/>
  <pageMargins left="0" right="0" top="0" bottom="0" header="0.51181102362204722" footer="0.51181102362204722"/>
  <pageSetup paperSize="9" orientation="landscape" horizontalDpi="1200" verticalDpi="1200"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Feuil11">
    <tabColor rgb="FF00B050"/>
  </sheetPr>
  <dimension ref="A1:I343"/>
  <sheetViews>
    <sheetView zoomScaleNormal="100" workbookViewId="0">
      <selection activeCell="C22" sqref="C22"/>
    </sheetView>
  </sheetViews>
  <sheetFormatPr baseColWidth="10" defaultColWidth="11" defaultRowHeight="15" x14ac:dyDescent="0.25"/>
  <cols>
    <col min="1" max="1" width="9.375" style="13" customWidth="1"/>
    <col min="2" max="2" width="22.25" style="13" customWidth="1"/>
    <col min="3" max="3" width="11.75" style="13" customWidth="1"/>
    <col min="4" max="4" width="11.125" style="13" bestFit="1" customWidth="1"/>
    <col min="5" max="5" width="13" style="13" customWidth="1"/>
    <col min="6" max="7" width="12.375" style="13" customWidth="1"/>
    <col min="8" max="9" width="13" style="13" bestFit="1" customWidth="1"/>
    <col min="10" max="10" width="3.5" style="13" customWidth="1"/>
    <col min="11" max="16384" width="11" style="13"/>
  </cols>
  <sheetData>
    <row r="1" spans="1:9" ht="21" x14ac:dyDescent="0.25">
      <c r="A1" s="51" t="s">
        <v>559</v>
      </c>
      <c r="B1" s="42"/>
      <c r="C1" s="68"/>
      <c r="D1" s="68"/>
      <c r="E1" s="68"/>
      <c r="F1" s="68"/>
      <c r="G1" s="68"/>
      <c r="H1" s="68"/>
      <c r="I1" s="68"/>
    </row>
    <row r="2" spans="1:9" s="400" customFormat="1" ht="21" x14ac:dyDescent="0.25">
      <c r="A2" s="200" t="str">
        <f>Paramètres!B5</f>
        <v>décompte provisoire 2021</v>
      </c>
      <c r="B2" s="42"/>
      <c r="C2" s="404"/>
      <c r="D2" s="404"/>
      <c r="E2" s="404"/>
      <c r="F2" s="404"/>
      <c r="G2" s="404"/>
      <c r="H2" s="404"/>
      <c r="I2" s="404"/>
    </row>
    <row r="4" spans="1:9" x14ac:dyDescent="0.25">
      <c r="A4" s="120" t="s">
        <v>47</v>
      </c>
      <c r="B4" s="121"/>
      <c r="C4" s="122" t="s">
        <v>439</v>
      </c>
      <c r="D4" s="122" t="s">
        <v>396</v>
      </c>
      <c r="E4" s="68"/>
      <c r="F4" s="68"/>
      <c r="G4" s="68"/>
      <c r="H4" s="68"/>
      <c r="I4" s="68"/>
    </row>
    <row r="5" spans="1:9" x14ac:dyDescent="0.25">
      <c r="A5" s="75" t="s">
        <v>92</v>
      </c>
      <c r="B5" s="76"/>
      <c r="C5" s="11">
        <f>E324</f>
        <v>750554016.49490011</v>
      </c>
      <c r="D5" s="35"/>
      <c r="E5" s="68"/>
      <c r="F5" s="68"/>
      <c r="G5" s="68"/>
      <c r="H5" s="68"/>
      <c r="I5" s="68"/>
    </row>
    <row r="6" spans="1:9" x14ac:dyDescent="0.25">
      <c r="A6" s="81" t="s">
        <v>409</v>
      </c>
      <c r="B6" s="45"/>
      <c r="C6" s="10">
        <v>0</v>
      </c>
      <c r="D6" s="33">
        <f>C6/$C$324</f>
        <v>0</v>
      </c>
      <c r="E6" s="68"/>
      <c r="F6" s="68"/>
      <c r="G6" s="68"/>
      <c r="H6" s="68"/>
      <c r="I6" s="68"/>
    </row>
    <row r="7" spans="1:9" x14ac:dyDescent="0.25">
      <c r="A7" s="81" t="s">
        <v>408</v>
      </c>
      <c r="B7" s="45"/>
      <c r="C7" s="10">
        <f>Paramètres!B32</f>
        <v>7191649.1244711308</v>
      </c>
      <c r="D7" s="264">
        <f>C7/$C$324</f>
        <v>0.18025648253612173</v>
      </c>
      <c r="E7" s="68"/>
      <c r="F7" s="68"/>
      <c r="G7" s="68"/>
      <c r="H7" s="68"/>
      <c r="I7" s="68"/>
    </row>
    <row r="8" spans="1:9" x14ac:dyDescent="0.25">
      <c r="A8" s="81" t="s">
        <v>93</v>
      </c>
      <c r="B8" s="45"/>
      <c r="C8" s="10">
        <f>'I) Dépenses thématiques'!S314</f>
        <v>-179535407.57478699</v>
      </c>
      <c r="D8" s="264">
        <f>C8/$C$324</f>
        <v>-4.5</v>
      </c>
      <c r="E8" s="68"/>
      <c r="F8" s="68"/>
      <c r="G8" s="68"/>
      <c r="H8" s="68"/>
      <c r="I8" s="68"/>
    </row>
    <row r="9" spans="1:9" x14ac:dyDescent="0.25">
      <c r="A9" s="83" t="s">
        <v>271</v>
      </c>
      <c r="B9" s="111"/>
      <c r="C9" s="18">
        <f>Paramètres!B33</f>
        <v>-450000</v>
      </c>
      <c r="D9" s="264">
        <f>C9/$C$324</f>
        <v>-1.1279112167088651E-2</v>
      </c>
      <c r="E9" s="68"/>
      <c r="F9" s="68"/>
      <c r="G9" s="68"/>
      <c r="H9" s="68"/>
      <c r="I9" s="68"/>
    </row>
    <row r="10" spans="1:9" x14ac:dyDescent="0.25">
      <c r="A10" s="83" t="s">
        <v>349</v>
      </c>
      <c r="B10" s="111"/>
      <c r="C10" s="18">
        <f>SUM(C6:C9)</f>
        <v>-172793758.45031586</v>
      </c>
      <c r="D10" s="98">
        <f>SUM(D6:D9)</f>
        <v>-4.3310226296309668</v>
      </c>
      <c r="E10" s="68"/>
      <c r="F10" s="68"/>
      <c r="G10" s="68"/>
      <c r="H10" s="68"/>
      <c r="I10" s="68"/>
    </row>
    <row r="11" spans="1:9" x14ac:dyDescent="0.25">
      <c r="A11" s="75" t="s">
        <v>412</v>
      </c>
      <c r="B11" s="76"/>
      <c r="C11" s="18">
        <f>-SUM(C5:C9)</f>
        <v>-577760258.04458427</v>
      </c>
      <c r="D11" s="98">
        <f>C11/$C$324</f>
        <v>-14.48138390260211</v>
      </c>
      <c r="E11" s="68"/>
      <c r="F11" s="68"/>
      <c r="G11" s="68"/>
      <c r="H11" s="68"/>
      <c r="I11" s="68"/>
    </row>
    <row r="12" spans="1:9" x14ac:dyDescent="0.25">
      <c r="A12" s="75" t="s">
        <v>348</v>
      </c>
      <c r="B12" s="77"/>
      <c r="C12" s="412">
        <f>C10+C11</f>
        <v>-750554016.49490011</v>
      </c>
      <c r="D12" s="98">
        <f>D11+D10</f>
        <v>-18.812406532233076</v>
      </c>
      <c r="E12" s="68"/>
      <c r="F12" s="68"/>
      <c r="G12" s="68"/>
      <c r="H12" s="68"/>
      <c r="I12" s="68"/>
    </row>
    <row r="14" spans="1:9" ht="60" customHeight="1" x14ac:dyDescent="0.25">
      <c r="A14" s="581" t="s">
        <v>46</v>
      </c>
      <c r="B14" s="581" t="s">
        <v>94</v>
      </c>
      <c r="C14" s="604" t="s">
        <v>511</v>
      </c>
      <c r="D14" s="604" t="s">
        <v>297</v>
      </c>
      <c r="E14" s="64" t="s">
        <v>92</v>
      </c>
      <c r="F14" s="64" t="s">
        <v>347</v>
      </c>
      <c r="G14" s="64" t="s">
        <v>411</v>
      </c>
      <c r="H14" s="64" t="s">
        <v>289</v>
      </c>
      <c r="I14" s="420" t="s">
        <v>395</v>
      </c>
    </row>
    <row r="15" spans="1:9" x14ac:dyDescent="0.25">
      <c r="A15" s="582"/>
      <c r="B15" s="582"/>
      <c r="C15" s="604"/>
      <c r="D15" s="604"/>
      <c r="E15" s="374">
        <f>-D10+F15+G15</f>
        <v>18.812406532233066</v>
      </c>
      <c r="F15" s="375">
        <f>F324/C324</f>
        <v>10.959532884340296</v>
      </c>
      <c r="G15" s="375">
        <f>G324/C324</f>
        <v>3.521851018261803</v>
      </c>
      <c r="H15" s="375"/>
      <c r="I15" s="116"/>
    </row>
    <row r="16" spans="1:9" x14ac:dyDescent="0.25">
      <c r="A16" s="46">
        <f>'A) Base RI'!A7</f>
        <v>5401</v>
      </c>
      <c r="B16" s="291" t="str">
        <f>'A) Base RI'!B7</f>
        <v>Aigle</v>
      </c>
      <c r="C16" s="31">
        <f>'D) Ecrêtage'!C6</f>
        <v>280991.46517676767</v>
      </c>
      <c r="D16" s="14">
        <f>'A) Base RI'!V7</f>
        <v>10828</v>
      </c>
      <c r="E16" s="10">
        <f>C16*E$15</f>
        <v>5286125.6749931639</v>
      </c>
      <c r="F16" s="14">
        <f>'F) Population'!K9</f>
        <v>5767172.6358148884</v>
      </c>
      <c r="G16" s="10">
        <f>'G) Solidarité'!I6</f>
        <v>4237132.2774870051</v>
      </c>
      <c r="H16" s="14">
        <f>F16+G16</f>
        <v>10004304.913301893</v>
      </c>
      <c r="I16" s="55">
        <f>E16-H16</f>
        <v>-4718179.2383087287</v>
      </c>
    </row>
    <row r="17" spans="1:9" x14ac:dyDescent="0.25">
      <c r="A17" s="49">
        <f>'A) Base RI'!A8</f>
        <v>5402</v>
      </c>
      <c r="B17" s="32" t="str">
        <f>'A) Base RI'!B8</f>
        <v>Bex</v>
      </c>
      <c r="C17" s="31">
        <f>'D) Ecrêtage'!C7</f>
        <v>192706.98084507044</v>
      </c>
      <c r="D17" s="14">
        <f>'A) Base RI'!V8</f>
        <v>8063</v>
      </c>
      <c r="E17" s="10">
        <f t="shared" ref="E17:E79" si="0">C17*E$15</f>
        <v>3625282.0652567153</v>
      </c>
      <c r="F17" s="14">
        <f>'F) Population'!K10</f>
        <v>3655430.1810865188</v>
      </c>
      <c r="G17" s="10">
        <f>'G) Solidarité'!I7</f>
        <v>3984408.1453134539</v>
      </c>
      <c r="H17" s="14">
        <f t="shared" ref="H17:H79" si="1">F17+G17</f>
        <v>7639838.3263999727</v>
      </c>
      <c r="I17" s="55">
        <f t="shared" ref="I17:I79" si="2">E17-H17</f>
        <v>-4014556.2611432574</v>
      </c>
    </row>
    <row r="18" spans="1:9" x14ac:dyDescent="0.25">
      <c r="A18" s="49">
        <f>'A) Base RI'!A9</f>
        <v>5403</v>
      </c>
      <c r="B18" s="32" t="str">
        <f>'A) Base RI'!B9</f>
        <v>Chessel</v>
      </c>
      <c r="C18" s="31">
        <f>'D) Ecrêtage'!C8</f>
        <v>12090.332702702703</v>
      </c>
      <c r="D18" s="14">
        <f>'A) Base RI'!V9</f>
        <v>497</v>
      </c>
      <c r="E18" s="10">
        <f t="shared" si="0"/>
        <v>227448.25391319537</v>
      </c>
      <c r="F18" s="14">
        <f>'F) Population'!K11</f>
        <v>61999.999999999993</v>
      </c>
      <c r="G18" s="10">
        <f>'G) Solidarité'!I8</f>
        <v>262151.26895699307</v>
      </c>
      <c r="H18" s="14">
        <f t="shared" si="1"/>
        <v>324151.26895699307</v>
      </c>
      <c r="I18" s="55">
        <f t="shared" si="2"/>
        <v>-96703.015043797699</v>
      </c>
    </row>
    <row r="19" spans="1:9" x14ac:dyDescent="0.25">
      <c r="A19" s="49">
        <f>'A) Base RI'!A10</f>
        <v>5404</v>
      </c>
      <c r="B19" s="32" t="str">
        <f>'A) Base RI'!B10</f>
        <v>Corbeyrier</v>
      </c>
      <c r="C19" s="31">
        <f>'D) Ecrêtage'!C9</f>
        <v>11581.118783783784</v>
      </c>
      <c r="D19" s="14">
        <f>'A) Base RI'!V10</f>
        <v>439</v>
      </c>
      <c r="E19" s="10">
        <f t="shared" si="0"/>
        <v>217868.71465862112</v>
      </c>
      <c r="F19" s="14">
        <f>'F) Population'!K12</f>
        <v>54764.587525150899</v>
      </c>
      <c r="G19" s="10">
        <f>'G) Solidarité'!I9</f>
        <v>211821.32828094804</v>
      </c>
      <c r="H19" s="14">
        <f t="shared" si="1"/>
        <v>266585.91580609896</v>
      </c>
      <c r="I19" s="55">
        <f t="shared" si="2"/>
        <v>-48717.201147477841</v>
      </c>
    </row>
    <row r="20" spans="1:9" x14ac:dyDescent="0.25">
      <c r="A20" s="49">
        <f>'A) Base RI'!A11</f>
        <v>5405</v>
      </c>
      <c r="B20" s="32" t="str">
        <f>'A) Base RI'!B11</f>
        <v>Gryon</v>
      </c>
      <c r="C20" s="31">
        <f>'D) Ecrêtage'!C10</f>
        <v>78111.135102040818</v>
      </c>
      <c r="D20" s="14">
        <f>'A) Base RI'!V11</f>
        <v>1382</v>
      </c>
      <c r="E20" s="10">
        <f t="shared" si="0"/>
        <v>1469458.4282337723</v>
      </c>
      <c r="F20" s="14">
        <f>'F) Population'!K13</f>
        <v>258179.476861167</v>
      </c>
      <c r="G20" s="10">
        <f>'G) Solidarité'!I10</f>
        <v>0</v>
      </c>
      <c r="H20" s="14">
        <f t="shared" si="1"/>
        <v>258179.476861167</v>
      </c>
      <c r="I20" s="55">
        <f t="shared" si="2"/>
        <v>1211278.9513726053</v>
      </c>
    </row>
    <row r="21" spans="1:9" x14ac:dyDescent="0.25">
      <c r="A21" s="49">
        <f>'A) Base RI'!A12</f>
        <v>5406</v>
      </c>
      <c r="B21" s="32" t="str">
        <f>'A) Base RI'!B12</f>
        <v>Lavey-Morcles</v>
      </c>
      <c r="C21" s="31">
        <f>'D) Ecrêtage'!C11</f>
        <v>21513.822183969878</v>
      </c>
      <c r="D21" s="14">
        <f>'A) Base RI'!V12</f>
        <v>966</v>
      </c>
      <c r="E21" s="10">
        <f t="shared" si="0"/>
        <v>404726.76898701559</v>
      </c>
      <c r="F21" s="14">
        <f>'F) Population'!K14</f>
        <v>120507.04225352111</v>
      </c>
      <c r="G21" s="10">
        <f>'G) Solidarité'!I11</f>
        <v>516262.45021505322</v>
      </c>
      <c r="H21" s="14">
        <f t="shared" si="1"/>
        <v>636769.49246857432</v>
      </c>
      <c r="I21" s="55">
        <f t="shared" si="2"/>
        <v>-232042.72348155873</v>
      </c>
    </row>
    <row r="22" spans="1:9" x14ac:dyDescent="0.25">
      <c r="A22" s="49">
        <f>'A) Base RI'!A13</f>
        <v>5407</v>
      </c>
      <c r="B22" s="32" t="str">
        <f>'A) Base RI'!B13</f>
        <v>Leysin</v>
      </c>
      <c r="C22" s="31">
        <f>'D) Ecrêtage'!C12</f>
        <v>90687.443803418792</v>
      </c>
      <c r="D22" s="14">
        <f>'A) Base RI'!V13</f>
        <v>3637</v>
      </c>
      <c r="E22" s="10">
        <f t="shared" si="0"/>
        <v>1706049.0601989548</v>
      </c>
      <c r="F22" s="14">
        <f>'F) Population'!K15</f>
        <v>1141199.195171026</v>
      </c>
      <c r="G22" s="10">
        <f>'G) Solidarité'!I12</f>
        <v>2077619.1370943724</v>
      </c>
      <c r="H22" s="14">
        <f t="shared" si="1"/>
        <v>3218818.3322653985</v>
      </c>
      <c r="I22" s="55">
        <f t="shared" si="2"/>
        <v>-1512769.2720664437</v>
      </c>
    </row>
    <row r="23" spans="1:9" x14ac:dyDescent="0.25">
      <c r="A23" s="49">
        <f>'A) Base RI'!A14</f>
        <v>5408</v>
      </c>
      <c r="B23" s="32" t="str">
        <f>'A) Base RI'!B14</f>
        <v>Noville</v>
      </c>
      <c r="C23" s="31">
        <f>'D) Ecrêtage'!C13</f>
        <v>41389.442632696395</v>
      </c>
      <c r="D23" s="14">
        <f>'A) Base RI'!V14</f>
        <v>1169</v>
      </c>
      <c r="E23" s="10">
        <f t="shared" si="0"/>
        <v>778635.02094882342</v>
      </c>
      <c r="F23" s="14">
        <f>'F) Population'!K16</f>
        <v>183779.476861167</v>
      </c>
      <c r="G23" s="10">
        <f>'G) Solidarité'!I13</f>
        <v>374875.16986055719</v>
      </c>
      <c r="H23" s="14">
        <f t="shared" si="1"/>
        <v>558654.64672172419</v>
      </c>
      <c r="I23" s="55">
        <f t="shared" si="2"/>
        <v>219980.37422709924</v>
      </c>
    </row>
    <row r="24" spans="1:9" x14ac:dyDescent="0.25">
      <c r="A24" s="49">
        <f>'A) Base RI'!A15</f>
        <v>5409</v>
      </c>
      <c r="B24" s="32" t="str">
        <f>'A) Base RI'!B15</f>
        <v>Ollon</v>
      </c>
      <c r="C24" s="31">
        <f>'D) Ecrêtage'!C14</f>
        <v>428262.96074660635</v>
      </c>
      <c r="D24" s="14">
        <f>'A) Base RI'!V15</f>
        <v>7904</v>
      </c>
      <c r="E24" s="10">
        <f t="shared" si="0"/>
        <v>8056656.92026293</v>
      </c>
      <c r="F24" s="14">
        <f>'F) Population'!K17</f>
        <v>3560222.1327967802</v>
      </c>
      <c r="G24" s="10">
        <f>'G) Solidarité'!I14</f>
        <v>0</v>
      </c>
      <c r="H24" s="14">
        <f t="shared" si="1"/>
        <v>3560222.1327967802</v>
      </c>
      <c r="I24" s="55">
        <f t="shared" si="2"/>
        <v>4496434.7874661498</v>
      </c>
    </row>
    <row r="25" spans="1:9" x14ac:dyDescent="0.25">
      <c r="A25" s="49">
        <f>'A) Base RI'!A16</f>
        <v>5410</v>
      </c>
      <c r="B25" s="32" t="str">
        <f>'A) Base RI'!B16</f>
        <v>Ormont-Dessous</v>
      </c>
      <c r="C25" s="31">
        <f>'D) Ecrêtage'!C15</f>
        <v>38607.205194805196</v>
      </c>
      <c r="D25" s="14">
        <f>'A) Base RI'!V16</f>
        <v>1162</v>
      </c>
      <c r="E25" s="10">
        <f t="shared" si="0"/>
        <v>726294.43919801561</v>
      </c>
      <c r="F25" s="14">
        <f>'F) Population'!K18</f>
        <v>181334.40643863179</v>
      </c>
      <c r="G25" s="10">
        <f>'G) Solidarité'!I15</f>
        <v>418586.92786856712</v>
      </c>
      <c r="H25" s="14">
        <f t="shared" si="1"/>
        <v>599921.33430719888</v>
      </c>
      <c r="I25" s="55">
        <f t="shared" si="2"/>
        <v>126373.10489081673</v>
      </c>
    </row>
    <row r="26" spans="1:9" x14ac:dyDescent="0.25">
      <c r="A26" s="49">
        <f>'A) Base RI'!A17</f>
        <v>5411</v>
      </c>
      <c r="B26" s="32" t="str">
        <f>'A) Base RI'!B17</f>
        <v>Ormont-Dessus</v>
      </c>
      <c r="C26" s="31">
        <f>'D) Ecrêtage'!C16</f>
        <v>77411.411228070181</v>
      </c>
      <c r="D26" s="14">
        <f>'A) Base RI'!V17</f>
        <v>1451</v>
      </c>
      <c r="E26" s="10">
        <f t="shared" si="0"/>
        <v>1456294.9382563275</v>
      </c>
      <c r="F26" s="14">
        <f>'F) Population'!K19</f>
        <v>282280.88531187118</v>
      </c>
      <c r="G26" s="10">
        <f>'G) Solidarité'!I16</f>
        <v>0</v>
      </c>
      <c r="H26" s="14">
        <f t="shared" si="1"/>
        <v>282280.88531187118</v>
      </c>
      <c r="I26" s="55">
        <f t="shared" si="2"/>
        <v>1174014.0529444562</v>
      </c>
    </row>
    <row r="27" spans="1:9" x14ac:dyDescent="0.25">
      <c r="A27" s="49">
        <f>'A) Base RI'!A18</f>
        <v>5412</v>
      </c>
      <c r="B27" s="32" t="str">
        <f>'A) Base RI'!B18</f>
        <v>Rennaz</v>
      </c>
      <c r="C27" s="31">
        <f>'D) Ecrêtage'!C17</f>
        <v>28875.999420289856</v>
      </c>
      <c r="D27" s="14">
        <f>'A) Base RI'!V18</f>
        <v>883</v>
      </c>
      <c r="E27" s="10">
        <f t="shared" si="0"/>
        <v>543227.0401190191</v>
      </c>
      <c r="F27" s="14">
        <f>'F) Population'!K20</f>
        <v>110152.91750503017</v>
      </c>
      <c r="G27" s="10">
        <f>'G) Solidarité'!I17</f>
        <v>264203.29708198947</v>
      </c>
      <c r="H27" s="14">
        <f t="shared" si="1"/>
        <v>374356.21458701964</v>
      </c>
      <c r="I27" s="55">
        <f t="shared" si="2"/>
        <v>168870.82553199946</v>
      </c>
    </row>
    <row r="28" spans="1:9" x14ac:dyDescent="0.25">
      <c r="A28" s="49">
        <f>'A) Base RI'!A19</f>
        <v>5413</v>
      </c>
      <c r="B28" s="32" t="str">
        <f>'A) Base RI'!B19</f>
        <v>Roche</v>
      </c>
      <c r="C28" s="31">
        <f>'D) Ecrêtage'!C18</f>
        <v>43148.541249999987</v>
      </c>
      <c r="D28" s="14">
        <f>'A) Base RI'!V19</f>
        <v>1874</v>
      </c>
      <c r="E28" s="10">
        <f t="shared" si="0"/>
        <v>811727.89926782763</v>
      </c>
      <c r="F28" s="14">
        <f>'F) Population'!K21</f>
        <v>430032.99798792752</v>
      </c>
      <c r="G28" s="10">
        <f>'G) Solidarité'!I18</f>
        <v>879767.60795994801</v>
      </c>
      <c r="H28" s="14">
        <f t="shared" si="1"/>
        <v>1309800.6059478754</v>
      </c>
      <c r="I28" s="55">
        <f t="shared" si="2"/>
        <v>-498072.70668004779</v>
      </c>
    </row>
    <row r="29" spans="1:9" x14ac:dyDescent="0.25">
      <c r="A29" s="49">
        <f>'A) Base RI'!A20</f>
        <v>5414</v>
      </c>
      <c r="B29" s="32" t="str">
        <f>'A) Base RI'!B20</f>
        <v>Villeneuve</v>
      </c>
      <c r="C29" s="31">
        <f>'D) Ecrêtage'!C19</f>
        <v>185712.20711111111</v>
      </c>
      <c r="D29" s="14">
        <f>'A) Base RI'!V20</f>
        <v>5921</v>
      </c>
      <c r="E29" s="10">
        <f t="shared" si="0"/>
        <v>3493693.5381724867</v>
      </c>
      <c r="F29" s="14">
        <f>'F) Population'!K22</f>
        <v>2372816.0965794767</v>
      </c>
      <c r="G29" s="10">
        <f>'G) Solidarité'!I19</f>
        <v>1839622.5280043366</v>
      </c>
      <c r="H29" s="14">
        <f t="shared" si="1"/>
        <v>4212438.6245838134</v>
      </c>
      <c r="I29" s="55">
        <f t="shared" si="2"/>
        <v>-718745.08641132666</v>
      </c>
    </row>
    <row r="30" spans="1:9" x14ac:dyDescent="0.25">
      <c r="A30" s="49">
        <f>'A) Base RI'!A21</f>
        <v>5415</v>
      </c>
      <c r="B30" s="32" t="str">
        <f>'A) Base RI'!B21</f>
        <v>Yvorne</v>
      </c>
      <c r="C30" s="31">
        <f>'D) Ecrêtage'!C20</f>
        <v>35910.274638694631</v>
      </c>
      <c r="D30" s="14">
        <f>'A) Base RI'!V21</f>
        <v>1038</v>
      </c>
      <c r="E30" s="10">
        <f t="shared" si="0"/>
        <v>675558.68518726225</v>
      </c>
      <c r="F30" s="14">
        <f>'F) Population'!K23</f>
        <v>138021.73038229375</v>
      </c>
      <c r="G30" s="10">
        <f>'G) Solidarité'!I20</f>
        <v>293333.10866827762</v>
      </c>
      <c r="H30" s="14">
        <f t="shared" si="1"/>
        <v>431354.83905057138</v>
      </c>
      <c r="I30" s="55">
        <f t="shared" si="2"/>
        <v>244203.84613669087</v>
      </c>
    </row>
    <row r="31" spans="1:9" x14ac:dyDescent="0.25">
      <c r="A31" s="49">
        <f>'A) Base RI'!A22</f>
        <v>5421</v>
      </c>
      <c r="B31" s="32" t="str">
        <f>'A) Base RI'!B22</f>
        <v>Apples</v>
      </c>
      <c r="C31" s="31">
        <f>'D) Ecrêtage'!C21</f>
        <v>68531.648243243253</v>
      </c>
      <c r="D31" s="14">
        <f>'A) Base RI'!V22</f>
        <v>1469</v>
      </c>
      <c r="E31" s="10">
        <f t="shared" si="0"/>
        <v>1289245.2270758881</v>
      </c>
      <c r="F31" s="14">
        <f>'F) Population'!K24</f>
        <v>288568.20925553318</v>
      </c>
      <c r="G31" s="10">
        <f>'G) Solidarité'!I21</f>
        <v>57022.956118452319</v>
      </c>
      <c r="H31" s="14">
        <f t="shared" si="1"/>
        <v>345591.16537398548</v>
      </c>
      <c r="I31" s="55">
        <f t="shared" si="2"/>
        <v>943654.06170190265</v>
      </c>
    </row>
    <row r="32" spans="1:9" x14ac:dyDescent="0.25">
      <c r="A32" s="49">
        <f>'A) Base RI'!A23</f>
        <v>5422</v>
      </c>
      <c r="B32" s="32" t="str">
        <f>'A) Base RI'!B23</f>
        <v>Aubonne</v>
      </c>
      <c r="C32" s="31">
        <f>'D) Ecrêtage'!C22</f>
        <v>364706.48499999999</v>
      </c>
      <c r="D32" s="14">
        <f>'A) Base RI'!V23</f>
        <v>3781</v>
      </c>
      <c r="E32" s="10">
        <f t="shared" si="0"/>
        <v>6861006.6607617605</v>
      </c>
      <c r="F32" s="14">
        <f>'F) Population'!K25</f>
        <v>1213054.3259557341</v>
      </c>
      <c r="G32" s="10">
        <f>'G) Solidarité'!I22</f>
        <v>0</v>
      </c>
      <c r="H32" s="14">
        <f t="shared" si="1"/>
        <v>1213054.3259557341</v>
      </c>
      <c r="I32" s="55">
        <f t="shared" si="2"/>
        <v>5647952.3348060269</v>
      </c>
    </row>
    <row r="33" spans="1:9" x14ac:dyDescent="0.25">
      <c r="A33" s="49">
        <f>'A) Base RI'!A24</f>
        <v>5423</v>
      </c>
      <c r="B33" s="32" t="str">
        <f>'A) Base RI'!B24</f>
        <v>Ballens</v>
      </c>
      <c r="C33" s="31">
        <f>'D) Ecrêtage'!C23</f>
        <v>16194.440273972601</v>
      </c>
      <c r="D33" s="14">
        <f>'A) Base RI'!V24</f>
        <v>567</v>
      </c>
      <c r="E33" s="10">
        <f t="shared" si="0"/>
        <v>304656.39399594039</v>
      </c>
      <c r="F33" s="14">
        <f>'F) Population'!K26</f>
        <v>70732.394366197172</v>
      </c>
      <c r="G33" s="10">
        <f>'G) Solidarité'!I23</f>
        <v>239898.61211451338</v>
      </c>
      <c r="H33" s="14">
        <f t="shared" si="1"/>
        <v>310631.00648071058</v>
      </c>
      <c r="I33" s="55">
        <f t="shared" si="2"/>
        <v>-5974.6124847701867</v>
      </c>
    </row>
    <row r="34" spans="1:9" x14ac:dyDescent="0.25">
      <c r="A34" s="49">
        <f>'A) Base RI'!A25</f>
        <v>5424</v>
      </c>
      <c r="B34" s="32" t="str">
        <f>'A) Base RI'!B25</f>
        <v>Berolle</v>
      </c>
      <c r="C34" s="31">
        <f>'D) Ecrêtage'!C24</f>
        <v>8301.8684768211915</v>
      </c>
      <c r="D34" s="14">
        <f>'A) Base RI'!V25</f>
        <v>308</v>
      </c>
      <c r="E34" s="10">
        <f t="shared" si="0"/>
        <v>156178.12476309075</v>
      </c>
      <c r="F34" s="14">
        <f>'F) Population'!K27</f>
        <v>38422.535211267605</v>
      </c>
      <c r="G34" s="10">
        <f>'G) Solidarité'!I24</f>
        <v>150674.49095683722</v>
      </c>
      <c r="H34" s="14">
        <f t="shared" si="1"/>
        <v>189097.02616810484</v>
      </c>
      <c r="I34" s="55">
        <f t="shared" si="2"/>
        <v>-32918.901405014098</v>
      </c>
    </row>
    <row r="35" spans="1:9" x14ac:dyDescent="0.25">
      <c r="A35" s="49">
        <f>'A) Base RI'!A26</f>
        <v>5425</v>
      </c>
      <c r="B35" s="32" t="str">
        <f>'A) Base RI'!B26</f>
        <v>Bière</v>
      </c>
      <c r="C35" s="31">
        <f>'D) Ecrêtage'!C25</f>
        <v>44230.498130934531</v>
      </c>
      <c r="D35" s="14">
        <f>'A) Base RI'!V26</f>
        <v>1634</v>
      </c>
      <c r="E35" s="10">
        <f t="shared" si="0"/>
        <v>832082.11196231516</v>
      </c>
      <c r="F35" s="14">
        <f>'F) Population'!K28</f>
        <v>346202.01207243459</v>
      </c>
      <c r="G35" s="10">
        <f>'G) Solidarité'!I25</f>
        <v>664077.10811498109</v>
      </c>
      <c r="H35" s="14">
        <f t="shared" si="1"/>
        <v>1010279.1201874157</v>
      </c>
      <c r="I35" s="55">
        <f t="shared" si="2"/>
        <v>-178197.00822510058</v>
      </c>
    </row>
    <row r="36" spans="1:9" x14ac:dyDescent="0.25">
      <c r="A36" s="49">
        <f>'A) Base RI'!A27</f>
        <v>5426</v>
      </c>
      <c r="B36" s="32" t="str">
        <f>'A) Base RI'!B27</f>
        <v>Bougy-Villars</v>
      </c>
      <c r="C36" s="31">
        <f>'D) Ecrêtage'!C26</f>
        <v>53043.718423772611</v>
      </c>
      <c r="D36" s="14">
        <f>'A) Base RI'!V27</f>
        <v>497</v>
      </c>
      <c r="E36" s="10">
        <f t="shared" si="0"/>
        <v>997879.99496931129</v>
      </c>
      <c r="F36" s="14">
        <f>'F) Population'!K29</f>
        <v>61999.999999999993</v>
      </c>
      <c r="G36" s="10">
        <f>'G) Solidarité'!I26</f>
        <v>0</v>
      </c>
      <c r="H36" s="14">
        <f t="shared" si="1"/>
        <v>61999.999999999993</v>
      </c>
      <c r="I36" s="55">
        <f t="shared" si="2"/>
        <v>935879.99496931129</v>
      </c>
    </row>
    <row r="37" spans="1:9" x14ac:dyDescent="0.25">
      <c r="A37" s="49">
        <f>'A) Base RI'!A28</f>
        <v>5427</v>
      </c>
      <c r="B37" s="32" t="str">
        <f>'A) Base RI'!B28</f>
        <v>Féchy</v>
      </c>
      <c r="C37" s="31">
        <f>'D) Ecrêtage'!C27</f>
        <v>88218.508882211536</v>
      </c>
      <c r="D37" s="14">
        <f>'A) Base RI'!V28</f>
        <v>893</v>
      </c>
      <c r="E37" s="10">
        <f t="shared" si="0"/>
        <v>1659602.452759577</v>
      </c>
      <c r="F37" s="14">
        <f>'F) Population'!K30</f>
        <v>111400.40241448692</v>
      </c>
      <c r="G37" s="10">
        <f>'G) Solidarité'!I27</f>
        <v>0</v>
      </c>
      <c r="H37" s="14">
        <f t="shared" si="1"/>
        <v>111400.40241448692</v>
      </c>
      <c r="I37" s="55">
        <f t="shared" si="2"/>
        <v>1548202.05034509</v>
      </c>
    </row>
    <row r="38" spans="1:9" x14ac:dyDescent="0.25">
      <c r="A38" s="49">
        <f>'A) Base RI'!A29</f>
        <v>5428</v>
      </c>
      <c r="B38" s="32" t="str">
        <f>'A) Base RI'!B29</f>
        <v>Gimel</v>
      </c>
      <c r="C38" s="31">
        <f>'D) Ecrêtage'!C28</f>
        <v>70558.698881431759</v>
      </c>
      <c r="D38" s="14">
        <f>'A) Base RI'!V29</f>
        <v>2402</v>
      </c>
      <c r="E38" s="10">
        <f t="shared" si="0"/>
        <v>1327378.9277429127</v>
      </c>
      <c r="F38" s="14">
        <f>'F) Population'!K31</f>
        <v>614461.16700201202</v>
      </c>
      <c r="G38" s="10">
        <f>'G) Solidarité'!I28</f>
        <v>1015143.0561025382</v>
      </c>
      <c r="H38" s="14">
        <f t="shared" si="1"/>
        <v>1629604.2231045503</v>
      </c>
      <c r="I38" s="55">
        <f t="shared" si="2"/>
        <v>-302225.2953616376</v>
      </c>
    </row>
    <row r="39" spans="1:9" x14ac:dyDescent="0.25">
      <c r="A39" s="49">
        <f>'A) Base RI'!A30</f>
        <v>5429</v>
      </c>
      <c r="B39" s="32" t="str">
        <f>'A) Base RI'!B30</f>
        <v>Longirod</v>
      </c>
      <c r="C39" s="31">
        <f>'D) Ecrêtage'!C29</f>
        <v>18574.452387096771</v>
      </c>
      <c r="D39" s="14">
        <f>'A) Base RI'!V30</f>
        <v>520</v>
      </c>
      <c r="E39" s="10">
        <f t="shared" si="0"/>
        <v>349430.14941967139</v>
      </c>
      <c r="F39" s="14">
        <f>'F) Population'!K32</f>
        <v>64869.215291750501</v>
      </c>
      <c r="G39" s="10">
        <f>'G) Solidarité'!I29</f>
        <v>158609.29266691758</v>
      </c>
      <c r="H39" s="14">
        <f t="shared" si="1"/>
        <v>223478.50795866808</v>
      </c>
      <c r="I39" s="55">
        <f t="shared" si="2"/>
        <v>125951.64146100331</v>
      </c>
    </row>
    <row r="40" spans="1:9" x14ac:dyDescent="0.25">
      <c r="A40" s="49">
        <f>'A) Base RI'!A31</f>
        <v>5430</v>
      </c>
      <c r="B40" s="32" t="str">
        <f>'A) Base RI'!B31</f>
        <v>Marchissy</v>
      </c>
      <c r="C40" s="31">
        <f>'D) Ecrêtage'!C30</f>
        <v>15580.981548387101</v>
      </c>
      <c r="D40" s="14">
        <f>'A) Base RI'!V31</f>
        <v>485</v>
      </c>
      <c r="E40" s="10">
        <f t="shared" si="0"/>
        <v>293115.75905948033</v>
      </c>
      <c r="F40" s="14">
        <f>'F) Population'!K33</f>
        <v>60503.018108651908</v>
      </c>
      <c r="G40" s="10">
        <f>'G) Solidarité'!I30</f>
        <v>189784.56479980383</v>
      </c>
      <c r="H40" s="14">
        <f t="shared" si="1"/>
        <v>250287.58290845575</v>
      </c>
      <c r="I40" s="55">
        <f t="shared" si="2"/>
        <v>42828.176151024585</v>
      </c>
    </row>
    <row r="41" spans="1:9" x14ac:dyDescent="0.25">
      <c r="A41" s="49">
        <f>'A) Base RI'!A32</f>
        <v>5431</v>
      </c>
      <c r="B41" s="32" t="str">
        <f>'A) Base RI'!B32</f>
        <v>Mollens</v>
      </c>
      <c r="C41" s="31">
        <f>'D) Ecrêtage'!C31</f>
        <v>10464.972567567567</v>
      </c>
      <c r="D41" s="14">
        <f>'A) Base RI'!V32</f>
        <v>319</v>
      </c>
      <c r="E41" s="10">
        <f t="shared" si="0"/>
        <v>196871.31828974793</v>
      </c>
      <c r="F41" s="14">
        <f>'F) Population'!K34</f>
        <v>39794.768611670021</v>
      </c>
      <c r="G41" s="10">
        <f>'G) Solidarité'!I31</f>
        <v>109060.5926321578</v>
      </c>
      <c r="H41" s="14">
        <f t="shared" si="1"/>
        <v>148855.36124382782</v>
      </c>
      <c r="I41" s="55">
        <f t="shared" si="2"/>
        <v>48015.957045920106</v>
      </c>
    </row>
    <row r="42" spans="1:9" x14ac:dyDescent="0.25">
      <c r="A42" s="49">
        <f>'A) Base RI'!A33</f>
        <v>5434</v>
      </c>
      <c r="B42" s="32" t="str">
        <f>'A) Base RI'!B33</f>
        <v>Saint-George</v>
      </c>
      <c r="C42" s="31">
        <f>'D) Ecrêtage'!C32</f>
        <v>43544.748513189443</v>
      </c>
      <c r="D42" s="14">
        <f>'A) Base RI'!V33</f>
        <v>1072</v>
      </c>
      <c r="E42" s="10">
        <f t="shared" si="0"/>
        <v>819181.51137397112</v>
      </c>
      <c r="F42" s="14">
        <f>'F) Population'!K35</f>
        <v>149897.78672032192</v>
      </c>
      <c r="G42" s="10">
        <f>'G) Solidarité'!I32</f>
        <v>161543.93359108653</v>
      </c>
      <c r="H42" s="14">
        <f t="shared" si="1"/>
        <v>311441.72031140846</v>
      </c>
      <c r="I42" s="55">
        <f t="shared" si="2"/>
        <v>507739.79106256267</v>
      </c>
    </row>
    <row r="43" spans="1:9" x14ac:dyDescent="0.25">
      <c r="A43" s="49">
        <f>'A) Base RI'!A34</f>
        <v>5435</v>
      </c>
      <c r="B43" s="32" t="str">
        <f>'A) Base RI'!B34</f>
        <v>Saint-Livres</v>
      </c>
      <c r="C43" s="31">
        <f>'D) Ecrêtage'!C33</f>
        <v>25854.309855072468</v>
      </c>
      <c r="D43" s="14">
        <f>'A) Base RI'!V34</f>
        <v>674</v>
      </c>
      <c r="E43" s="10">
        <f t="shared" si="0"/>
        <v>486381.78760394303</v>
      </c>
      <c r="F43" s="14">
        <f>'F) Population'!K36</f>
        <v>84080.482897384296</v>
      </c>
      <c r="G43" s="10">
        <f>'G) Solidarité'!I33</f>
        <v>129106.20807065447</v>
      </c>
      <c r="H43" s="14">
        <f t="shared" si="1"/>
        <v>213186.69096803875</v>
      </c>
      <c r="I43" s="55">
        <f t="shared" si="2"/>
        <v>273195.09663590428</v>
      </c>
    </row>
    <row r="44" spans="1:9" x14ac:dyDescent="0.25">
      <c r="A44" s="49">
        <f>'A) Base RI'!A35</f>
        <v>5436</v>
      </c>
      <c r="B44" s="32" t="str">
        <f>'A) Base RI'!B35</f>
        <v>Saint-Oyens</v>
      </c>
      <c r="C44" s="31">
        <f>'D) Ecrêtage'!C34</f>
        <v>16868.339629629631</v>
      </c>
      <c r="D44" s="14">
        <f>'A) Base RI'!V35</f>
        <v>458</v>
      </c>
      <c r="E44" s="10">
        <f t="shared" si="0"/>
        <v>317334.06263637036</v>
      </c>
      <c r="F44" s="14">
        <f>'F) Population'!K37</f>
        <v>57134.80885311871</v>
      </c>
      <c r="G44" s="10">
        <f>'G) Solidarité'!I34</f>
        <v>139264.96277811323</v>
      </c>
      <c r="H44" s="14">
        <f t="shared" si="1"/>
        <v>196399.77163123194</v>
      </c>
      <c r="I44" s="55">
        <f t="shared" si="2"/>
        <v>120934.29100513842</v>
      </c>
    </row>
    <row r="45" spans="1:9" x14ac:dyDescent="0.25">
      <c r="A45" s="49">
        <f>'A) Base RI'!A36</f>
        <v>5437</v>
      </c>
      <c r="B45" s="32" t="str">
        <f>'A) Base RI'!B36</f>
        <v>Saubraz</v>
      </c>
      <c r="C45" s="31">
        <f>'D) Ecrêtage'!C35</f>
        <v>13551.757374999997</v>
      </c>
      <c r="D45" s="14">
        <f>'A) Base RI'!V36</f>
        <v>444</v>
      </c>
      <c r="E45" s="10">
        <f t="shared" si="0"/>
        <v>254941.16896468759</v>
      </c>
      <c r="F45" s="14">
        <f>'F) Population'!K38</f>
        <v>55388.329979879272</v>
      </c>
      <c r="G45" s="10">
        <f>'G) Solidarité'!I35</f>
        <v>203346.23592483858</v>
      </c>
      <c r="H45" s="14">
        <f t="shared" si="1"/>
        <v>258734.56590471783</v>
      </c>
      <c r="I45" s="55">
        <f t="shared" si="2"/>
        <v>-3793.3969400302449</v>
      </c>
    </row>
    <row r="46" spans="1:9" x14ac:dyDescent="0.25">
      <c r="A46" s="49">
        <f>'A) Base RI'!A37</f>
        <v>5451</v>
      </c>
      <c r="B46" s="32" t="str">
        <f>'A) Base RI'!B37</f>
        <v>Avenches</v>
      </c>
      <c r="C46" s="31">
        <f>'D) Ecrêtage'!C36</f>
        <v>137890.8513283208</v>
      </c>
      <c r="D46" s="14">
        <f>'A) Base RI'!V37</f>
        <v>4616</v>
      </c>
      <c r="E46" s="10">
        <f t="shared" si="0"/>
        <v>2594058.7522640806</v>
      </c>
      <c r="F46" s="14">
        <f>'F) Population'!K39</f>
        <v>1629714.2857142854</v>
      </c>
      <c r="G46" s="10">
        <f>'G) Solidarité'!I36</f>
        <v>1513774.1666360092</v>
      </c>
      <c r="H46" s="14">
        <f t="shared" si="1"/>
        <v>3143488.4523502947</v>
      </c>
      <c r="I46" s="55">
        <f t="shared" si="2"/>
        <v>-549429.70008621411</v>
      </c>
    </row>
    <row r="47" spans="1:9" x14ac:dyDescent="0.25">
      <c r="A47" s="49">
        <f>'A) Base RI'!A38</f>
        <v>5456</v>
      </c>
      <c r="B47" s="32" t="str">
        <f>'A) Base RI'!B38</f>
        <v>Cudrefin</v>
      </c>
      <c r="C47" s="31">
        <f>'D) Ecrêtage'!C37</f>
        <v>64144.951694915253</v>
      </c>
      <c r="D47" s="14">
        <f>'A) Base RI'!V38</f>
        <v>1836</v>
      </c>
      <c r="E47" s="10">
        <f t="shared" si="0"/>
        <v>1206720.9082751982</v>
      </c>
      <c r="F47" s="14">
        <f>'F) Population'!K40</f>
        <v>416759.75855130784</v>
      </c>
      <c r="G47" s="10">
        <f>'G) Solidarité'!I37</f>
        <v>344558.74229116237</v>
      </c>
      <c r="H47" s="14">
        <f t="shared" si="1"/>
        <v>761318.50084247021</v>
      </c>
      <c r="I47" s="55">
        <f t="shared" si="2"/>
        <v>445402.40743272798</v>
      </c>
    </row>
    <row r="48" spans="1:9" x14ac:dyDescent="0.25">
      <c r="A48" s="49">
        <f>'A) Base RI'!A39</f>
        <v>5458</v>
      </c>
      <c r="B48" s="32" t="str">
        <f>'A) Base RI'!B39</f>
        <v>Faoug</v>
      </c>
      <c r="C48" s="31">
        <f>'D) Ecrêtage'!C38</f>
        <v>34721.352769230762</v>
      </c>
      <c r="D48" s="14">
        <f>'A) Base RI'!V39</f>
        <v>866</v>
      </c>
      <c r="E48" s="10">
        <f t="shared" si="0"/>
        <v>653192.20364384539</v>
      </c>
      <c r="F48" s="14">
        <f>'F) Population'!K41</f>
        <v>108032.19315895371</v>
      </c>
      <c r="G48" s="10">
        <f>'G) Solidarité'!I38</f>
        <v>121843.52190862017</v>
      </c>
      <c r="H48" s="14">
        <f t="shared" si="1"/>
        <v>229875.71506757388</v>
      </c>
      <c r="I48" s="55">
        <f t="shared" si="2"/>
        <v>423316.48857627151</v>
      </c>
    </row>
    <row r="49" spans="1:9" x14ac:dyDescent="0.25">
      <c r="A49" s="49">
        <f>'A) Base RI'!A40</f>
        <v>5464</v>
      </c>
      <c r="B49" s="32" t="str">
        <f>'A) Base RI'!B40</f>
        <v>Vully-les-Lacs</v>
      </c>
      <c r="C49" s="31">
        <f>'D) Ecrêtage'!C39</f>
        <v>119169.3065671642</v>
      </c>
      <c r="D49" s="14">
        <f>'A) Base RI'!V40</f>
        <v>3465</v>
      </c>
      <c r="E49" s="10">
        <f t="shared" si="0"/>
        <v>2241861.4413058045</v>
      </c>
      <c r="F49" s="14">
        <f>'F) Population'!K42</f>
        <v>1055372.2334004024</v>
      </c>
      <c r="G49" s="10">
        <f>'G) Solidarité'!I39</f>
        <v>872456.13138280297</v>
      </c>
      <c r="H49" s="14">
        <f t="shared" si="1"/>
        <v>1927828.3647832053</v>
      </c>
      <c r="I49" s="55">
        <f t="shared" si="2"/>
        <v>314033.07652259921</v>
      </c>
    </row>
    <row r="50" spans="1:9" x14ac:dyDescent="0.25">
      <c r="A50" s="49">
        <f>'A) Base RI'!A41</f>
        <v>5471</v>
      </c>
      <c r="B50" s="32" t="str">
        <f>'A) Base RI'!B41</f>
        <v>Bettens</v>
      </c>
      <c r="C50" s="31">
        <f>'D) Ecrêtage'!C40</f>
        <v>22893.023698412693</v>
      </c>
      <c r="D50" s="14">
        <f>'A) Base RI'!V41</f>
        <v>626</v>
      </c>
      <c r="E50" s="10">
        <f t="shared" si="0"/>
        <v>430672.86856658536</v>
      </c>
      <c r="F50" s="14">
        <f>'F) Population'!K43</f>
        <v>78092.555331991942</v>
      </c>
      <c r="G50" s="10">
        <f>'G) Solidarité'!I40</f>
        <v>145348.86893776577</v>
      </c>
      <c r="H50" s="14">
        <f t="shared" si="1"/>
        <v>223441.4242697577</v>
      </c>
      <c r="I50" s="55">
        <f t="shared" si="2"/>
        <v>207231.44429682766</v>
      </c>
    </row>
    <row r="51" spans="1:9" x14ac:dyDescent="0.25">
      <c r="A51" s="49">
        <f>'A) Base RI'!A42</f>
        <v>5472</v>
      </c>
      <c r="B51" s="32" t="str">
        <f>'A) Base RI'!B42</f>
        <v>Bournens</v>
      </c>
      <c r="C51" s="31">
        <f>'D) Ecrêtage'!C41</f>
        <v>22178.441944444447</v>
      </c>
      <c r="D51" s="14">
        <f>'A) Base RI'!V42</f>
        <v>507</v>
      </c>
      <c r="E51" s="10">
        <f t="shared" si="0"/>
        <v>417229.86611041852</v>
      </c>
      <c r="F51" s="14">
        <f>'F) Population'!K44</f>
        <v>63247.484909456733</v>
      </c>
      <c r="G51" s="10">
        <f>'G) Solidarité'!I41</f>
        <v>49174.752457332332</v>
      </c>
      <c r="H51" s="14">
        <f t="shared" si="1"/>
        <v>112422.23736678906</v>
      </c>
      <c r="I51" s="55">
        <f t="shared" si="2"/>
        <v>304807.62874362944</v>
      </c>
    </row>
    <row r="52" spans="1:9" x14ac:dyDescent="0.25">
      <c r="A52" s="49">
        <f>'A) Base RI'!A43</f>
        <v>5473</v>
      </c>
      <c r="B52" s="32" t="str">
        <f>'A) Base RI'!B43</f>
        <v>Boussens</v>
      </c>
      <c r="C52" s="31">
        <f>'D) Ecrêtage'!C42</f>
        <v>37059.012888888894</v>
      </c>
      <c r="D52" s="14">
        <f>'A) Base RI'!V43</f>
        <v>1001</v>
      </c>
      <c r="E52" s="10">
        <f t="shared" si="0"/>
        <v>697169.21614904283</v>
      </c>
      <c r="F52" s="14">
        <f>'F) Population'!K45</f>
        <v>125097.78672032194</v>
      </c>
      <c r="G52" s="10">
        <f>'G) Solidarité'!I42</f>
        <v>207880.26563601012</v>
      </c>
      <c r="H52" s="14">
        <f t="shared" si="1"/>
        <v>332978.05235633207</v>
      </c>
      <c r="I52" s="55">
        <f t="shared" si="2"/>
        <v>364191.16379271075</v>
      </c>
    </row>
    <row r="53" spans="1:9" x14ac:dyDescent="0.25">
      <c r="A53" s="49">
        <f>'A) Base RI'!A44</f>
        <v>5474</v>
      </c>
      <c r="B53" s="32" t="str">
        <f>'A) Base RI'!B44</f>
        <v>La Chaux (Cossonay)</v>
      </c>
      <c r="C53" s="31">
        <f>'D) Ecrêtage'!C43</f>
        <v>12905.016929824562</v>
      </c>
      <c r="D53" s="14">
        <f>'A) Base RI'!V44</f>
        <v>398</v>
      </c>
      <c r="E53" s="10">
        <f t="shared" si="0"/>
        <v>242774.42478920988</v>
      </c>
      <c r="F53" s="14">
        <f>'F) Population'!K46</f>
        <v>49649.899396378263</v>
      </c>
      <c r="G53" s="10">
        <f>'G) Solidarité'!I43</f>
        <v>147023.66198892318</v>
      </c>
      <c r="H53" s="14">
        <f t="shared" si="1"/>
        <v>196673.56138530144</v>
      </c>
      <c r="I53" s="55">
        <f t="shared" si="2"/>
        <v>46100.863403908443</v>
      </c>
    </row>
    <row r="54" spans="1:9" x14ac:dyDescent="0.25">
      <c r="A54" s="49">
        <f>'A) Base RI'!A45</f>
        <v>5475</v>
      </c>
      <c r="B54" s="32" t="str">
        <f>'A) Base RI'!B45</f>
        <v>Chavannes-le-Veyron</v>
      </c>
      <c r="C54" s="31">
        <f>'D) Ecrêtage'!C44</f>
        <v>4277.2722666666668</v>
      </c>
      <c r="D54" s="14">
        <f>'A) Base RI'!V45</f>
        <v>155</v>
      </c>
      <c r="E54" s="10">
        <f t="shared" si="0"/>
        <v>80465.784729579333</v>
      </c>
      <c r="F54" s="14">
        <f>'F) Population'!K47</f>
        <v>19336.016096579475</v>
      </c>
      <c r="G54" s="10">
        <f>'G) Solidarité'!I44</f>
        <v>72590.972606205585</v>
      </c>
      <c r="H54" s="14">
        <f t="shared" si="1"/>
        <v>91926.988702785064</v>
      </c>
      <c r="I54" s="55">
        <f t="shared" si="2"/>
        <v>-11461.203973205731</v>
      </c>
    </row>
    <row r="55" spans="1:9" x14ac:dyDescent="0.25">
      <c r="A55" s="49">
        <f>'A) Base RI'!A46</f>
        <v>5476</v>
      </c>
      <c r="B55" s="32" t="str">
        <f>'A) Base RI'!B46</f>
        <v>Chevilly</v>
      </c>
      <c r="C55" s="31">
        <f>'D) Ecrêtage'!C45</f>
        <v>12075.307586206898</v>
      </c>
      <c r="D55" s="14">
        <f>'A) Base RI'!V46</f>
        <v>322</v>
      </c>
      <c r="E55" s="10">
        <f t="shared" si="0"/>
        <v>227165.59531348213</v>
      </c>
      <c r="F55" s="14">
        <f>'F) Population'!K48</f>
        <v>40169.014084507042</v>
      </c>
      <c r="G55" s="10">
        <f>'G) Solidarité'!I45</f>
        <v>73904.038830055084</v>
      </c>
      <c r="H55" s="14">
        <f t="shared" si="1"/>
        <v>114073.05291456213</v>
      </c>
      <c r="I55" s="55">
        <f t="shared" si="2"/>
        <v>113092.54239892001</v>
      </c>
    </row>
    <row r="56" spans="1:9" x14ac:dyDescent="0.25">
      <c r="A56" s="49">
        <f>'A) Base RI'!A47</f>
        <v>5477</v>
      </c>
      <c r="B56" s="32" t="str">
        <f>'A) Base RI'!B47</f>
        <v>Cossonay</v>
      </c>
      <c r="C56" s="31">
        <f>'D) Ecrêtage'!C46</f>
        <v>142597.98359712231</v>
      </c>
      <c r="D56" s="14">
        <f>'A) Base RI'!V47</f>
        <v>4326</v>
      </c>
      <c r="E56" s="10">
        <f t="shared" si="0"/>
        <v>2682611.2381057674</v>
      </c>
      <c r="F56" s="14">
        <f>'F) Population'!K49</f>
        <v>1485006.0362173035</v>
      </c>
      <c r="G56" s="10">
        <f>'G) Solidarité'!I46</f>
        <v>1291426.7716506568</v>
      </c>
      <c r="H56" s="14">
        <f t="shared" si="1"/>
        <v>2776432.8078679601</v>
      </c>
      <c r="I56" s="55">
        <f t="shared" si="2"/>
        <v>-93821.569762192667</v>
      </c>
    </row>
    <row r="57" spans="1:9" x14ac:dyDescent="0.25">
      <c r="A57" s="49">
        <f>'A) Base RI'!A48</f>
        <v>5478</v>
      </c>
      <c r="B57" s="32" t="str">
        <f>'A) Base RI'!B48</f>
        <v>Cottens</v>
      </c>
      <c r="C57" s="31">
        <f>'D) Ecrêtage'!C47</f>
        <v>15741.229189189189</v>
      </c>
      <c r="D57" s="14">
        <f>'A) Base RI'!V48</f>
        <v>484</v>
      </c>
      <c r="E57" s="10">
        <f t="shared" si="0"/>
        <v>296130.40282408049</v>
      </c>
      <c r="F57" s="14">
        <f>'F) Population'!K50</f>
        <v>60378.269617706232</v>
      </c>
      <c r="G57" s="10">
        <f>'G) Solidarité'!I47</f>
        <v>168462.42677187856</v>
      </c>
      <c r="H57" s="14">
        <f t="shared" si="1"/>
        <v>228840.6963895848</v>
      </c>
      <c r="I57" s="55">
        <f t="shared" si="2"/>
        <v>67289.706434495689</v>
      </c>
    </row>
    <row r="58" spans="1:9" x14ac:dyDescent="0.25">
      <c r="A58" s="49">
        <f>'A) Base RI'!A49</f>
        <v>5479</v>
      </c>
      <c r="B58" s="32" t="str">
        <f>'A) Base RI'!B49</f>
        <v>Cuarnens</v>
      </c>
      <c r="C58" s="31">
        <f>'D) Ecrêtage'!C48</f>
        <v>17984.87649350649</v>
      </c>
      <c r="D58" s="14">
        <f>'A) Base RI'!V49</f>
        <v>531</v>
      </c>
      <c r="E58" s="10">
        <f t="shared" si="0"/>
        <v>338338.80802784639</v>
      </c>
      <c r="F58" s="14">
        <f>'F) Population'!K51</f>
        <v>66241.448692152917</v>
      </c>
      <c r="G58" s="10">
        <f>'G) Solidarité'!I48</f>
        <v>183164.96311448439</v>
      </c>
      <c r="H58" s="14">
        <f t="shared" si="1"/>
        <v>249406.4118066373</v>
      </c>
      <c r="I58" s="55">
        <f t="shared" si="2"/>
        <v>88932.396221209085</v>
      </c>
    </row>
    <row r="59" spans="1:9" x14ac:dyDescent="0.25">
      <c r="A59" s="49">
        <f>'A) Base RI'!A50</f>
        <v>5480</v>
      </c>
      <c r="B59" s="32" t="str">
        <f>'A) Base RI'!B50</f>
        <v>Daillens</v>
      </c>
      <c r="C59" s="31">
        <f>'D) Ecrêtage'!C49</f>
        <v>41284.66095959596</v>
      </c>
      <c r="D59" s="14">
        <f>'A) Base RI'!V50</f>
        <v>1051</v>
      </c>
      <c r="E59" s="10">
        <f t="shared" si="0"/>
        <v>776663.82551733044</v>
      </c>
      <c r="F59" s="14">
        <f>'F) Population'!K52</f>
        <v>142562.57545271629</v>
      </c>
      <c r="G59" s="10">
        <f>'G) Solidarité'!I49</f>
        <v>167327.65131597247</v>
      </c>
      <c r="H59" s="14">
        <f t="shared" si="1"/>
        <v>309890.22676868876</v>
      </c>
      <c r="I59" s="55">
        <f t="shared" si="2"/>
        <v>466773.59874864167</v>
      </c>
    </row>
    <row r="60" spans="1:9" x14ac:dyDescent="0.25">
      <c r="A60" s="49">
        <f>'A) Base RI'!A51</f>
        <v>5481</v>
      </c>
      <c r="B60" s="32" t="str">
        <f>'A) Base RI'!B51</f>
        <v>Dizy</v>
      </c>
      <c r="C60" s="31">
        <f>'D) Ecrêtage'!C50</f>
        <v>8120.887333333334</v>
      </c>
      <c r="D60" s="14">
        <f>'A) Base RI'!V51</f>
        <v>225</v>
      </c>
      <c r="E60" s="10">
        <f t="shared" si="0"/>
        <v>152773.43391712877</v>
      </c>
      <c r="F60" s="14">
        <f>'F) Population'!K53</f>
        <v>28068.410462776657</v>
      </c>
      <c r="G60" s="10">
        <f>'G) Solidarité'!I50</f>
        <v>62387.202455542945</v>
      </c>
      <c r="H60" s="14">
        <f t="shared" si="1"/>
        <v>90455.612918319603</v>
      </c>
      <c r="I60" s="55">
        <f t="shared" si="2"/>
        <v>62317.820998809169</v>
      </c>
    </row>
    <row r="61" spans="1:9" x14ac:dyDescent="0.25">
      <c r="A61" s="49">
        <f>'A) Base RI'!A52</f>
        <v>5482</v>
      </c>
      <c r="B61" s="32" t="str">
        <f>'A) Base RI'!B52</f>
        <v>Eclépens</v>
      </c>
      <c r="C61" s="31">
        <f>'D) Ecrêtage'!C51</f>
        <v>54196.336086956522</v>
      </c>
      <c r="D61" s="14">
        <f>'A) Base RI'!V52</f>
        <v>1198</v>
      </c>
      <c r="E61" s="10">
        <f t="shared" si="0"/>
        <v>1019563.5070253595</v>
      </c>
      <c r="F61" s="14">
        <f>'F) Population'!K54</f>
        <v>193909.05432595575</v>
      </c>
      <c r="G61" s="10">
        <f>'G) Solidarité'!I51</f>
        <v>32285.457586774795</v>
      </c>
      <c r="H61" s="14">
        <f t="shared" si="1"/>
        <v>226194.51191273055</v>
      </c>
      <c r="I61" s="55">
        <f t="shared" si="2"/>
        <v>793368.99511262903</v>
      </c>
    </row>
    <row r="62" spans="1:9" x14ac:dyDescent="0.25">
      <c r="A62" s="49">
        <f>'A) Base RI'!A53</f>
        <v>5483</v>
      </c>
      <c r="B62" s="32" t="str">
        <f>'A) Base RI'!B53</f>
        <v>Ferreyres</v>
      </c>
      <c r="C62" s="31">
        <f>'D) Ecrêtage'!C52</f>
        <v>10537.122500000001</v>
      </c>
      <c r="D62" s="14">
        <f>'A) Base RI'!V53</f>
        <v>319</v>
      </c>
      <c r="E62" s="10">
        <f t="shared" si="0"/>
        <v>198228.63214994004</v>
      </c>
      <c r="F62" s="14">
        <f>'F) Population'!K55</f>
        <v>39794.768611670021</v>
      </c>
      <c r="G62" s="10">
        <f>'G) Solidarité'!I52</f>
        <v>113369.70998331344</v>
      </c>
      <c r="H62" s="14">
        <f t="shared" si="1"/>
        <v>153164.47859498346</v>
      </c>
      <c r="I62" s="55">
        <f t="shared" si="2"/>
        <v>45064.153554956574</v>
      </c>
    </row>
    <row r="63" spans="1:9" x14ac:dyDescent="0.25">
      <c r="A63" s="49">
        <f>'A) Base RI'!A54</f>
        <v>5484</v>
      </c>
      <c r="B63" s="32" t="str">
        <f>'A) Base RI'!B54</f>
        <v>Gollion</v>
      </c>
      <c r="C63" s="31">
        <f>'D) Ecrêtage'!C53</f>
        <v>35950.666081081094</v>
      </c>
      <c r="D63" s="14">
        <f>'A) Base RI'!V54</f>
        <v>1018</v>
      </c>
      <c r="E63" s="10">
        <f t="shared" si="0"/>
        <v>676318.54542185972</v>
      </c>
      <c r="F63" s="14">
        <f>'F) Population'!K56</f>
        <v>131035.81488933602</v>
      </c>
      <c r="G63" s="10">
        <f>'G) Solidarité'!I53</f>
        <v>292122.01034752815</v>
      </c>
      <c r="H63" s="14">
        <f t="shared" si="1"/>
        <v>423157.82523686416</v>
      </c>
      <c r="I63" s="55">
        <f t="shared" si="2"/>
        <v>253160.72018499556</v>
      </c>
    </row>
    <row r="64" spans="1:9" x14ac:dyDescent="0.25">
      <c r="A64" s="49">
        <f>'A) Base RI'!A55</f>
        <v>5485</v>
      </c>
      <c r="B64" s="32" t="str">
        <f>'A) Base RI'!B55</f>
        <v>Grancy</v>
      </c>
      <c r="C64" s="31">
        <f>'D) Ecrêtage'!C54</f>
        <v>24488.659571428572</v>
      </c>
      <c r="D64" s="14">
        <f>'A) Base RI'!V55</f>
        <v>445</v>
      </c>
      <c r="E64" s="10">
        <f t="shared" si="0"/>
        <v>460690.61928717466</v>
      </c>
      <c r="F64" s="14">
        <f>'F) Population'!K57</f>
        <v>55513.078470824948</v>
      </c>
      <c r="G64" s="10">
        <f>'G) Solidarité'!I54</f>
        <v>0</v>
      </c>
      <c r="H64" s="14">
        <f t="shared" si="1"/>
        <v>55513.078470824948</v>
      </c>
      <c r="I64" s="55">
        <f t="shared" si="2"/>
        <v>405177.54081634973</v>
      </c>
    </row>
    <row r="65" spans="1:9" x14ac:dyDescent="0.25">
      <c r="A65" s="49">
        <f>'A) Base RI'!A56</f>
        <v>5486</v>
      </c>
      <c r="B65" s="32" t="str">
        <f>'A) Base RI'!B56</f>
        <v>L'Isle</v>
      </c>
      <c r="C65" s="31">
        <f>'D) Ecrêtage'!C55</f>
        <v>29230.387866666671</v>
      </c>
      <c r="D65" s="14">
        <f>'A) Base RI'!V56</f>
        <v>1079</v>
      </c>
      <c r="E65" s="10">
        <f t="shared" si="0"/>
        <v>549893.93964258628</v>
      </c>
      <c r="F65" s="14">
        <f>'F) Population'!K58</f>
        <v>152342.85714285713</v>
      </c>
      <c r="G65" s="10">
        <f>'G) Solidarité'!I55</f>
        <v>517579.01929071551</v>
      </c>
      <c r="H65" s="14">
        <f t="shared" si="1"/>
        <v>669921.87643357262</v>
      </c>
      <c r="I65" s="55">
        <f t="shared" si="2"/>
        <v>-120027.93679098634</v>
      </c>
    </row>
    <row r="66" spans="1:9" x14ac:dyDescent="0.25">
      <c r="A66" s="49">
        <f>'A) Base RI'!A57</f>
        <v>5487</v>
      </c>
      <c r="B66" s="32" t="str">
        <f>'A) Base RI'!B57</f>
        <v>Lussery-Villars</v>
      </c>
      <c r="C66" s="31">
        <f>'D) Ecrêtage'!C56</f>
        <v>16622.441866666668</v>
      </c>
      <c r="D66" s="14">
        <f>'A) Base RI'!V57</f>
        <v>475</v>
      </c>
      <c r="E66" s="10">
        <f t="shared" si="0"/>
        <v>312708.13395414443</v>
      </c>
      <c r="F66" s="14">
        <f>'F) Population'!K59</f>
        <v>59255.533199195168</v>
      </c>
      <c r="G66" s="10">
        <f>'G) Solidarité'!I56</f>
        <v>143434.80713534987</v>
      </c>
      <c r="H66" s="14">
        <f t="shared" si="1"/>
        <v>202690.34033454504</v>
      </c>
      <c r="I66" s="55">
        <f t="shared" si="2"/>
        <v>110017.7936195994</v>
      </c>
    </row>
    <row r="67" spans="1:9" x14ac:dyDescent="0.25">
      <c r="A67" s="49">
        <f>'A) Base RI'!A58</f>
        <v>5488</v>
      </c>
      <c r="B67" s="32" t="str">
        <f>'A) Base RI'!B58</f>
        <v>Mauraz</v>
      </c>
      <c r="C67" s="31">
        <f>'D) Ecrêtage'!C57</f>
        <v>1729.1857142857141</v>
      </c>
      <c r="D67" s="14">
        <f>'A) Base RI'!V58</f>
        <v>60</v>
      </c>
      <c r="E67" s="10">
        <f t="shared" si="0"/>
        <v>32530.144626872669</v>
      </c>
      <c r="F67" s="14">
        <f>'F) Population'!K60</f>
        <v>7484.9094567404418</v>
      </c>
      <c r="G67" s="10">
        <f>'G) Solidarité'!I57</f>
        <v>27877.306215521177</v>
      </c>
      <c r="H67" s="14">
        <f t="shared" si="1"/>
        <v>35362.21567226162</v>
      </c>
      <c r="I67" s="55">
        <f t="shared" si="2"/>
        <v>-2832.0710453889515</v>
      </c>
    </row>
    <row r="68" spans="1:9" x14ac:dyDescent="0.25">
      <c r="A68" s="49">
        <f>'A) Base RI'!A59</f>
        <v>5489</v>
      </c>
      <c r="B68" s="32" t="str">
        <f>'A) Base RI'!B59</f>
        <v>Mex</v>
      </c>
      <c r="C68" s="31">
        <f>'D) Ecrêtage'!C58</f>
        <v>50879.929915966379</v>
      </c>
      <c r="D68" s="14">
        <f>'A) Base RI'!V59</f>
        <v>795</v>
      </c>
      <c r="E68" s="10">
        <f t="shared" si="0"/>
        <v>957173.92591068649</v>
      </c>
      <c r="F68" s="14">
        <f>'F) Population'!K61</f>
        <v>99175.050301810857</v>
      </c>
      <c r="G68" s="10">
        <f>'G) Solidarité'!I58</f>
        <v>0</v>
      </c>
      <c r="H68" s="14">
        <f t="shared" si="1"/>
        <v>99175.050301810857</v>
      </c>
      <c r="I68" s="55">
        <f t="shared" si="2"/>
        <v>857998.87560887565</v>
      </c>
    </row>
    <row r="69" spans="1:9" x14ac:dyDescent="0.25">
      <c r="A69" s="49">
        <f>'A) Base RI'!A60</f>
        <v>5490</v>
      </c>
      <c r="B69" s="32" t="str">
        <f>'A) Base RI'!B60</f>
        <v>Moiry</v>
      </c>
      <c r="C69" s="31">
        <f>'D) Ecrêtage'!C59</f>
        <v>9056.9</v>
      </c>
      <c r="D69" s="14">
        <f>'A) Base RI'!V60</f>
        <v>301</v>
      </c>
      <c r="E69" s="10">
        <f t="shared" si="0"/>
        <v>170382.08472178163</v>
      </c>
      <c r="F69" s="14">
        <f>'F) Population'!K62</f>
        <v>37549.295774647886</v>
      </c>
      <c r="G69" s="10">
        <f>'G) Solidarité'!I59</f>
        <v>132498.92222524315</v>
      </c>
      <c r="H69" s="14">
        <f t="shared" si="1"/>
        <v>170048.21799989103</v>
      </c>
      <c r="I69" s="55">
        <f t="shared" si="2"/>
        <v>333.86672189060482</v>
      </c>
    </row>
    <row r="70" spans="1:9" x14ac:dyDescent="0.25">
      <c r="A70" s="49">
        <f>'A) Base RI'!A61</f>
        <v>5491</v>
      </c>
      <c r="B70" s="32" t="str">
        <f>'A) Base RI'!B61</f>
        <v>Mont-la-Ville</v>
      </c>
      <c r="C70" s="31">
        <f>'D) Ecrêtage'!C60</f>
        <v>13648.930789473685</v>
      </c>
      <c r="D70" s="14">
        <f>'A) Base RI'!V61</f>
        <v>508</v>
      </c>
      <c r="E70" s="10">
        <f t="shared" si="0"/>
        <v>256769.23474189176</v>
      </c>
      <c r="F70" s="14">
        <f>'F) Population'!K63</f>
        <v>63372.233400402409</v>
      </c>
      <c r="G70" s="10">
        <f>'G) Solidarité'!I60</f>
        <v>252827.87113870689</v>
      </c>
      <c r="H70" s="14">
        <f t="shared" si="1"/>
        <v>316200.10453910928</v>
      </c>
      <c r="I70" s="55">
        <f t="shared" si="2"/>
        <v>-59430.869797217514</v>
      </c>
    </row>
    <row r="71" spans="1:9" x14ac:dyDescent="0.25">
      <c r="A71" s="49">
        <f>'A) Base RI'!A62</f>
        <v>5492</v>
      </c>
      <c r="B71" s="32" t="str">
        <f>'A) Base RI'!B62</f>
        <v>Montricher</v>
      </c>
      <c r="C71" s="31">
        <f>'D) Ecrêtage'!C61</f>
        <v>175268.45531250001</v>
      </c>
      <c r="D71" s="14">
        <f>'A) Base RI'!V62</f>
        <v>981</v>
      </c>
      <c r="E71" s="10">
        <f t="shared" si="0"/>
        <v>3297221.4336152743</v>
      </c>
      <c r="F71" s="14">
        <f>'F) Population'!K64</f>
        <v>122378.26961770623</v>
      </c>
      <c r="G71" s="10">
        <f>'G) Solidarité'!I61</f>
        <v>0</v>
      </c>
      <c r="H71" s="14">
        <f t="shared" si="1"/>
        <v>122378.26961770623</v>
      </c>
      <c r="I71" s="55">
        <f t="shared" si="2"/>
        <v>3174843.1639975682</v>
      </c>
    </row>
    <row r="72" spans="1:9" x14ac:dyDescent="0.25">
      <c r="A72" s="49">
        <f>'A) Base RI'!A63</f>
        <v>5493</v>
      </c>
      <c r="B72" s="32" t="str">
        <f>'A) Base RI'!B63</f>
        <v>Orny</v>
      </c>
      <c r="C72" s="31">
        <f>'D) Ecrêtage'!C62</f>
        <v>13489.946448893574</v>
      </c>
      <c r="D72" s="14">
        <f>'A) Base RI'!V63</f>
        <v>480</v>
      </c>
      <c r="E72" s="10">
        <f t="shared" si="0"/>
        <v>253778.35669463972</v>
      </c>
      <c r="F72" s="14">
        <f>'F) Population'!K65</f>
        <v>59879.275653923534</v>
      </c>
      <c r="G72" s="10">
        <f>'G) Solidarité'!I62</f>
        <v>207766.98466721343</v>
      </c>
      <c r="H72" s="14">
        <f t="shared" si="1"/>
        <v>267646.26032113697</v>
      </c>
      <c r="I72" s="55">
        <f t="shared" si="2"/>
        <v>-13867.903626497253</v>
      </c>
    </row>
    <row r="73" spans="1:9" x14ac:dyDescent="0.25">
      <c r="A73" s="49">
        <f>'A) Base RI'!A64</f>
        <v>5494</v>
      </c>
      <c r="B73" s="32" t="str">
        <f>'A) Base RI'!B64</f>
        <v>Pampigny</v>
      </c>
      <c r="C73" s="31">
        <f>'D) Ecrêtage'!C63</f>
        <v>43210.558962818002</v>
      </c>
      <c r="D73" s="14">
        <f>'A) Base RI'!V64</f>
        <v>1185</v>
      </c>
      <c r="E73" s="10">
        <f t="shared" si="0"/>
        <v>812894.60169355944</v>
      </c>
      <c r="F73" s="14">
        <f>'F) Population'!K66</f>
        <v>189368.20925553318</v>
      </c>
      <c r="G73" s="10">
        <f>'G) Solidarité'!I63</f>
        <v>301898.53872788569</v>
      </c>
      <c r="H73" s="14">
        <f t="shared" si="1"/>
        <v>491266.74798341887</v>
      </c>
      <c r="I73" s="55">
        <f t="shared" si="2"/>
        <v>321627.85371014057</v>
      </c>
    </row>
    <row r="74" spans="1:9" x14ac:dyDescent="0.25">
      <c r="A74" s="49">
        <f>'A) Base RI'!A65</f>
        <v>5495</v>
      </c>
      <c r="B74" s="32" t="str">
        <f>'A) Base RI'!B65</f>
        <v>Penthalaz</v>
      </c>
      <c r="C74" s="31">
        <f>'D) Ecrêtage'!C64</f>
        <v>95314.520135135113</v>
      </c>
      <c r="D74" s="14">
        <f>'A) Base RI'!V65</f>
        <v>3210</v>
      </c>
      <c r="E74" s="10">
        <f t="shared" si="0"/>
        <v>1793095.5012068758</v>
      </c>
      <c r="F74" s="14">
        <f>'F) Population'!K67</f>
        <v>928128.77263581473</v>
      </c>
      <c r="G74" s="10">
        <f>'G) Solidarité'!I64</f>
        <v>1316130.8739569278</v>
      </c>
      <c r="H74" s="14">
        <f t="shared" si="1"/>
        <v>2244259.6465927428</v>
      </c>
      <c r="I74" s="55">
        <f t="shared" si="2"/>
        <v>-451164.14538586698</v>
      </c>
    </row>
    <row r="75" spans="1:9" x14ac:dyDescent="0.25">
      <c r="A75" s="49">
        <f>'A) Base RI'!A66</f>
        <v>5496</v>
      </c>
      <c r="B75" s="32" t="str">
        <f>'A) Base RI'!B66</f>
        <v>Penthaz</v>
      </c>
      <c r="C75" s="31">
        <f>'D) Ecrêtage'!C65</f>
        <v>56267.911654676267</v>
      </c>
      <c r="D75" s="14">
        <f>'A) Base RI'!V66</f>
        <v>1890</v>
      </c>
      <c r="E75" s="10">
        <f t="shared" si="0"/>
        <v>1058534.8287675448</v>
      </c>
      <c r="F75" s="14">
        <f>'F) Population'!K68</f>
        <v>435621.7303822937</v>
      </c>
      <c r="G75" s="10">
        <f>'G) Solidarité'!I65</f>
        <v>680676.75332327711</v>
      </c>
      <c r="H75" s="14">
        <f t="shared" si="1"/>
        <v>1116298.4837055709</v>
      </c>
      <c r="I75" s="55">
        <f t="shared" si="2"/>
        <v>-57763.654938026099</v>
      </c>
    </row>
    <row r="76" spans="1:9" x14ac:dyDescent="0.25">
      <c r="A76" s="49">
        <f>'A) Base RI'!A67</f>
        <v>5497</v>
      </c>
      <c r="B76" s="32" t="str">
        <f>'A) Base RI'!B67</f>
        <v>Pompaples</v>
      </c>
      <c r="C76" s="31">
        <f>'D) Ecrêtage'!C66</f>
        <v>22253.499393939397</v>
      </c>
      <c r="D76" s="14">
        <f>'A) Base RI'!V67</f>
        <v>849</v>
      </c>
      <c r="E76" s="10">
        <f t="shared" si="0"/>
        <v>418641.87736359006</v>
      </c>
      <c r="F76" s="14">
        <f>'F) Population'!K69</f>
        <v>105911.46881287725</v>
      </c>
      <c r="G76" s="10">
        <f>'G) Solidarité'!I66</f>
        <v>328366.62101506267</v>
      </c>
      <c r="H76" s="14">
        <f t="shared" si="1"/>
        <v>434278.08982793993</v>
      </c>
      <c r="I76" s="55">
        <f t="shared" si="2"/>
        <v>-15636.212464349868</v>
      </c>
    </row>
    <row r="77" spans="1:9" x14ac:dyDescent="0.25">
      <c r="A77" s="49">
        <f>'A) Base RI'!A68</f>
        <v>5498</v>
      </c>
      <c r="B77" s="32" t="str">
        <f>'A) Base RI'!B68</f>
        <v>La Sarraz</v>
      </c>
      <c r="C77" s="31">
        <f>'D) Ecrêtage'!C67</f>
        <v>74682.149090909108</v>
      </c>
      <c r="D77" s="14">
        <f>'A) Base RI'!V68</f>
        <v>2620</v>
      </c>
      <c r="E77" s="10">
        <f t="shared" si="0"/>
        <v>1404950.9493990222</v>
      </c>
      <c r="F77" s="14">
        <f>'F) Population'!K70</f>
        <v>690607.64587525139</v>
      </c>
      <c r="G77" s="10">
        <f>'G) Solidarité'!I67</f>
        <v>908724.54178750515</v>
      </c>
      <c r="H77" s="14">
        <f t="shared" si="1"/>
        <v>1599332.1876627565</v>
      </c>
      <c r="I77" s="55">
        <f t="shared" si="2"/>
        <v>-194381.23826373438</v>
      </c>
    </row>
    <row r="78" spans="1:9" x14ac:dyDescent="0.25">
      <c r="A78" s="49">
        <f>'A) Base RI'!A69</f>
        <v>5499</v>
      </c>
      <c r="B78" s="32" t="str">
        <f>'A) Base RI'!B69</f>
        <v>Senarclens</v>
      </c>
      <c r="C78" s="31">
        <f>'D) Ecrêtage'!C68</f>
        <v>18238.904233576643</v>
      </c>
      <c r="D78" s="14">
        <f>'A) Base RI'!V69</f>
        <v>491</v>
      </c>
      <c r="E78" s="10">
        <f t="shared" si="0"/>
        <v>343117.68114451057</v>
      </c>
      <c r="F78" s="14">
        <f>'F) Population'!K71</f>
        <v>61251.50905432595</v>
      </c>
      <c r="G78" s="10">
        <f>'G) Solidarité'!I68</f>
        <v>103864.81441582378</v>
      </c>
      <c r="H78" s="14">
        <f t="shared" si="1"/>
        <v>165116.32347014974</v>
      </c>
      <c r="I78" s="55">
        <f t="shared" si="2"/>
        <v>178001.35767436083</v>
      </c>
    </row>
    <row r="79" spans="1:9" x14ac:dyDescent="0.25">
      <c r="A79" s="49">
        <f>'A) Base RI'!A70</f>
        <v>5500</v>
      </c>
      <c r="B79" s="32" t="str">
        <f>'A) Base RI'!B70</f>
        <v>Sévery</v>
      </c>
      <c r="C79" s="31">
        <f>'D) Ecrêtage'!C69</f>
        <v>7230.3632420091335</v>
      </c>
      <c r="D79" s="14">
        <f>'A) Base RI'!V70</f>
        <v>220</v>
      </c>
      <c r="E79" s="10">
        <f t="shared" si="0"/>
        <v>136020.53268439046</v>
      </c>
      <c r="F79" s="14">
        <f>'F) Population'!K72</f>
        <v>27444.668008048287</v>
      </c>
      <c r="G79" s="10">
        <f>'G) Solidarité'!I69</f>
        <v>72915.219889667234</v>
      </c>
      <c r="H79" s="14">
        <f t="shared" si="1"/>
        <v>100359.88789771553</v>
      </c>
      <c r="I79" s="55">
        <f t="shared" si="2"/>
        <v>35660.644786674937</v>
      </c>
    </row>
    <row r="80" spans="1:9" x14ac:dyDescent="0.25">
      <c r="A80" s="49">
        <f>'A) Base RI'!A71</f>
        <v>5501</v>
      </c>
      <c r="B80" s="32" t="str">
        <f>'A) Base RI'!B71</f>
        <v>Sullens</v>
      </c>
      <c r="C80" s="31">
        <f>'D) Ecrêtage'!C70</f>
        <v>43195.598978102193</v>
      </c>
      <c r="D80" s="14">
        <f>'A) Base RI'!V71</f>
        <v>1143</v>
      </c>
      <c r="E80" s="10">
        <f t="shared" ref="E80:E143" si="3">C80*E$15</f>
        <v>812613.16837936966</v>
      </c>
      <c r="F80" s="14">
        <f>'F) Population'!K73</f>
        <v>174697.78672032192</v>
      </c>
      <c r="G80" s="10">
        <f>'G) Solidarité'!I70</f>
        <v>227960.65879426271</v>
      </c>
      <c r="H80" s="14">
        <f t="shared" ref="H80:H143" si="4">F80+G80</f>
        <v>402658.44551458466</v>
      </c>
      <c r="I80" s="55">
        <f t="shared" ref="I80:I143" si="5">E80-H80</f>
        <v>409954.722864785</v>
      </c>
    </row>
    <row r="81" spans="1:9" x14ac:dyDescent="0.25">
      <c r="A81" s="49">
        <f>'A) Base RI'!A72</f>
        <v>5503</v>
      </c>
      <c r="B81" s="32" t="str">
        <f>'A) Base RI'!B72</f>
        <v>Vufflens-la-Ville</v>
      </c>
      <c r="C81" s="31">
        <f>'D) Ecrêtage'!C71</f>
        <v>79029.714875621881</v>
      </c>
      <c r="D81" s="14">
        <f>'A) Base RI'!V72</f>
        <v>1346</v>
      </c>
      <c r="E81" s="10">
        <f t="shared" si="3"/>
        <v>1486739.1243666657</v>
      </c>
      <c r="F81" s="14">
        <f>'F) Population'!K74</f>
        <v>245604.82897384305</v>
      </c>
      <c r="G81" s="10">
        <f>'G) Solidarité'!I71</f>
        <v>0</v>
      </c>
      <c r="H81" s="14">
        <f t="shared" si="4"/>
        <v>245604.82897384305</v>
      </c>
      <c r="I81" s="55">
        <f t="shared" si="5"/>
        <v>1241134.2953928227</v>
      </c>
    </row>
    <row r="82" spans="1:9" x14ac:dyDescent="0.25">
      <c r="A82" s="49">
        <f>'A) Base RI'!A73</f>
        <v>5511</v>
      </c>
      <c r="B82" s="32" t="str">
        <f>'A) Base RI'!B73</f>
        <v>Assens</v>
      </c>
      <c r="C82" s="31">
        <f>'D) Ecrêtage'!C72</f>
        <v>47333.455142857143</v>
      </c>
      <c r="D82" s="14">
        <f>'A) Base RI'!V73</f>
        <v>1151</v>
      </c>
      <c r="E82" s="10">
        <f t="shared" si="3"/>
        <v>890456.20072264655</v>
      </c>
      <c r="F82" s="14">
        <f>'F) Population'!K75</f>
        <v>177492.15291750501</v>
      </c>
      <c r="G82" s="10">
        <f>'G) Solidarité'!I72</f>
        <v>164599.35187693429</v>
      </c>
      <c r="H82" s="14">
        <f t="shared" si="4"/>
        <v>342091.5047944393</v>
      </c>
      <c r="I82" s="55">
        <f t="shared" si="5"/>
        <v>548364.69592820725</v>
      </c>
    </row>
    <row r="83" spans="1:9" x14ac:dyDescent="0.25">
      <c r="A83" s="49">
        <f>'A) Base RI'!A74</f>
        <v>5512</v>
      </c>
      <c r="B83" s="32" t="str">
        <f>'A) Base RI'!B74</f>
        <v>Bercher</v>
      </c>
      <c r="C83" s="31">
        <f>'D) Ecrêtage'!C73</f>
        <v>40764.12544303797</v>
      </c>
      <c r="D83" s="14">
        <f>'A) Base RI'!V74</f>
        <v>1320</v>
      </c>
      <c r="E83" s="10">
        <f t="shared" si="3"/>
        <v>766871.29976537568</v>
      </c>
      <c r="F83" s="14">
        <f>'F) Population'!K76</f>
        <v>236523.138832998</v>
      </c>
      <c r="G83" s="10">
        <f>'G) Solidarité'!I73</f>
        <v>577671.73751879495</v>
      </c>
      <c r="H83" s="14">
        <f t="shared" si="4"/>
        <v>814194.87635179295</v>
      </c>
      <c r="I83" s="55">
        <f t="shared" si="5"/>
        <v>-47323.576586417272</v>
      </c>
    </row>
    <row r="84" spans="1:9" x14ac:dyDescent="0.25">
      <c r="A84" s="49">
        <f>'A) Base RI'!A75</f>
        <v>5513</v>
      </c>
      <c r="B84" s="32" t="str">
        <f>'A) Base RI'!B75</f>
        <v>Bioley-Orjulaz</v>
      </c>
      <c r="C84" s="31">
        <f>'D) Ecrêtage'!C74</f>
        <v>22739.022647058824</v>
      </c>
      <c r="D84" s="14">
        <f>'A) Base RI'!V75</f>
        <v>518</v>
      </c>
      <c r="E84" s="10">
        <f t="shared" si="3"/>
        <v>427775.73818212503</v>
      </c>
      <c r="F84" s="14">
        <f>'F) Population'!K77</f>
        <v>64619.718309859149</v>
      </c>
      <c r="G84" s="10">
        <f>'G) Solidarité'!I74</f>
        <v>43346.98330777511</v>
      </c>
      <c r="H84" s="14">
        <f t="shared" si="4"/>
        <v>107966.70161763426</v>
      </c>
      <c r="I84" s="55">
        <f t="shared" si="5"/>
        <v>319809.03656449076</v>
      </c>
    </row>
    <row r="85" spans="1:9" x14ac:dyDescent="0.25">
      <c r="A85" s="49">
        <f>'A) Base RI'!A76</f>
        <v>5514</v>
      </c>
      <c r="B85" s="32" t="str">
        <f>'A) Base RI'!B76</f>
        <v>Bottens</v>
      </c>
      <c r="C85" s="31">
        <f>'D) Ecrêtage'!C75</f>
        <v>44223.41544827586</v>
      </c>
      <c r="D85" s="14">
        <f>'A) Base RI'!V76</f>
        <v>1357</v>
      </c>
      <c r="E85" s="10">
        <f t="shared" si="3"/>
        <v>831948.86965680146</v>
      </c>
      <c r="F85" s="14">
        <f>'F) Population'!K78</f>
        <v>249447.08249496983</v>
      </c>
      <c r="G85" s="10">
        <f>'G) Solidarité'!I75</f>
        <v>451488.30550823786</v>
      </c>
      <c r="H85" s="14">
        <f t="shared" si="4"/>
        <v>700935.38800320774</v>
      </c>
      <c r="I85" s="55">
        <f t="shared" si="5"/>
        <v>131013.48165359371</v>
      </c>
    </row>
    <row r="86" spans="1:9" x14ac:dyDescent="0.25">
      <c r="A86" s="49">
        <f>'A) Base RI'!A77</f>
        <v>5515</v>
      </c>
      <c r="B86" s="32" t="str">
        <f>'A) Base RI'!B77</f>
        <v>Bretigny-sur-Morrens</v>
      </c>
      <c r="C86" s="31">
        <f>'D) Ecrêtage'!C76</f>
        <v>32348.775256410252</v>
      </c>
      <c r="D86" s="14">
        <f>'A) Base RI'!V77</f>
        <v>882</v>
      </c>
      <c r="E86" s="10">
        <f t="shared" si="3"/>
        <v>608558.31094343157</v>
      </c>
      <c r="F86" s="14">
        <f>'F) Population'!K79</f>
        <v>110028.1690140845</v>
      </c>
      <c r="G86" s="10">
        <f>'G) Solidarité'!I76</f>
        <v>251992.52623252152</v>
      </c>
      <c r="H86" s="14">
        <f t="shared" si="4"/>
        <v>362020.69524660602</v>
      </c>
      <c r="I86" s="55">
        <f t="shared" si="5"/>
        <v>246537.61569682555</v>
      </c>
    </row>
    <row r="87" spans="1:9" x14ac:dyDescent="0.25">
      <c r="A87" s="49">
        <f>'A) Base RI'!A78</f>
        <v>5516</v>
      </c>
      <c r="B87" s="32" t="str">
        <f>'A) Base RI'!B78</f>
        <v>Cugy</v>
      </c>
      <c r="C87" s="31">
        <f>'D) Ecrêtage'!C77</f>
        <v>111604.91621794872</v>
      </c>
      <c r="D87" s="14">
        <f>'A) Base RI'!V78</f>
        <v>2733</v>
      </c>
      <c r="E87" s="10">
        <f t="shared" si="3"/>
        <v>2099557.0548878624</v>
      </c>
      <c r="F87" s="14">
        <f>'F) Population'!K80</f>
        <v>730078.0684104627</v>
      </c>
      <c r="G87" s="10">
        <f>'G) Solidarité'!I77</f>
        <v>504394.45552694972</v>
      </c>
      <c r="H87" s="14">
        <f t="shared" si="4"/>
        <v>1234472.5239374125</v>
      </c>
      <c r="I87" s="55">
        <f t="shared" si="5"/>
        <v>865084.53095044987</v>
      </c>
    </row>
    <row r="88" spans="1:9" x14ac:dyDescent="0.25">
      <c r="A88" s="49">
        <f>'A) Base RI'!A79</f>
        <v>5518</v>
      </c>
      <c r="B88" s="32" t="str">
        <f>'A) Base RI'!B79</f>
        <v>Echallens</v>
      </c>
      <c r="C88" s="31">
        <f>'D) Ecrêtage'!C78</f>
        <v>183030.51158620688</v>
      </c>
      <c r="D88" s="14">
        <f>'A) Base RI'!V79</f>
        <v>5739</v>
      </c>
      <c r="E88" s="10">
        <f t="shared" si="3"/>
        <v>3443244.3917623181</v>
      </c>
      <c r="F88" s="14">
        <f>'F) Population'!K81</f>
        <v>2263835.8148893355</v>
      </c>
      <c r="G88" s="10">
        <f>'G) Solidarité'!I78</f>
        <v>1993429.35838763</v>
      </c>
      <c r="H88" s="14">
        <f t="shared" si="4"/>
        <v>4257265.1732769655</v>
      </c>
      <c r="I88" s="55">
        <f t="shared" si="5"/>
        <v>-814020.78151464742</v>
      </c>
    </row>
    <row r="89" spans="1:9" x14ac:dyDescent="0.25">
      <c r="A89" s="49">
        <f>'A) Base RI'!A80</f>
        <v>5520</v>
      </c>
      <c r="B89" s="32" t="str">
        <f>'A) Base RI'!B80</f>
        <v>Essertines-sur-Yverdon</v>
      </c>
      <c r="C89" s="31">
        <f>'D) Ecrêtage'!C79</f>
        <v>31696.699178082192</v>
      </c>
      <c r="D89" s="14">
        <f>'A) Base RI'!V80</f>
        <v>1059</v>
      </c>
      <c r="E89" s="10">
        <f t="shared" si="3"/>
        <v>596291.19066797988</v>
      </c>
      <c r="F89" s="14">
        <f>'F) Population'!K82</f>
        <v>145356.94164989938</v>
      </c>
      <c r="G89" s="10">
        <f>'G) Solidarité'!I79</f>
        <v>417180.62489599595</v>
      </c>
      <c r="H89" s="14">
        <f t="shared" si="4"/>
        <v>562537.5665458953</v>
      </c>
      <c r="I89" s="55">
        <f t="shared" si="5"/>
        <v>33753.624122084584</v>
      </c>
    </row>
    <row r="90" spans="1:9" x14ac:dyDescent="0.25">
      <c r="A90" s="49">
        <f>'A) Base RI'!A81</f>
        <v>5521</v>
      </c>
      <c r="B90" s="32" t="str">
        <f>'A) Base RI'!B81</f>
        <v>Etagnières</v>
      </c>
      <c r="C90" s="31">
        <f>'D) Ecrêtage'!C80</f>
        <v>42645.35479452055</v>
      </c>
      <c r="D90" s="14">
        <f>'A) Base RI'!V81</f>
        <v>1148</v>
      </c>
      <c r="E90" s="10">
        <f t="shared" si="3"/>
        <v>802261.75110583508</v>
      </c>
      <c r="F90" s="14">
        <f>'F) Population'!K83</f>
        <v>176444.26559356137</v>
      </c>
      <c r="G90" s="10">
        <f>'G) Solidarité'!I80</f>
        <v>275773.12843217899</v>
      </c>
      <c r="H90" s="14">
        <f t="shared" si="4"/>
        <v>452217.39402574033</v>
      </c>
      <c r="I90" s="55">
        <f t="shared" si="5"/>
        <v>350044.35708009475</v>
      </c>
    </row>
    <row r="91" spans="1:9" x14ac:dyDescent="0.25">
      <c r="A91" s="49">
        <f>'A) Base RI'!A82</f>
        <v>5522</v>
      </c>
      <c r="B91" s="32" t="str">
        <f>'A) Base RI'!B82</f>
        <v>Fey</v>
      </c>
      <c r="C91" s="31">
        <f>'D) Ecrêtage'!C81</f>
        <v>23924.3328</v>
      </c>
      <c r="D91" s="14">
        <f>'A) Base RI'!V82</f>
        <v>754</v>
      </c>
      <c r="E91" s="10">
        <f t="shared" si="3"/>
        <v>450074.27464603778</v>
      </c>
      <c r="F91" s="14">
        <f>'F) Population'!K84</f>
        <v>94060.362173038229</v>
      </c>
      <c r="G91" s="10">
        <f>'G) Solidarité'!I81</f>
        <v>283028.90244823718</v>
      </c>
      <c r="H91" s="14">
        <f t="shared" si="4"/>
        <v>377089.26462127542</v>
      </c>
      <c r="I91" s="55">
        <f t="shared" si="5"/>
        <v>72985.010024762363</v>
      </c>
    </row>
    <row r="92" spans="1:9" x14ac:dyDescent="0.25">
      <c r="A92" s="49">
        <f>'A) Base RI'!A83</f>
        <v>5523</v>
      </c>
      <c r="B92" s="32" t="str">
        <f>'A) Base RI'!B83</f>
        <v>Froideville</v>
      </c>
      <c r="C92" s="31">
        <f>'D) Ecrêtage'!C82</f>
        <v>93523.863333333327</v>
      </c>
      <c r="D92" s="14">
        <f>'A) Base RI'!V83</f>
        <v>2673</v>
      </c>
      <c r="E92" s="10">
        <f t="shared" si="3"/>
        <v>1759408.9374916723</v>
      </c>
      <c r="F92" s="14">
        <f>'F) Population'!K85</f>
        <v>709120.32193158951</v>
      </c>
      <c r="G92" s="10">
        <f>'G) Solidarité'!I82</f>
        <v>744226.00646926998</v>
      </c>
      <c r="H92" s="14">
        <f t="shared" si="4"/>
        <v>1453346.3284008596</v>
      </c>
      <c r="I92" s="55">
        <f t="shared" si="5"/>
        <v>306062.60909081274</v>
      </c>
    </row>
    <row r="93" spans="1:9" x14ac:dyDescent="0.25">
      <c r="A93" s="49">
        <f>'A) Base RI'!A84</f>
        <v>5527</v>
      </c>
      <c r="B93" s="32" t="str">
        <f>'A) Base RI'!B84</f>
        <v>Morrens</v>
      </c>
      <c r="C93" s="31">
        <f>'D) Ecrêtage'!C83</f>
        <v>39310.302027027028</v>
      </c>
      <c r="D93" s="14">
        <f>'A) Base RI'!V84</f>
        <v>1156</v>
      </c>
      <c r="E93" s="10">
        <f t="shared" si="3"/>
        <v>739521.38263729797</v>
      </c>
      <c r="F93" s="14">
        <f>'F) Population'!K86</f>
        <v>179238.63179074446</v>
      </c>
      <c r="G93" s="10">
        <f>'G) Solidarité'!I83</f>
        <v>364856.43428869953</v>
      </c>
      <c r="H93" s="14">
        <f t="shared" si="4"/>
        <v>544095.06607944402</v>
      </c>
      <c r="I93" s="55">
        <f t="shared" si="5"/>
        <v>195426.31655785395</v>
      </c>
    </row>
    <row r="94" spans="1:9" x14ac:dyDescent="0.25">
      <c r="A94" s="49">
        <f>'A) Base RI'!A85</f>
        <v>5529</v>
      </c>
      <c r="B94" s="32" t="str">
        <f>'A) Base RI'!B85</f>
        <v>Oulens-sous-Echallens</v>
      </c>
      <c r="C94" s="31">
        <f>'D) Ecrêtage'!C84</f>
        <v>21162.231857142859</v>
      </c>
      <c r="D94" s="14">
        <f>'A) Base RI'!V85</f>
        <v>619</v>
      </c>
      <c r="E94" s="10">
        <f t="shared" si="3"/>
        <v>398112.50882594497</v>
      </c>
      <c r="F94" s="14">
        <f>'F) Population'!K87</f>
        <v>77219.31589537223</v>
      </c>
      <c r="G94" s="10">
        <f>'G) Solidarité'!I84</f>
        <v>172608.16926269632</v>
      </c>
      <c r="H94" s="14">
        <f t="shared" si="4"/>
        <v>249827.48515806854</v>
      </c>
      <c r="I94" s="55">
        <f t="shared" si="5"/>
        <v>148285.02366787643</v>
      </c>
    </row>
    <row r="95" spans="1:9" x14ac:dyDescent="0.25">
      <c r="A95" s="49">
        <f>'A) Base RI'!A86</f>
        <v>5530</v>
      </c>
      <c r="B95" s="32" t="str">
        <f>'A) Base RI'!B86</f>
        <v>Pailly</v>
      </c>
      <c r="C95" s="31">
        <f>'D) Ecrêtage'!C85</f>
        <v>19062.750131578941</v>
      </c>
      <c r="D95" s="14">
        <f>'A) Base RI'!V86</f>
        <v>575</v>
      </c>
      <c r="E95" s="10">
        <f t="shared" si="3"/>
        <v>358616.20509764244</v>
      </c>
      <c r="F95" s="14">
        <f>'F) Population'!K88</f>
        <v>71730.382293762566</v>
      </c>
      <c r="G95" s="10">
        <f>'G) Solidarité'!I85</f>
        <v>202745.15703304956</v>
      </c>
      <c r="H95" s="14">
        <f t="shared" si="4"/>
        <v>274475.53932681214</v>
      </c>
      <c r="I95" s="55">
        <f t="shared" si="5"/>
        <v>84140.665770830296</v>
      </c>
    </row>
    <row r="96" spans="1:9" x14ac:dyDescent="0.25">
      <c r="A96" s="49">
        <f>'A) Base RI'!A87</f>
        <v>5531</v>
      </c>
      <c r="B96" s="32" t="str">
        <f>'A) Base RI'!B87</f>
        <v>Penthéréaz</v>
      </c>
      <c r="C96" s="31">
        <f>'D) Ecrêtage'!C86</f>
        <v>14300.817432432432</v>
      </c>
      <c r="D96" s="14">
        <f>'A) Base RI'!V87</f>
        <v>417</v>
      </c>
      <c r="E96" s="10">
        <f t="shared" si="3"/>
        <v>269032.7912821644</v>
      </c>
      <c r="F96" s="14">
        <f>'F) Population'!K89</f>
        <v>52020.120724346074</v>
      </c>
      <c r="G96" s="10">
        <f>'G) Solidarité'!I86</f>
        <v>128974.99909265467</v>
      </c>
      <c r="H96" s="14">
        <f t="shared" si="4"/>
        <v>180995.11981700076</v>
      </c>
      <c r="I96" s="55">
        <f t="shared" si="5"/>
        <v>88037.671465163643</v>
      </c>
    </row>
    <row r="97" spans="1:9" x14ac:dyDescent="0.25">
      <c r="A97" s="49">
        <f>'A) Base RI'!A88</f>
        <v>5533</v>
      </c>
      <c r="B97" s="32" t="str">
        <f>'A) Base RI'!B88</f>
        <v>Poliez-Pittet</v>
      </c>
      <c r="C97" s="31">
        <f>'D) Ecrêtage'!C87</f>
        <v>27502.031917808214</v>
      </c>
      <c r="D97" s="14">
        <f>'A) Base RI'!V88</f>
        <v>833</v>
      </c>
      <c r="E97" s="10">
        <f t="shared" si="3"/>
        <v>517379.40490025753</v>
      </c>
      <c r="F97" s="14">
        <f>'F) Population'!K90</f>
        <v>103915.49295774646</v>
      </c>
      <c r="G97" s="10">
        <f>'G) Solidarité'!I87</f>
        <v>273415.74470655771</v>
      </c>
      <c r="H97" s="14">
        <f t="shared" si="4"/>
        <v>377331.23766430421</v>
      </c>
      <c r="I97" s="55">
        <f t="shared" si="5"/>
        <v>140048.16723595333</v>
      </c>
    </row>
    <row r="98" spans="1:9" x14ac:dyDescent="0.25">
      <c r="A98" s="49">
        <f>'A) Base RI'!A89</f>
        <v>5534</v>
      </c>
      <c r="B98" s="32" t="str">
        <f>'A) Base RI'!B89</f>
        <v>Rueyres</v>
      </c>
      <c r="C98" s="31">
        <f>'D) Ecrêtage'!C88</f>
        <v>13106.991872146118</v>
      </c>
      <c r="D98" s="14">
        <f>'A) Base RI'!V89</f>
        <v>304</v>
      </c>
      <c r="E98" s="10">
        <f t="shared" si="3"/>
        <v>246574.05951348733</v>
      </c>
      <c r="F98" s="14">
        <f>'F) Population'!K91</f>
        <v>37923.541247484907</v>
      </c>
      <c r="G98" s="10">
        <f>'G) Solidarité'!I88</f>
        <v>34385.423922903923</v>
      </c>
      <c r="H98" s="14">
        <f t="shared" si="4"/>
        <v>72308.965170388838</v>
      </c>
      <c r="I98" s="55">
        <f t="shared" si="5"/>
        <v>174265.09434309849</v>
      </c>
    </row>
    <row r="99" spans="1:9" x14ac:dyDescent="0.25">
      <c r="A99" s="49">
        <f>'A) Base RI'!A90</f>
        <v>5535</v>
      </c>
      <c r="B99" s="32" t="str">
        <f>'A) Base RI'!B90</f>
        <v>Saint-Barthélemy</v>
      </c>
      <c r="C99" s="31">
        <f>'D) Ecrêtage'!C89</f>
        <v>25080.318533333328</v>
      </c>
      <c r="D99" s="14">
        <f>'A) Base RI'!V90</f>
        <v>809</v>
      </c>
      <c r="E99" s="10">
        <f t="shared" si="3"/>
        <v>471821.14820696594</v>
      </c>
      <c r="F99" s="14">
        <f>'F) Population'!K92</f>
        <v>100921.52917505029</v>
      </c>
      <c r="G99" s="10">
        <f>'G) Solidarité'!I89</f>
        <v>316920.45635810227</v>
      </c>
      <c r="H99" s="14">
        <f t="shared" si="4"/>
        <v>417841.98553315259</v>
      </c>
      <c r="I99" s="55">
        <f t="shared" si="5"/>
        <v>53979.162673813349</v>
      </c>
    </row>
    <row r="100" spans="1:9" x14ac:dyDescent="0.25">
      <c r="A100" s="49">
        <f>'A) Base RI'!A91</f>
        <v>5537</v>
      </c>
      <c r="B100" s="32" t="str">
        <f>'A) Base RI'!B91</f>
        <v>Villars-le-Terroir</v>
      </c>
      <c r="C100" s="31">
        <f>'D) Ecrêtage'!C90</f>
        <v>42917.816052631584</v>
      </c>
      <c r="D100" s="14">
        <f>'A) Base RI'!V91</f>
        <v>1316</v>
      </c>
      <c r="E100" s="10">
        <f t="shared" si="3"/>
        <v>807387.40305770352</v>
      </c>
      <c r="F100" s="14">
        <f>'F) Population'!K93</f>
        <v>235125.95573440642</v>
      </c>
      <c r="G100" s="10">
        <f>'G) Solidarité'!I90</f>
        <v>480437.10474846169</v>
      </c>
      <c r="H100" s="14">
        <f t="shared" si="4"/>
        <v>715563.06048286811</v>
      </c>
      <c r="I100" s="55">
        <f t="shared" si="5"/>
        <v>91824.342574835406</v>
      </c>
    </row>
    <row r="101" spans="1:9" x14ac:dyDescent="0.25">
      <c r="A101" s="49">
        <f>'A) Base RI'!A92</f>
        <v>5539</v>
      </c>
      <c r="B101" s="32" t="str">
        <f>'A) Base RI'!B92</f>
        <v>Vuarrens</v>
      </c>
      <c r="C101" s="31">
        <f>'D) Ecrêtage'!C91</f>
        <v>34558.047482993185</v>
      </c>
      <c r="D101" s="14">
        <f>'A) Base RI'!V92</f>
        <v>1097</v>
      </c>
      <c r="E101" s="10">
        <f t="shared" si="3"/>
        <v>650120.0382102814</v>
      </c>
      <c r="F101" s="14">
        <f>'F) Population'!K94</f>
        <v>158630.18108651909</v>
      </c>
      <c r="G101" s="10">
        <f>'G) Solidarité'!I91</f>
        <v>400864.62952648225</v>
      </c>
      <c r="H101" s="14">
        <f t="shared" si="4"/>
        <v>559494.81061300135</v>
      </c>
      <c r="I101" s="55">
        <f t="shared" si="5"/>
        <v>90625.227597280056</v>
      </c>
    </row>
    <row r="102" spans="1:9" x14ac:dyDescent="0.25">
      <c r="A102" s="49">
        <f>'A) Base RI'!A93</f>
        <v>5540</v>
      </c>
      <c r="B102" s="32" t="str">
        <f>'A) Base RI'!B93</f>
        <v>Montilliez</v>
      </c>
      <c r="C102" s="31">
        <f>'D) Ecrêtage'!C92</f>
        <v>63315.990655172413</v>
      </c>
      <c r="D102" s="14">
        <f>'A) Base RI'!V93</f>
        <v>1883</v>
      </c>
      <c r="E102" s="10">
        <f t="shared" si="3"/>
        <v>1191126.1561961733</v>
      </c>
      <c r="F102" s="14">
        <f>'F) Population'!K95</f>
        <v>433176.65995975852</v>
      </c>
      <c r="G102" s="10">
        <f>'G) Solidarité'!I92</f>
        <v>585510.95065443916</v>
      </c>
      <c r="H102" s="14">
        <f t="shared" si="4"/>
        <v>1018687.6106141977</v>
      </c>
      <c r="I102" s="55">
        <f t="shared" si="5"/>
        <v>172438.5455819756</v>
      </c>
    </row>
    <row r="103" spans="1:9" x14ac:dyDescent="0.25">
      <c r="A103" s="49">
        <f>'A) Base RI'!A94</f>
        <v>5541</v>
      </c>
      <c r="B103" s="32" t="str">
        <f>'A) Base RI'!B94</f>
        <v>Goumoëns</v>
      </c>
      <c r="C103" s="31">
        <f>'D) Ecrêtage'!C93</f>
        <v>41279.032715231784</v>
      </c>
      <c r="D103" s="14">
        <f>'A) Base RI'!V94</f>
        <v>1166</v>
      </c>
      <c r="E103" s="10">
        <f t="shared" si="3"/>
        <v>776557.94469628879</v>
      </c>
      <c r="F103" s="14">
        <f>'F) Population'!K96</f>
        <v>182731.58953722334</v>
      </c>
      <c r="G103" s="10">
        <f>'G) Solidarité'!I93</f>
        <v>345975.40290073893</v>
      </c>
      <c r="H103" s="14">
        <f t="shared" si="4"/>
        <v>528706.99243796221</v>
      </c>
      <c r="I103" s="55">
        <f t="shared" si="5"/>
        <v>247850.95225832658</v>
      </c>
    </row>
    <row r="104" spans="1:9" x14ac:dyDescent="0.25">
      <c r="A104" s="49">
        <f>'A) Base RI'!A95</f>
        <v>5551</v>
      </c>
      <c r="B104" s="32" t="str">
        <f>'A) Base RI'!B95</f>
        <v>Bonvillars</v>
      </c>
      <c r="C104" s="31">
        <f>'D) Ecrêtage'!C94</f>
        <v>18707.412</v>
      </c>
      <c r="D104" s="14">
        <f>'A) Base RI'!V95</f>
        <v>481</v>
      </c>
      <c r="E104" s="10">
        <f t="shared" si="3"/>
        <v>351931.43970997527</v>
      </c>
      <c r="F104" s="14">
        <f>'F) Population'!K97</f>
        <v>60004.02414486921</v>
      </c>
      <c r="G104" s="10">
        <f>'G) Solidarité'!I94</f>
        <v>55439.719045862374</v>
      </c>
      <c r="H104" s="14">
        <f t="shared" si="4"/>
        <v>115443.74319073159</v>
      </c>
      <c r="I104" s="55">
        <f t="shared" si="5"/>
        <v>236487.69651924368</v>
      </c>
    </row>
    <row r="105" spans="1:9" x14ac:dyDescent="0.25">
      <c r="A105" s="49">
        <f>'A) Base RI'!A96</f>
        <v>5552</v>
      </c>
      <c r="B105" s="32" t="str">
        <f>'A) Base RI'!B96</f>
        <v>Bullet</v>
      </c>
      <c r="C105" s="31">
        <f>'D) Ecrêtage'!C95</f>
        <v>19599.59230769231</v>
      </c>
      <c r="D105" s="14">
        <f>'A) Base RI'!V96</f>
        <v>657</v>
      </c>
      <c r="E105" s="10">
        <f t="shared" si="3"/>
        <v>368715.49835833575</v>
      </c>
      <c r="F105" s="14">
        <f>'F) Population'!K98</f>
        <v>81959.758551307837</v>
      </c>
      <c r="G105" s="10">
        <f>'G) Solidarité'!I95</f>
        <v>249617.19648168533</v>
      </c>
      <c r="H105" s="14">
        <f t="shared" si="4"/>
        <v>331576.95503299317</v>
      </c>
      <c r="I105" s="55">
        <f t="shared" si="5"/>
        <v>37138.543325342587</v>
      </c>
    </row>
    <row r="106" spans="1:9" x14ac:dyDescent="0.25">
      <c r="A106" s="49">
        <f>'A) Base RI'!A97</f>
        <v>5553</v>
      </c>
      <c r="B106" s="32" t="str">
        <f>'A) Base RI'!B97</f>
        <v>Champagne</v>
      </c>
      <c r="C106" s="31">
        <f>'D) Ecrêtage'!C96</f>
        <v>40087.525538461538</v>
      </c>
      <c r="D106" s="14">
        <f>'A) Base RI'!V97</f>
        <v>1085</v>
      </c>
      <c r="E106" s="10">
        <f t="shared" si="3"/>
        <v>754142.82730081363</v>
      </c>
      <c r="F106" s="14">
        <f>'F) Population'!K99</f>
        <v>154438.63179074446</v>
      </c>
      <c r="G106" s="10">
        <f>'G) Solidarité'!I96</f>
        <v>210316.66152199148</v>
      </c>
      <c r="H106" s="14">
        <f t="shared" si="4"/>
        <v>364755.29331273597</v>
      </c>
      <c r="I106" s="55">
        <f t="shared" si="5"/>
        <v>389387.53398807766</v>
      </c>
    </row>
    <row r="107" spans="1:9" x14ac:dyDescent="0.25">
      <c r="A107" s="49">
        <f>'A) Base RI'!A98</f>
        <v>5554</v>
      </c>
      <c r="B107" s="32" t="str">
        <f>'A) Base RI'!B98</f>
        <v>Concise</v>
      </c>
      <c r="C107" s="31">
        <f>'D) Ecrêtage'!C97</f>
        <v>31501.78373333333</v>
      </c>
      <c r="D107" s="14">
        <f>'A) Base RI'!V98</f>
        <v>1004</v>
      </c>
      <c r="E107" s="10">
        <f t="shared" si="3"/>
        <v>592624.36208195332</v>
      </c>
      <c r="F107" s="14">
        <f>'F) Population'!K100</f>
        <v>126145.67404426559</v>
      </c>
      <c r="G107" s="10">
        <f>'G) Solidarité'!I97</f>
        <v>384853.3987287081</v>
      </c>
      <c r="H107" s="14">
        <f t="shared" si="4"/>
        <v>510999.07277297368</v>
      </c>
      <c r="I107" s="55">
        <f t="shared" si="5"/>
        <v>81625.289308979642</v>
      </c>
    </row>
    <row r="108" spans="1:9" x14ac:dyDescent="0.25">
      <c r="A108" s="49">
        <f>'A) Base RI'!A99</f>
        <v>5555</v>
      </c>
      <c r="B108" s="32" t="str">
        <f>'A) Base RI'!B99</f>
        <v>Corcelles-près-Concise</v>
      </c>
      <c r="C108" s="31">
        <f>'D) Ecrêtage'!C98</f>
        <v>13878.246956521738</v>
      </c>
      <c r="D108" s="14">
        <f>'A) Base RI'!V99</f>
        <v>417</v>
      </c>
      <c r="E108" s="10">
        <f t="shared" si="3"/>
        <v>261083.22370081322</v>
      </c>
      <c r="F108" s="14">
        <f>'F) Population'!K101</f>
        <v>52020.120724346074</v>
      </c>
      <c r="G108" s="10">
        <f>'G) Solidarité'!I98</f>
        <v>120176.22105241437</v>
      </c>
      <c r="H108" s="14">
        <f t="shared" si="4"/>
        <v>172196.34177676044</v>
      </c>
      <c r="I108" s="55">
        <f t="shared" si="5"/>
        <v>88886.881924052781</v>
      </c>
    </row>
    <row r="109" spans="1:9" x14ac:dyDescent="0.25">
      <c r="A109" s="49">
        <f>'A) Base RI'!A100</f>
        <v>5556</v>
      </c>
      <c r="B109" s="32" t="str">
        <f>'A) Base RI'!B100</f>
        <v>Fiez</v>
      </c>
      <c r="C109" s="31">
        <f>'D) Ecrêtage'!C99</f>
        <v>14577.66780193237</v>
      </c>
      <c r="D109" s="14">
        <f>'A) Base RI'!V100</f>
        <v>442</v>
      </c>
      <c r="E109" s="10">
        <f t="shared" si="3"/>
        <v>274241.01298179617</v>
      </c>
      <c r="F109" s="14">
        <f>'F) Population'!K102</f>
        <v>55138.832997987927</v>
      </c>
      <c r="G109" s="10">
        <f>'G) Solidarité'!I99</f>
        <v>129904.5486218341</v>
      </c>
      <c r="H109" s="14">
        <f t="shared" si="4"/>
        <v>185043.38161982203</v>
      </c>
      <c r="I109" s="55">
        <f t="shared" si="5"/>
        <v>89197.631361974141</v>
      </c>
    </row>
    <row r="110" spans="1:9" x14ac:dyDescent="0.25">
      <c r="A110" s="49">
        <f>'A) Base RI'!A101</f>
        <v>5557</v>
      </c>
      <c r="B110" s="32" t="str">
        <f>'A) Base RI'!B101</f>
        <v>Fontaines-sur-Grandson</v>
      </c>
      <c r="C110" s="31">
        <f>'D) Ecrêtage'!C100</f>
        <v>4232.7450724637674</v>
      </c>
      <c r="D110" s="14">
        <f>'A) Base RI'!V101</f>
        <v>220</v>
      </c>
      <c r="E110" s="10">
        <f t="shared" si="3"/>
        <v>79628.121050494694</v>
      </c>
      <c r="F110" s="14">
        <f>'F) Population'!K103</f>
        <v>27444.668008048287</v>
      </c>
      <c r="G110" s="10">
        <f>'G) Solidarité'!I100</f>
        <v>122187.68498355264</v>
      </c>
      <c r="H110" s="14">
        <f t="shared" si="4"/>
        <v>149632.35299160093</v>
      </c>
      <c r="I110" s="55">
        <f t="shared" si="5"/>
        <v>-70004.231941106234</v>
      </c>
    </row>
    <row r="111" spans="1:9" x14ac:dyDescent="0.25">
      <c r="A111" s="49">
        <f>'A) Base RI'!A102</f>
        <v>5559</v>
      </c>
      <c r="B111" s="32" t="str">
        <f>'A) Base RI'!B102</f>
        <v>Giez</v>
      </c>
      <c r="C111" s="31">
        <f>'D) Ecrêtage'!C101</f>
        <v>23436.990303030303</v>
      </c>
      <c r="D111" s="14">
        <f>'A) Base RI'!V102</f>
        <v>443</v>
      </c>
      <c r="E111" s="10">
        <f t="shared" si="3"/>
        <v>440906.18947261031</v>
      </c>
      <c r="F111" s="14">
        <f>'F) Population'!K104</f>
        <v>55263.581488933596</v>
      </c>
      <c r="G111" s="10">
        <f>'G) Solidarité'!I101</f>
        <v>0</v>
      </c>
      <c r="H111" s="14">
        <f t="shared" si="4"/>
        <v>55263.581488933596</v>
      </c>
      <c r="I111" s="55">
        <f t="shared" si="5"/>
        <v>385642.60798367672</v>
      </c>
    </row>
    <row r="112" spans="1:9" x14ac:dyDescent="0.25">
      <c r="A112" s="49">
        <f>'A) Base RI'!A103</f>
        <v>5560</v>
      </c>
      <c r="B112" s="32" t="str">
        <f>'A) Base RI'!B103</f>
        <v>Grandevent</v>
      </c>
      <c r="C112" s="31">
        <f>'D) Ecrêtage'!C102</f>
        <v>7003.7466176470589</v>
      </c>
      <c r="D112" s="14">
        <f>'A) Base RI'!V103</f>
        <v>238</v>
      </c>
      <c r="E112" s="10">
        <f t="shared" si="3"/>
        <v>131757.32861992877</v>
      </c>
      <c r="F112" s="14">
        <f>'F) Population'!K105</f>
        <v>29690.140845070422</v>
      </c>
      <c r="G112" s="10">
        <f>'G) Solidarité'!I102</f>
        <v>83567.486379572074</v>
      </c>
      <c r="H112" s="14">
        <f t="shared" si="4"/>
        <v>113257.62722464249</v>
      </c>
      <c r="I112" s="55">
        <f t="shared" si="5"/>
        <v>18499.701395286276</v>
      </c>
    </row>
    <row r="113" spans="1:9" x14ac:dyDescent="0.25">
      <c r="A113" s="49">
        <f>'A) Base RI'!A104</f>
        <v>5561</v>
      </c>
      <c r="B113" s="32" t="str">
        <f>'A) Base RI'!B104</f>
        <v>Grandson</v>
      </c>
      <c r="C113" s="31">
        <f>'D) Ecrêtage'!C103</f>
        <v>114506.05043478261</v>
      </c>
      <c r="D113" s="14">
        <f>'A) Base RI'!V104</f>
        <v>3366</v>
      </c>
      <c r="E113" s="10">
        <f t="shared" si="3"/>
        <v>2154134.3711795132</v>
      </c>
      <c r="F113" s="14">
        <f>'F) Population'!K106</f>
        <v>1005971.8309859154</v>
      </c>
      <c r="G113" s="10">
        <f>'G) Solidarité'!I103</f>
        <v>922830.28561710636</v>
      </c>
      <c r="H113" s="14">
        <f t="shared" si="4"/>
        <v>1928802.1166030217</v>
      </c>
      <c r="I113" s="55">
        <f t="shared" si="5"/>
        <v>225332.25457649142</v>
      </c>
    </row>
    <row r="114" spans="1:9" x14ac:dyDescent="0.25">
      <c r="A114" s="49">
        <f>'A) Base RI'!A105</f>
        <v>5562</v>
      </c>
      <c r="B114" s="32" t="str">
        <f>'A) Base RI'!B105</f>
        <v>Mauborget</v>
      </c>
      <c r="C114" s="31">
        <f>'D) Ecrêtage'!C104</f>
        <v>6099.4916904761894</v>
      </c>
      <c r="D114" s="14">
        <f>'A) Base RI'!V105</f>
        <v>137</v>
      </c>
      <c r="E114" s="10">
        <f t="shared" si="3"/>
        <v>114746.11732121557</v>
      </c>
      <c r="F114" s="14">
        <f>'F) Population'!K107</f>
        <v>17090.543259557344</v>
      </c>
      <c r="G114" s="10">
        <f>'G) Solidarité'!I104</f>
        <v>10474.031907593773</v>
      </c>
      <c r="H114" s="14">
        <f t="shared" si="4"/>
        <v>27564.575167151117</v>
      </c>
      <c r="I114" s="55">
        <f t="shared" si="5"/>
        <v>87181.54215406446</v>
      </c>
    </row>
    <row r="115" spans="1:9" x14ac:dyDescent="0.25">
      <c r="A115" s="49">
        <f>'A) Base RI'!A106</f>
        <v>5563</v>
      </c>
      <c r="B115" s="32" t="str">
        <f>'A) Base RI'!B106</f>
        <v>Mutrux</v>
      </c>
      <c r="C115" s="31">
        <f>'D) Ecrêtage'!C105</f>
        <v>4282.2314999999999</v>
      </c>
      <c r="D115" s="14">
        <f>'A) Base RI'!V106</f>
        <v>151</v>
      </c>
      <c r="E115" s="10">
        <f t="shared" si="3"/>
        <v>80559.079843134197</v>
      </c>
      <c r="F115" s="14">
        <f>'F) Population'!K108</f>
        <v>18837.022132796781</v>
      </c>
      <c r="G115" s="10">
        <f>'G) Solidarité'!I105</f>
        <v>77510.455787389728</v>
      </c>
      <c r="H115" s="14">
        <f t="shared" si="4"/>
        <v>96347.477920186502</v>
      </c>
      <c r="I115" s="55">
        <f t="shared" si="5"/>
        <v>-15788.398077052305</v>
      </c>
    </row>
    <row r="116" spans="1:9" x14ac:dyDescent="0.25">
      <c r="A116" s="49">
        <f>'A) Base RI'!A107</f>
        <v>5564</v>
      </c>
      <c r="B116" s="32" t="str">
        <f>'A) Base RI'!B107</f>
        <v>Novalles</v>
      </c>
      <c r="C116" s="31">
        <f>'D) Ecrêtage'!C106</f>
        <v>2099.5480592105264</v>
      </c>
      <c r="D116" s="14">
        <f>'A) Base RI'!V107</f>
        <v>103</v>
      </c>
      <c r="E116" s="10">
        <f t="shared" si="3"/>
        <v>39497.551623829364</v>
      </c>
      <c r="F116" s="14">
        <f>'F) Population'!K109</f>
        <v>12849.094567404425</v>
      </c>
      <c r="G116" s="10">
        <f>'G) Solidarité'!I106</f>
        <v>66680.968075747951</v>
      </c>
      <c r="H116" s="14">
        <f t="shared" si="4"/>
        <v>79530.062643152371</v>
      </c>
      <c r="I116" s="55">
        <f t="shared" si="5"/>
        <v>-40032.511019323007</v>
      </c>
    </row>
    <row r="117" spans="1:9" x14ac:dyDescent="0.25">
      <c r="A117" s="49">
        <f>'A) Base RI'!A108</f>
        <v>5565</v>
      </c>
      <c r="B117" s="32" t="str">
        <f>'A) Base RI'!B108</f>
        <v>Onnens</v>
      </c>
      <c r="C117" s="31">
        <f>'D) Ecrêtage'!C107</f>
        <v>22703.427716535429</v>
      </c>
      <c r="D117" s="14">
        <f>'A) Base RI'!V108</f>
        <v>495</v>
      </c>
      <c r="E117" s="10">
        <f t="shared" si="3"/>
        <v>427106.11187863233</v>
      </c>
      <c r="F117" s="14">
        <f>'F) Population'!K110</f>
        <v>61750.503018108648</v>
      </c>
      <c r="G117" s="10">
        <f>'G) Solidarité'!I107</f>
        <v>20422.51584391604</v>
      </c>
      <c r="H117" s="14">
        <f t="shared" si="4"/>
        <v>82173.018862024692</v>
      </c>
      <c r="I117" s="55">
        <f t="shared" si="5"/>
        <v>344933.09301660763</v>
      </c>
    </row>
    <row r="118" spans="1:9" x14ac:dyDescent="0.25">
      <c r="A118" s="49">
        <f>'A) Base RI'!A109</f>
        <v>5566</v>
      </c>
      <c r="B118" s="32" t="str">
        <f>'A) Base RI'!B109</f>
        <v>Provence</v>
      </c>
      <c r="C118" s="31">
        <f>'D) Ecrêtage'!C108</f>
        <v>9377.8413580246925</v>
      </c>
      <c r="D118" s="14">
        <f>'A) Base RI'!V109</f>
        <v>403</v>
      </c>
      <c r="E118" s="10">
        <f t="shared" si="3"/>
        <v>176419.76402194911</v>
      </c>
      <c r="F118" s="14">
        <f>'F) Population'!K111</f>
        <v>50273.641851106637</v>
      </c>
      <c r="G118" s="10">
        <f>'G) Solidarité'!I108</f>
        <v>265853.35722034361</v>
      </c>
      <c r="H118" s="14">
        <f t="shared" si="4"/>
        <v>316126.99907145026</v>
      </c>
      <c r="I118" s="55">
        <f t="shared" si="5"/>
        <v>-139707.23504950115</v>
      </c>
    </row>
    <row r="119" spans="1:9" x14ac:dyDescent="0.25">
      <c r="A119" s="49">
        <f>'A) Base RI'!A110</f>
        <v>5568</v>
      </c>
      <c r="B119" s="32" t="str">
        <f>'A) Base RI'!B110</f>
        <v>Sainte-Croix</v>
      </c>
      <c r="C119" s="31">
        <f>'D) Ecrêtage'!C109</f>
        <v>109171.87199999999</v>
      </c>
      <c r="D119" s="14">
        <f>'A) Base RI'!V110</f>
        <v>4948</v>
      </c>
      <c r="E119" s="10">
        <f t="shared" si="3"/>
        <v>2053785.6379489119</v>
      </c>
      <c r="F119" s="14">
        <f>'F) Population'!K112</f>
        <v>1795380.2816901407</v>
      </c>
      <c r="G119" s="10">
        <f>'G) Solidarité'!I109</f>
        <v>2554665.8113967818</v>
      </c>
      <c r="H119" s="14">
        <f t="shared" si="4"/>
        <v>4350046.0930869225</v>
      </c>
      <c r="I119" s="55">
        <f t="shared" si="5"/>
        <v>-2296260.4551380109</v>
      </c>
    </row>
    <row r="120" spans="1:9" x14ac:dyDescent="0.25">
      <c r="A120" s="49">
        <f>'A) Base RI'!A111</f>
        <v>5571</v>
      </c>
      <c r="B120" s="32" t="str">
        <f>'A) Base RI'!B111</f>
        <v>Tévenon</v>
      </c>
      <c r="C120" s="31">
        <f>'D) Ecrêtage'!C110</f>
        <v>25325.239790209791</v>
      </c>
      <c r="D120" s="14">
        <f>'A) Base RI'!V111</f>
        <v>883</v>
      </c>
      <c r="E120" s="10">
        <f t="shared" si="3"/>
        <v>476428.70645971142</v>
      </c>
      <c r="F120" s="14">
        <f>'F) Population'!K113</f>
        <v>110152.91750503017</v>
      </c>
      <c r="G120" s="10">
        <f>'G) Solidarité'!I110</f>
        <v>356250.86357784073</v>
      </c>
      <c r="H120" s="14">
        <f t="shared" si="4"/>
        <v>466403.7810828709</v>
      </c>
      <c r="I120" s="55">
        <f t="shared" si="5"/>
        <v>10024.925376840518</v>
      </c>
    </row>
    <row r="121" spans="1:9" x14ac:dyDescent="0.25">
      <c r="A121" s="49">
        <f>'A) Base RI'!A112</f>
        <v>5581</v>
      </c>
      <c r="B121" s="32" t="str">
        <f>'A) Base RI'!B112</f>
        <v>Belmont-sur-Lausanne</v>
      </c>
      <c r="C121" s="31">
        <f>'D) Ecrêtage'!C111</f>
        <v>215435.94296296299</v>
      </c>
      <c r="D121" s="14">
        <f>'A) Base RI'!V112</f>
        <v>3871</v>
      </c>
      <c r="E121" s="10">
        <f t="shared" si="3"/>
        <v>4052868.5406742352</v>
      </c>
      <c r="F121" s="14">
        <f>'F) Population'!K114</f>
        <v>1257963.7826961768</v>
      </c>
      <c r="G121" s="10">
        <f>'G) Solidarité'!I111</f>
        <v>0</v>
      </c>
      <c r="H121" s="14">
        <f t="shared" si="4"/>
        <v>1257963.7826961768</v>
      </c>
      <c r="I121" s="55">
        <f t="shared" si="5"/>
        <v>2794904.7579780584</v>
      </c>
    </row>
    <row r="122" spans="1:9" x14ac:dyDescent="0.25">
      <c r="A122" s="49">
        <f>'A) Base RI'!A113</f>
        <v>5582</v>
      </c>
      <c r="B122" s="32" t="str">
        <f>'A) Base RI'!B113</f>
        <v>Cheseaux-sur-Lausanne</v>
      </c>
      <c r="C122" s="31">
        <f>'D) Ecrêtage'!C112</f>
        <v>167506.84698630136</v>
      </c>
      <c r="D122" s="14">
        <f>'A) Base RI'!V113</f>
        <v>4449</v>
      </c>
      <c r="E122" s="10">
        <f t="shared" si="3"/>
        <v>3151206.9024388604</v>
      </c>
      <c r="F122" s="14">
        <f>'F) Population'!K115</f>
        <v>1546382.2937625754</v>
      </c>
      <c r="G122" s="10">
        <f>'G) Solidarité'!I112</f>
        <v>1021081.3502796502</v>
      </c>
      <c r="H122" s="14">
        <f t="shared" si="4"/>
        <v>2567463.6440422256</v>
      </c>
      <c r="I122" s="55">
        <f t="shared" si="5"/>
        <v>583743.25839663483</v>
      </c>
    </row>
    <row r="123" spans="1:9" x14ac:dyDescent="0.25">
      <c r="A123" s="49">
        <f>'A) Base RI'!A114</f>
        <v>5583</v>
      </c>
      <c r="B123" s="32" t="str">
        <f>'A) Base RI'!B114</f>
        <v>Crissier</v>
      </c>
      <c r="C123" s="31">
        <f>'D) Ecrêtage'!C113</f>
        <v>337550.36173228343</v>
      </c>
      <c r="D123" s="14">
        <f>'A) Base RI'!V114</f>
        <v>8974</v>
      </c>
      <c r="E123" s="10">
        <f t="shared" si="3"/>
        <v>6350134.6300100433</v>
      </c>
      <c r="F123" s="14">
        <f>'F) Population'!K116</f>
        <v>4200930.3822937626</v>
      </c>
      <c r="G123" s="10">
        <f>'G) Solidarité'!I113</f>
        <v>1563658.6473285058</v>
      </c>
      <c r="H123" s="14">
        <f t="shared" si="4"/>
        <v>5764589.0296222679</v>
      </c>
      <c r="I123" s="55">
        <f t="shared" si="5"/>
        <v>585545.60038777534</v>
      </c>
    </row>
    <row r="124" spans="1:9" x14ac:dyDescent="0.25">
      <c r="A124" s="49">
        <f>'A) Base RI'!A115</f>
        <v>5584</v>
      </c>
      <c r="B124" s="32" t="str">
        <f>'A) Base RI'!B115</f>
        <v>Epalinges</v>
      </c>
      <c r="C124" s="31">
        <f>'D) Ecrêtage'!C114</f>
        <v>516766.84201550385</v>
      </c>
      <c r="D124" s="14">
        <f>'A) Base RI'!V115</f>
        <v>9813</v>
      </c>
      <c r="E124" s="10">
        <f t="shared" si="3"/>
        <v>9721627.9143739175</v>
      </c>
      <c r="F124" s="14">
        <f>'F) Population'!K117</f>
        <v>4906158.5513078459</v>
      </c>
      <c r="G124" s="10">
        <f>'G) Solidarité'!I114</f>
        <v>0</v>
      </c>
      <c r="H124" s="14">
        <f t="shared" si="4"/>
        <v>4906158.5513078459</v>
      </c>
      <c r="I124" s="55">
        <f t="shared" si="5"/>
        <v>4815469.3630660716</v>
      </c>
    </row>
    <row r="125" spans="1:9" x14ac:dyDescent="0.25">
      <c r="A125" s="49">
        <f>'A) Base RI'!A116</f>
        <v>5585</v>
      </c>
      <c r="B125" s="32" t="str">
        <f>'A) Base RI'!B116</f>
        <v>Jouxtens-Mézery</v>
      </c>
      <c r="C125" s="31">
        <f>'D) Ecrêtage'!C115</f>
        <v>191744.87050847456</v>
      </c>
      <c r="D125" s="14">
        <f>'A) Base RI'!V116</f>
        <v>1460</v>
      </c>
      <c r="E125" s="10">
        <f t="shared" si="3"/>
        <v>3607182.4544758103</v>
      </c>
      <c r="F125" s="14">
        <f>'F) Population'!K118</f>
        <v>285424.54728370218</v>
      </c>
      <c r="G125" s="10">
        <f>'G) Solidarité'!I115</f>
        <v>0</v>
      </c>
      <c r="H125" s="14">
        <f t="shared" si="4"/>
        <v>285424.54728370218</v>
      </c>
      <c r="I125" s="55">
        <f t="shared" si="5"/>
        <v>3321757.9071921082</v>
      </c>
    </row>
    <row r="126" spans="1:9" x14ac:dyDescent="0.25">
      <c r="A126" s="49">
        <f>'A) Base RI'!A117</f>
        <v>5586</v>
      </c>
      <c r="B126" s="32" t="str">
        <f>'A) Base RI'!B117</f>
        <v>Lausanne</v>
      </c>
      <c r="C126" s="31">
        <f>'D) Ecrêtage'!C116</f>
        <v>6461491.7137154993</v>
      </c>
      <c r="D126" s="14">
        <f>'A) Base RI'!V117</f>
        <v>140824</v>
      </c>
      <c r="E126" s="10">
        <f t="shared" si="3"/>
        <v>121556208.92307128</v>
      </c>
      <c r="F126" s="14">
        <f>'F) Population'!K119</f>
        <v>141604706.63983902</v>
      </c>
      <c r="G126" s="10">
        <f>'G) Solidarité'!I116</f>
        <v>8816931.1140901558</v>
      </c>
      <c r="H126" s="14">
        <f t="shared" si="4"/>
        <v>150421637.75392917</v>
      </c>
      <c r="I126" s="55">
        <f t="shared" si="5"/>
        <v>-28865428.830857888</v>
      </c>
    </row>
    <row r="127" spans="1:9" x14ac:dyDescent="0.25">
      <c r="A127" s="49">
        <f>'A) Base RI'!A118</f>
        <v>5587</v>
      </c>
      <c r="B127" s="32" t="str">
        <f>'A) Base RI'!B118</f>
        <v>Le Mont-sur-Lausanne</v>
      </c>
      <c r="C127" s="31">
        <f>'D) Ecrêtage'!C117</f>
        <v>495058.05378684809</v>
      </c>
      <c r="D127" s="14">
        <f>'A) Base RI'!V118</f>
        <v>9217</v>
      </c>
      <c r="E127" s="10">
        <f t="shared" si="3"/>
        <v>9313233.3648942895</v>
      </c>
      <c r="F127" s="14">
        <f>'F) Population'!K120</f>
        <v>4400577.8672032179</v>
      </c>
      <c r="G127" s="10">
        <f>'G) Solidarité'!I117</f>
        <v>0</v>
      </c>
      <c r="H127" s="14">
        <f t="shared" si="4"/>
        <v>4400577.8672032179</v>
      </c>
      <c r="I127" s="55">
        <f t="shared" si="5"/>
        <v>4912655.4976910716</v>
      </c>
    </row>
    <row r="128" spans="1:9" x14ac:dyDescent="0.25">
      <c r="A128" s="49">
        <f>'A) Base RI'!A119</f>
        <v>5588</v>
      </c>
      <c r="B128" s="32" t="str">
        <f>'A) Base RI'!B119</f>
        <v>Paudex</v>
      </c>
      <c r="C128" s="31">
        <f>'D) Ecrêtage'!C118</f>
        <v>215756.29785177234</v>
      </c>
      <c r="D128" s="14">
        <f>'A) Base RI'!V119</f>
        <v>1545</v>
      </c>
      <c r="E128" s="10">
        <f t="shared" si="3"/>
        <v>4058895.187077105</v>
      </c>
      <c r="F128" s="14">
        <f>'F) Population'!K121</f>
        <v>315114.68812877266</v>
      </c>
      <c r="G128" s="10">
        <f>'G) Solidarité'!I118</f>
        <v>0</v>
      </c>
      <c r="H128" s="14">
        <f t="shared" si="4"/>
        <v>315114.68812877266</v>
      </c>
      <c r="I128" s="55">
        <f t="shared" si="5"/>
        <v>3743780.4989483324</v>
      </c>
    </row>
    <row r="129" spans="1:9" x14ac:dyDescent="0.25">
      <c r="A129" s="49">
        <f>'A) Base RI'!A120</f>
        <v>5589</v>
      </c>
      <c r="B129" s="32" t="str">
        <f>'A) Base RI'!B120</f>
        <v>Prilly</v>
      </c>
      <c r="C129" s="31">
        <f>'D) Ecrêtage'!C119</f>
        <v>419549.81642440322</v>
      </c>
      <c r="D129" s="14">
        <f>'A) Base RI'!V120</f>
        <v>12341</v>
      </c>
      <c r="E129" s="10">
        <f t="shared" si="3"/>
        <v>7892741.7070996268</v>
      </c>
      <c r="F129" s="14">
        <f>'F) Population'!K122</f>
        <v>7101682.0925553311</v>
      </c>
      <c r="G129" s="10">
        <f>'G) Solidarité'!I119</f>
        <v>3741097.552581761</v>
      </c>
      <c r="H129" s="14">
        <f t="shared" si="4"/>
        <v>10842779.645137092</v>
      </c>
      <c r="I129" s="55">
        <f t="shared" si="5"/>
        <v>-2950037.9380374653</v>
      </c>
    </row>
    <row r="130" spans="1:9" x14ac:dyDescent="0.25">
      <c r="A130" s="49">
        <f>'A) Base RI'!A121</f>
        <v>5590</v>
      </c>
      <c r="B130" s="32" t="str">
        <f>'A) Base RI'!B121</f>
        <v>Pully</v>
      </c>
      <c r="C130" s="31">
        <f>'D) Ecrêtage'!C120</f>
        <v>1603030.9692740045</v>
      </c>
      <c r="D130" s="14">
        <f>'A) Base RI'!V121</f>
        <v>18946</v>
      </c>
      <c r="E130" s="10">
        <f t="shared" si="3"/>
        <v>30156870.277742185</v>
      </c>
      <c r="F130" s="14">
        <f>'F) Population'!K123</f>
        <v>13890295.372233398</v>
      </c>
      <c r="G130" s="10">
        <f>'G) Solidarité'!I120</f>
        <v>0</v>
      </c>
      <c r="H130" s="14">
        <f t="shared" si="4"/>
        <v>13890295.372233398</v>
      </c>
      <c r="I130" s="55">
        <f t="shared" si="5"/>
        <v>16266574.905508786</v>
      </c>
    </row>
    <row r="131" spans="1:9" x14ac:dyDescent="0.25">
      <c r="A131" s="49">
        <f>'A) Base RI'!A122</f>
        <v>5591</v>
      </c>
      <c r="B131" s="32" t="str">
        <f>'A) Base RI'!B122</f>
        <v>Renens</v>
      </c>
      <c r="C131" s="31">
        <f>'D) Ecrêtage'!C121</f>
        <v>569784.47115027823</v>
      </c>
      <c r="D131" s="14">
        <f>'A) Base RI'!V122</f>
        <v>20917</v>
      </c>
      <c r="E131" s="10">
        <f t="shared" si="3"/>
        <v>10719017.107032457</v>
      </c>
      <c r="F131" s="14">
        <f>'F) Population'!K124</f>
        <v>15955681.287726358</v>
      </c>
      <c r="G131" s="10">
        <f>'G) Solidarité'!I121</f>
        <v>10501452.544163132</v>
      </c>
      <c r="H131" s="14">
        <f t="shared" si="4"/>
        <v>26457133.831889488</v>
      </c>
      <c r="I131" s="55">
        <f t="shared" si="5"/>
        <v>-15738116.72485703</v>
      </c>
    </row>
    <row r="132" spans="1:9" x14ac:dyDescent="0.25">
      <c r="A132" s="49">
        <f>'A) Base RI'!A123</f>
        <v>5592</v>
      </c>
      <c r="B132" s="32" t="str">
        <f>'A) Base RI'!B123</f>
        <v>Romanel-sur-Lausanne</v>
      </c>
      <c r="C132" s="31">
        <f>'D) Ecrêtage'!C122</f>
        <v>121086.56368794327</v>
      </c>
      <c r="D132" s="14">
        <f>'A) Base RI'!V123</f>
        <v>3482</v>
      </c>
      <c r="E132" s="10">
        <f t="shared" si="3"/>
        <v>2277929.6616887189</v>
      </c>
      <c r="F132" s="14">
        <f>'F) Population'!K125</f>
        <v>1063855.1307847081</v>
      </c>
      <c r="G132" s="10">
        <f>'G) Solidarité'!I122</f>
        <v>944254.93317068683</v>
      </c>
      <c r="H132" s="14">
        <f t="shared" si="4"/>
        <v>2008110.063955395</v>
      </c>
      <c r="I132" s="55">
        <f t="shared" si="5"/>
        <v>269819.59773332393</v>
      </c>
    </row>
    <row r="133" spans="1:9" x14ac:dyDescent="0.25">
      <c r="A133" s="49">
        <f>'A) Base RI'!A124</f>
        <v>5601</v>
      </c>
      <c r="B133" s="32" t="str">
        <f>'A) Base RI'!B124</f>
        <v>Chexbres</v>
      </c>
      <c r="C133" s="31">
        <f>'D) Ecrêtage'!C123</f>
        <v>105973.06044444445</v>
      </c>
      <c r="D133" s="14">
        <f>'A) Base RI'!V124</f>
        <v>2229</v>
      </c>
      <c r="E133" s="10">
        <f t="shared" si="3"/>
        <v>1993608.2945457962</v>
      </c>
      <c r="F133" s="14">
        <f>'F) Population'!K126</f>
        <v>554032.99798792752</v>
      </c>
      <c r="G133" s="10">
        <f>'G) Solidarité'!I123</f>
        <v>35824.31954179996</v>
      </c>
      <c r="H133" s="14">
        <f t="shared" si="4"/>
        <v>589857.31752972747</v>
      </c>
      <c r="I133" s="55">
        <f t="shared" si="5"/>
        <v>1403750.9770160688</v>
      </c>
    </row>
    <row r="134" spans="1:9" x14ac:dyDescent="0.25">
      <c r="A134" s="49">
        <f>'A) Base RI'!A125</f>
        <v>5604</v>
      </c>
      <c r="B134" s="32" t="str">
        <f>'A) Base RI'!B125</f>
        <v>Forel (Lavaux)</v>
      </c>
      <c r="C134" s="31">
        <f>'D) Ecrêtage'!C124</f>
        <v>75818.919130434777</v>
      </c>
      <c r="D134" s="14">
        <f>'A) Base RI'!V125</f>
        <v>2110</v>
      </c>
      <c r="E134" s="10">
        <f t="shared" si="3"/>
        <v>1426336.3295162418</v>
      </c>
      <c r="F134" s="14">
        <f>'F) Population'!K127</f>
        <v>512466.80080482899</v>
      </c>
      <c r="G134" s="10">
        <f>'G) Solidarité'!I124</f>
        <v>501601.38704873784</v>
      </c>
      <c r="H134" s="14">
        <f t="shared" si="4"/>
        <v>1014068.1878535668</v>
      </c>
      <c r="I134" s="55">
        <f t="shared" si="5"/>
        <v>412268.14166267496</v>
      </c>
    </row>
    <row r="135" spans="1:9" x14ac:dyDescent="0.25">
      <c r="A135" s="49">
        <f>'A) Base RI'!A126</f>
        <v>5606</v>
      </c>
      <c r="B135" s="32" t="str">
        <f>'A) Base RI'!B126</f>
        <v>Lutry</v>
      </c>
      <c r="C135" s="31">
        <f>'D) Ecrêtage'!C125</f>
        <v>941137.19529100519</v>
      </c>
      <c r="D135" s="14">
        <f>'A) Base RI'!V126</f>
        <v>10704</v>
      </c>
      <c r="E135" s="10">
        <f t="shared" si="3"/>
        <v>17705055.520420011</v>
      </c>
      <c r="F135" s="14">
        <f>'F) Population'!K128</f>
        <v>5661984.7082494963</v>
      </c>
      <c r="G135" s="10">
        <f>'G) Solidarité'!I125</f>
        <v>0</v>
      </c>
      <c r="H135" s="14">
        <f t="shared" si="4"/>
        <v>5661984.7082494963</v>
      </c>
      <c r="I135" s="55">
        <f t="shared" si="5"/>
        <v>12043070.812170515</v>
      </c>
    </row>
    <row r="136" spans="1:9" x14ac:dyDescent="0.25">
      <c r="A136" s="49">
        <f>'A) Base RI'!A127</f>
        <v>5607</v>
      </c>
      <c r="B136" s="32" t="str">
        <f>'A) Base RI'!B127</f>
        <v>Puidoux</v>
      </c>
      <c r="C136" s="31">
        <f>'D) Ecrêtage'!C126</f>
        <v>111580.38136464616</v>
      </c>
      <c r="D136" s="14">
        <f>'A) Base RI'!V127</f>
        <v>2924</v>
      </c>
      <c r="E136" s="10">
        <f t="shared" si="3"/>
        <v>2099095.4952533264</v>
      </c>
      <c r="F136" s="14">
        <f>'F) Population'!K129</f>
        <v>796793.56136820919</v>
      </c>
      <c r="G136" s="10">
        <f>'G) Solidarité'!I126</f>
        <v>562941.72551527503</v>
      </c>
      <c r="H136" s="14">
        <f t="shared" si="4"/>
        <v>1359735.2868834841</v>
      </c>
      <c r="I136" s="55">
        <f t="shared" si="5"/>
        <v>739360.20836984226</v>
      </c>
    </row>
    <row r="137" spans="1:9" x14ac:dyDescent="0.25">
      <c r="A137" s="49">
        <f>'A) Base RI'!A128</f>
        <v>5609</v>
      </c>
      <c r="B137" s="32" t="str">
        <f>'A) Base RI'!B128</f>
        <v>Rivaz</v>
      </c>
      <c r="C137" s="31">
        <f>'D) Ecrêtage'!C127</f>
        <v>14896.510161290325</v>
      </c>
      <c r="D137" s="14">
        <f>'A) Base RI'!V128</f>
        <v>331</v>
      </c>
      <c r="E137" s="10">
        <f t="shared" si="3"/>
        <v>280239.20506573434</v>
      </c>
      <c r="F137" s="14">
        <f>'F) Population'!K130</f>
        <v>41291.750503018106</v>
      </c>
      <c r="G137" s="10">
        <f>'G) Solidarité'!I127</f>
        <v>17397.214237015258</v>
      </c>
      <c r="H137" s="14">
        <f t="shared" si="4"/>
        <v>58688.964740033363</v>
      </c>
      <c r="I137" s="55">
        <f t="shared" si="5"/>
        <v>221550.24032570096</v>
      </c>
    </row>
    <row r="138" spans="1:9" x14ac:dyDescent="0.25">
      <c r="A138" s="49">
        <f>'A) Base RI'!A129</f>
        <v>5610</v>
      </c>
      <c r="B138" s="32" t="str">
        <f>'A) Base RI'!B129</f>
        <v>St-Saphorin (Lavaux)</v>
      </c>
      <c r="C138" s="31">
        <f>'D) Ecrêtage'!C128</f>
        <v>23448.462152777778</v>
      </c>
      <c r="D138" s="14">
        <f>'A) Base RI'!V129</f>
        <v>396</v>
      </c>
      <c r="E138" s="10">
        <f t="shared" si="3"/>
        <v>441122.00257373648</v>
      </c>
      <c r="F138" s="14">
        <f>'F) Population'!K131</f>
        <v>49400.402414486918</v>
      </c>
      <c r="G138" s="10">
        <f>'G) Solidarité'!I128</f>
        <v>0</v>
      </c>
      <c r="H138" s="14">
        <f t="shared" si="4"/>
        <v>49400.402414486918</v>
      </c>
      <c r="I138" s="55">
        <f t="shared" si="5"/>
        <v>391721.60015924956</v>
      </c>
    </row>
    <row r="139" spans="1:9" x14ac:dyDescent="0.25">
      <c r="A139" s="49">
        <f>'A) Base RI'!A130</f>
        <v>5611</v>
      </c>
      <c r="B139" s="32" t="str">
        <f>'A) Base RI'!B130</f>
        <v>Savigny</v>
      </c>
      <c r="C139" s="31">
        <f>'D) Ecrêtage'!C129</f>
        <v>140983.13330917869</v>
      </c>
      <c r="D139" s="14">
        <f>'A) Base RI'!V130</f>
        <v>3370</v>
      </c>
      <c r="E139" s="10">
        <f t="shared" si="3"/>
        <v>2652232.0180002786</v>
      </c>
      <c r="F139" s="14">
        <f>'F) Population'!K132</f>
        <v>1007967.8068410461</v>
      </c>
      <c r="G139" s="10">
        <f>'G) Solidarité'!I129</f>
        <v>422661.24953298445</v>
      </c>
      <c r="H139" s="14">
        <f t="shared" si="4"/>
        <v>1430629.0563740307</v>
      </c>
      <c r="I139" s="55">
        <f t="shared" si="5"/>
        <v>1221602.961626248</v>
      </c>
    </row>
    <row r="140" spans="1:9" x14ac:dyDescent="0.25">
      <c r="A140" s="49">
        <f>'A) Base RI'!A131</f>
        <v>5613</v>
      </c>
      <c r="B140" s="32" t="str">
        <f>'A) Base RI'!B131</f>
        <v>Bourg-en-Lavaux</v>
      </c>
      <c r="C140" s="31">
        <f>'D) Ecrêtage'!C130</f>
        <v>357210.57141333341</v>
      </c>
      <c r="D140" s="14">
        <f>'A) Base RI'!V131</f>
        <v>5367</v>
      </c>
      <c r="E140" s="10">
        <f t="shared" si="3"/>
        <v>6719990.4870388992</v>
      </c>
      <c r="F140" s="14">
        <f>'F) Population'!K133</f>
        <v>2041084.9094567401</v>
      </c>
      <c r="G140" s="10">
        <f>'G) Solidarité'!I130</f>
        <v>0</v>
      </c>
      <c r="H140" s="14">
        <f t="shared" si="4"/>
        <v>2041084.9094567401</v>
      </c>
      <c r="I140" s="55">
        <f t="shared" si="5"/>
        <v>4678905.5775821591</v>
      </c>
    </row>
    <row r="141" spans="1:9" x14ac:dyDescent="0.25">
      <c r="A141" s="49">
        <f>'A) Base RI'!A132</f>
        <v>5621</v>
      </c>
      <c r="B141" s="32" t="str">
        <f>'A) Base RI'!B132</f>
        <v>Aclens</v>
      </c>
      <c r="C141" s="31">
        <f>'D) Ecrêtage'!C131</f>
        <v>32271.293782991204</v>
      </c>
      <c r="D141" s="14">
        <f>'A) Base RI'!V132</f>
        <v>517</v>
      </c>
      <c r="E141" s="10">
        <f t="shared" si="3"/>
        <v>607100.69796675607</v>
      </c>
      <c r="F141" s="14">
        <f>'F) Population'!K134</f>
        <v>64494.96981891348</v>
      </c>
      <c r="G141" s="10">
        <f>'G) Solidarité'!I131</f>
        <v>0</v>
      </c>
      <c r="H141" s="14">
        <f t="shared" si="4"/>
        <v>64494.96981891348</v>
      </c>
      <c r="I141" s="55">
        <f t="shared" si="5"/>
        <v>542605.72814784257</v>
      </c>
    </row>
    <row r="142" spans="1:9" x14ac:dyDescent="0.25">
      <c r="A142" s="49">
        <f>'A) Base RI'!A133</f>
        <v>5622</v>
      </c>
      <c r="B142" s="32" t="str">
        <f>'A) Base RI'!B133</f>
        <v>Bremblens</v>
      </c>
      <c r="C142" s="31">
        <f>'D) Ecrêtage'!C132</f>
        <v>28643.938676470589</v>
      </c>
      <c r="D142" s="14">
        <f>'A) Base RI'!V133</f>
        <v>607</v>
      </c>
      <c r="E142" s="10">
        <f t="shared" si="3"/>
        <v>538861.41906611866</v>
      </c>
      <c r="F142" s="14">
        <f>'F) Population'!K135</f>
        <v>75722.334004024146</v>
      </c>
      <c r="G142" s="10">
        <f>'G) Solidarité'!I132</f>
        <v>13866.72553631926</v>
      </c>
      <c r="H142" s="14">
        <f t="shared" si="4"/>
        <v>89589.059540343413</v>
      </c>
      <c r="I142" s="55">
        <f t="shared" si="5"/>
        <v>449272.35952577525</v>
      </c>
    </row>
    <row r="143" spans="1:9" x14ac:dyDescent="0.25">
      <c r="A143" s="49">
        <f>'A) Base RI'!A134</f>
        <v>5623</v>
      </c>
      <c r="B143" s="32" t="str">
        <f>'A) Base RI'!B134</f>
        <v>Buchillon</v>
      </c>
      <c r="C143" s="31">
        <f>'D) Ecrêtage'!C133</f>
        <v>89231.951153846152</v>
      </c>
      <c r="D143" s="14">
        <f>'A) Base RI'!V134</f>
        <v>669</v>
      </c>
      <c r="E143" s="10">
        <f t="shared" si="3"/>
        <v>1678667.7407705171</v>
      </c>
      <c r="F143" s="14">
        <f>'F) Population'!K136</f>
        <v>83456.740442655937</v>
      </c>
      <c r="G143" s="10">
        <f>'G) Solidarité'!I133</f>
        <v>0</v>
      </c>
      <c r="H143" s="14">
        <f t="shared" si="4"/>
        <v>83456.740442655937</v>
      </c>
      <c r="I143" s="55">
        <f t="shared" si="5"/>
        <v>1595211.0003278612</v>
      </c>
    </row>
    <row r="144" spans="1:9" x14ac:dyDescent="0.25">
      <c r="A144" s="49">
        <f>'A) Base RI'!A135</f>
        <v>5624</v>
      </c>
      <c r="B144" s="32" t="str">
        <f>'A) Base RI'!B135</f>
        <v>Bussigny</v>
      </c>
      <c r="C144" s="31">
        <f>'D) Ecrêtage'!C134</f>
        <v>441939.99008000002</v>
      </c>
      <c r="D144" s="14">
        <f>'A) Base RI'!V135</f>
        <v>10253</v>
      </c>
      <c r="E144" s="10">
        <f t="shared" ref="E144:E207" si="6">C144*E$15</f>
        <v>8313954.7562360084</v>
      </c>
      <c r="F144" s="14">
        <f>'F) Population'!K137</f>
        <v>5279406.036217303</v>
      </c>
      <c r="G144" s="10">
        <f>'G) Solidarité'!I134</f>
        <v>851953.08064527926</v>
      </c>
      <c r="H144" s="14">
        <f t="shared" ref="H144:H207" si="7">F144+G144</f>
        <v>6131359.116862582</v>
      </c>
      <c r="I144" s="55">
        <f t="shared" ref="I144:I207" si="8">E144-H144</f>
        <v>2182595.6393734263</v>
      </c>
    </row>
    <row r="145" spans="1:9" x14ac:dyDescent="0.25">
      <c r="A145" s="49">
        <f>'A) Base RI'!A136</f>
        <v>5625</v>
      </c>
      <c r="B145" s="32" t="str">
        <f>'A) Base RI'!B136</f>
        <v>Bussy-Chardonney</v>
      </c>
      <c r="C145" s="31">
        <f>'D) Ecrêtage'!C135</f>
        <v>21108.495740740738</v>
      </c>
      <c r="D145" s="14">
        <f>'A) Base RI'!V136</f>
        <v>412</v>
      </c>
      <c r="E145" s="10">
        <f t="shared" si="6"/>
        <v>397101.6031587249</v>
      </c>
      <c r="F145" s="14">
        <f>'F) Population'!K138</f>
        <v>51396.3782696177</v>
      </c>
      <c r="G145" s="10">
        <f>'G) Solidarité'!I135</f>
        <v>0</v>
      </c>
      <c r="H145" s="14">
        <f t="shared" si="7"/>
        <v>51396.3782696177</v>
      </c>
      <c r="I145" s="55">
        <f t="shared" si="8"/>
        <v>345705.22488910722</v>
      </c>
    </row>
    <row r="146" spans="1:9" x14ac:dyDescent="0.25">
      <c r="A146" s="49">
        <f>'A) Base RI'!A137</f>
        <v>5627</v>
      </c>
      <c r="B146" s="32" t="str">
        <f>'A) Base RI'!B137</f>
        <v>Chavannes-près-Renens</v>
      </c>
      <c r="C146" s="31">
        <f>'D) Ecrêtage'!C136</f>
        <v>194072.91458064516</v>
      </c>
      <c r="D146" s="14">
        <f>'A) Base RI'!V137</f>
        <v>8767</v>
      </c>
      <c r="E146" s="10">
        <f t="shared" si="6"/>
        <v>3650978.5659864387</v>
      </c>
      <c r="F146" s="14">
        <f>'F) Population'!K139</f>
        <v>4076980.2816901403</v>
      </c>
      <c r="G146" s="10">
        <f>'G) Solidarité'!I136</f>
        <v>5532989.3490899</v>
      </c>
      <c r="H146" s="14">
        <f t="shared" si="7"/>
        <v>9609969.6307800412</v>
      </c>
      <c r="I146" s="55">
        <f t="shared" si="8"/>
        <v>-5958991.0647936026</v>
      </c>
    </row>
    <row r="147" spans="1:9" x14ac:dyDescent="0.25">
      <c r="A147" s="49">
        <f>'A) Base RI'!A138</f>
        <v>5628</v>
      </c>
      <c r="B147" s="32" t="str">
        <f>'A) Base RI'!B138</f>
        <v>Chigny</v>
      </c>
      <c r="C147" s="31">
        <f>'D) Ecrêtage'!C137</f>
        <v>25790.901129032256</v>
      </c>
      <c r="D147" s="14">
        <f>'A) Base RI'!V138</f>
        <v>405</v>
      </c>
      <c r="E147" s="10">
        <f t="shared" si="6"/>
        <v>485188.91687198356</v>
      </c>
      <c r="F147" s="14">
        <f>'F) Population'!K140</f>
        <v>50523.138832997982</v>
      </c>
      <c r="G147" s="10">
        <f>'G) Solidarité'!I137</f>
        <v>0</v>
      </c>
      <c r="H147" s="14">
        <f t="shared" si="7"/>
        <v>50523.138832997982</v>
      </c>
      <c r="I147" s="55">
        <f t="shared" si="8"/>
        <v>434665.77803898556</v>
      </c>
    </row>
    <row r="148" spans="1:9" x14ac:dyDescent="0.25">
      <c r="A148" s="49">
        <f>'A) Base RI'!A139</f>
        <v>5629</v>
      </c>
      <c r="B148" s="32" t="str">
        <f>'A) Base RI'!B139</f>
        <v>Clarmont</v>
      </c>
      <c r="C148" s="31">
        <f>'D) Ecrêtage'!C138</f>
        <v>9948.0614965986406</v>
      </c>
      <c r="D148" s="14">
        <f>'A) Base RI'!V139</f>
        <v>211</v>
      </c>
      <c r="E148" s="10">
        <f t="shared" si="6"/>
        <v>187146.9770816685</v>
      </c>
      <c r="F148" s="14">
        <f>'F) Population'!K141</f>
        <v>26321.93158953722</v>
      </c>
      <c r="G148" s="10">
        <f>'G) Solidarité'!I138</f>
        <v>5823.5206160158459</v>
      </c>
      <c r="H148" s="14">
        <f t="shared" si="7"/>
        <v>32145.452205553065</v>
      </c>
      <c r="I148" s="55">
        <f t="shared" si="8"/>
        <v>155001.52487611544</v>
      </c>
    </row>
    <row r="149" spans="1:9" x14ac:dyDescent="0.25">
      <c r="A149" s="49">
        <f>'A) Base RI'!A140</f>
        <v>5631</v>
      </c>
      <c r="B149" s="32" t="str">
        <f>'A) Base RI'!B140</f>
        <v>Denens</v>
      </c>
      <c r="C149" s="31">
        <f>'D) Ecrêtage'!C139</f>
        <v>43290.229264705871</v>
      </c>
      <c r="D149" s="14">
        <f>'A) Base RI'!V140</f>
        <v>733</v>
      </c>
      <c r="E149" s="10">
        <f t="shared" si="6"/>
        <v>814393.39180121978</v>
      </c>
      <c r="F149" s="14">
        <f>'F) Population'!K142</f>
        <v>91440.643863179066</v>
      </c>
      <c r="G149" s="10">
        <f>'G) Solidarité'!I139</f>
        <v>0</v>
      </c>
      <c r="H149" s="14">
        <f t="shared" si="7"/>
        <v>91440.643863179066</v>
      </c>
      <c r="I149" s="55">
        <f t="shared" si="8"/>
        <v>722952.74793804076</v>
      </c>
    </row>
    <row r="150" spans="1:9" x14ac:dyDescent="0.25">
      <c r="A150" s="49">
        <f>'A) Base RI'!A141</f>
        <v>5632</v>
      </c>
      <c r="B150" s="32" t="str">
        <f>'A) Base RI'!B141</f>
        <v>Denges</v>
      </c>
      <c r="C150" s="31">
        <f>'D) Ecrêtage'!C140</f>
        <v>80521.21435483871</v>
      </c>
      <c r="D150" s="14">
        <f>'A) Base RI'!V141</f>
        <v>1744</v>
      </c>
      <c r="E150" s="10">
        <f t="shared" si="6"/>
        <v>1514797.8189123066</v>
      </c>
      <c r="F150" s="14">
        <f>'F) Population'!K143</f>
        <v>384624.54728370218</v>
      </c>
      <c r="G150" s="10">
        <f>'G) Solidarité'!I140</f>
        <v>60423.719475093581</v>
      </c>
      <c r="H150" s="14">
        <f t="shared" si="7"/>
        <v>445048.26675879577</v>
      </c>
      <c r="I150" s="55">
        <f t="shared" si="8"/>
        <v>1069749.5521535107</v>
      </c>
    </row>
    <row r="151" spans="1:9" x14ac:dyDescent="0.25">
      <c r="A151" s="49">
        <f>'A) Base RI'!A142</f>
        <v>5633</v>
      </c>
      <c r="B151" s="32" t="str">
        <f>'A) Base RI'!B142</f>
        <v>Echandens</v>
      </c>
      <c r="C151" s="31">
        <f>'D) Ecrêtage'!C141</f>
        <v>170287.16859504132</v>
      </c>
      <c r="D151" s="14">
        <f>'A) Base RI'!V142</f>
        <v>2775</v>
      </c>
      <c r="E151" s="10">
        <f t="shared" si="6"/>
        <v>3203511.442832829</v>
      </c>
      <c r="F151" s="14">
        <f>'F) Population'!K144</f>
        <v>744748.49094567401</v>
      </c>
      <c r="G151" s="10">
        <f>'G) Solidarité'!I141</f>
        <v>0</v>
      </c>
      <c r="H151" s="14">
        <f t="shared" si="7"/>
        <v>744748.49094567401</v>
      </c>
      <c r="I151" s="55">
        <f t="shared" si="8"/>
        <v>2458762.951887155</v>
      </c>
    </row>
    <row r="152" spans="1:9" x14ac:dyDescent="0.25">
      <c r="A152" s="49">
        <f>'A) Base RI'!A143</f>
        <v>5634</v>
      </c>
      <c r="B152" s="32" t="str">
        <f>'A) Base RI'!B143</f>
        <v>Echichens</v>
      </c>
      <c r="C152" s="31">
        <f>'D) Ecrêtage'!C142</f>
        <v>152568.89227272727</v>
      </c>
      <c r="D152" s="14">
        <f>'A) Base RI'!V143</f>
        <v>3142</v>
      </c>
      <c r="E152" s="10">
        <f t="shared" si="6"/>
        <v>2870188.0256070173</v>
      </c>
      <c r="F152" s="14">
        <f>'F) Population'!K145</f>
        <v>894197.1830985914</v>
      </c>
      <c r="G152" s="10">
        <f>'G) Solidarité'!I142</f>
        <v>0</v>
      </c>
      <c r="H152" s="14">
        <f t="shared" si="7"/>
        <v>894197.1830985914</v>
      </c>
      <c r="I152" s="55">
        <f t="shared" si="8"/>
        <v>1975990.8425084259</v>
      </c>
    </row>
    <row r="153" spans="1:9" x14ac:dyDescent="0.25">
      <c r="A153" s="49">
        <f>'A) Base RI'!A144</f>
        <v>5635</v>
      </c>
      <c r="B153" s="32" t="str">
        <f>'A) Base RI'!B144</f>
        <v>Ecublens</v>
      </c>
      <c r="C153" s="31">
        <f>'D) Ecrêtage'!C143</f>
        <v>872367.07997333352</v>
      </c>
      <c r="D153" s="14">
        <f>'A) Base RI'!V144</f>
        <v>13214</v>
      </c>
      <c r="E153" s="10">
        <f t="shared" si="6"/>
        <v>16411324.153795425</v>
      </c>
      <c r="F153" s="14">
        <f>'F) Population'!K146</f>
        <v>7972925.5533199189</v>
      </c>
      <c r="G153" s="10">
        <f>'G) Solidarité'!I143</f>
        <v>0</v>
      </c>
      <c r="H153" s="14">
        <f t="shared" si="7"/>
        <v>7972925.5533199189</v>
      </c>
      <c r="I153" s="55">
        <f t="shared" si="8"/>
        <v>8438398.600475505</v>
      </c>
    </row>
    <row r="154" spans="1:9" x14ac:dyDescent="0.25">
      <c r="A154" s="49">
        <f>'A) Base RI'!A145</f>
        <v>5636</v>
      </c>
      <c r="B154" s="32" t="str">
        <f>'A) Base RI'!B145</f>
        <v>Etoy</v>
      </c>
      <c r="C154" s="31">
        <f>'D) Ecrêtage'!C144</f>
        <v>187063.54000000004</v>
      </c>
      <c r="D154" s="14">
        <f>'A) Base RI'!V145</f>
        <v>2918</v>
      </c>
      <c r="E154" s="10">
        <f t="shared" si="6"/>
        <v>3519115.361838642</v>
      </c>
      <c r="F154" s="14">
        <f>'F) Population'!K147</f>
        <v>794697.78672032186</v>
      </c>
      <c r="G154" s="10">
        <f>'G) Solidarité'!I144</f>
        <v>0</v>
      </c>
      <c r="H154" s="14">
        <f t="shared" si="7"/>
        <v>794697.78672032186</v>
      </c>
      <c r="I154" s="55">
        <f t="shared" si="8"/>
        <v>2724417.5751183201</v>
      </c>
    </row>
    <row r="155" spans="1:9" x14ac:dyDescent="0.25">
      <c r="A155" s="49">
        <f>'A) Base RI'!A146</f>
        <v>5637</v>
      </c>
      <c r="B155" s="32" t="str">
        <f>'A) Base RI'!B146</f>
        <v>Lavigny</v>
      </c>
      <c r="C155" s="31">
        <f>'D) Ecrêtage'!C145</f>
        <v>37900.997397260275</v>
      </c>
      <c r="D155" s="14">
        <f>'A) Base RI'!V146</f>
        <v>1026</v>
      </c>
      <c r="E155" s="10">
        <f t="shared" si="6"/>
        <v>713008.97101436765</v>
      </c>
      <c r="F155" s="14">
        <f>'F) Population'!K148</f>
        <v>133830.18108651912</v>
      </c>
      <c r="G155" s="10">
        <f>'G) Solidarité'!I145</f>
        <v>250989.52743347807</v>
      </c>
      <c r="H155" s="14">
        <f t="shared" si="7"/>
        <v>384819.70851999719</v>
      </c>
      <c r="I155" s="55">
        <f t="shared" si="8"/>
        <v>328189.26249437046</v>
      </c>
    </row>
    <row r="156" spans="1:9" x14ac:dyDescent="0.25">
      <c r="A156" s="49">
        <f>'A) Base RI'!A147</f>
        <v>5638</v>
      </c>
      <c r="B156" s="32" t="str">
        <f>'A) Base RI'!B147</f>
        <v>Lonay</v>
      </c>
      <c r="C156" s="31">
        <f>'D) Ecrêtage'!C146</f>
        <v>174154.93872727267</v>
      </c>
      <c r="D156" s="14">
        <f>'A) Base RI'!V147</f>
        <v>2751</v>
      </c>
      <c r="E156" s="10">
        <f t="shared" si="6"/>
        <v>3276273.5069335937</v>
      </c>
      <c r="F156" s="14">
        <f>'F) Population'!K149</f>
        <v>736365.39235412469</v>
      </c>
      <c r="G156" s="10">
        <f>'G) Solidarité'!I146</f>
        <v>0</v>
      </c>
      <c r="H156" s="14">
        <f t="shared" si="7"/>
        <v>736365.39235412469</v>
      </c>
      <c r="I156" s="55">
        <f t="shared" si="8"/>
        <v>2539908.114579469</v>
      </c>
    </row>
    <row r="157" spans="1:9" x14ac:dyDescent="0.25">
      <c r="A157" s="49">
        <f>'A) Base RI'!A148</f>
        <v>5639</v>
      </c>
      <c r="B157" s="32" t="str">
        <f>'A) Base RI'!B148</f>
        <v>Lully</v>
      </c>
      <c r="C157" s="31">
        <f>'D) Ecrêtage'!C147</f>
        <v>53711.269344262299</v>
      </c>
      <c r="D157" s="14">
        <f>'A) Base RI'!V148</f>
        <v>828</v>
      </c>
      <c r="E157" s="10">
        <f t="shared" si="6"/>
        <v>1010438.2342665297</v>
      </c>
      <c r="F157" s="14">
        <f>'F) Population'!K150</f>
        <v>103291.75050301811</v>
      </c>
      <c r="G157" s="10">
        <f>'G) Solidarité'!I147</f>
        <v>0</v>
      </c>
      <c r="H157" s="14">
        <f t="shared" si="7"/>
        <v>103291.75050301811</v>
      </c>
      <c r="I157" s="55">
        <f t="shared" si="8"/>
        <v>907146.48376351153</v>
      </c>
    </row>
    <row r="158" spans="1:9" x14ac:dyDescent="0.25">
      <c r="A158" s="49">
        <f>'A) Base RI'!A149</f>
        <v>5640</v>
      </c>
      <c r="B158" s="32" t="str">
        <f>'A) Base RI'!B149</f>
        <v>Lussy-sur-Morges</v>
      </c>
      <c r="C158" s="31">
        <f>'D) Ecrêtage'!C148</f>
        <v>70527.814108527149</v>
      </c>
      <c r="D158" s="14">
        <f>'A) Base RI'!V149</f>
        <v>740</v>
      </c>
      <c r="E158" s="10">
        <f t="shared" si="6"/>
        <v>1326797.9108393756</v>
      </c>
      <c r="F158" s="14">
        <f>'F) Population'!K151</f>
        <v>92313.883299798792</v>
      </c>
      <c r="G158" s="10">
        <f>'G) Solidarité'!I148</f>
        <v>0</v>
      </c>
      <c r="H158" s="14">
        <f t="shared" si="7"/>
        <v>92313.883299798792</v>
      </c>
      <c r="I158" s="55">
        <f t="shared" si="8"/>
        <v>1234484.0275395769</v>
      </c>
    </row>
    <row r="159" spans="1:9" x14ac:dyDescent="0.25">
      <c r="A159" s="49">
        <f>'A) Base RI'!A150</f>
        <v>5642</v>
      </c>
      <c r="B159" s="32" t="str">
        <f>'A) Base RI'!B150</f>
        <v>Morges</v>
      </c>
      <c r="C159" s="31">
        <f>'D) Ecrêtage'!C149</f>
        <v>999726.82119402988</v>
      </c>
      <c r="D159" s="14">
        <f>'A) Base RI'!V150</f>
        <v>16885</v>
      </c>
      <c r="E159" s="10">
        <f t="shared" si="6"/>
        <v>18807267.381479166</v>
      </c>
      <c r="F159" s="14">
        <f>'F) Population'!K152</f>
        <v>11730599.597585512</v>
      </c>
      <c r="G159" s="10">
        <f>'G) Solidarité'!I149</f>
        <v>0</v>
      </c>
      <c r="H159" s="14">
        <f t="shared" si="7"/>
        <v>11730599.597585512</v>
      </c>
      <c r="I159" s="55">
        <f t="shared" si="8"/>
        <v>7076667.7838936541</v>
      </c>
    </row>
    <row r="160" spans="1:9" x14ac:dyDescent="0.25">
      <c r="A160" s="49">
        <f>'A) Base RI'!A151</f>
        <v>5643</v>
      </c>
      <c r="B160" s="32" t="str">
        <f>'A) Base RI'!B151</f>
        <v>Préverenges</v>
      </c>
      <c r="C160" s="31">
        <f>'D) Ecrêtage'!C150</f>
        <v>257752.82112000001</v>
      </c>
      <c r="D160" s="14">
        <f>'A) Base RI'!V151</f>
        <v>5208</v>
      </c>
      <c r="E160" s="10">
        <f t="shared" si="6"/>
        <v>4848950.8557393886</v>
      </c>
      <c r="F160" s="14">
        <f>'F) Population'!K153</f>
        <v>1945876.8611670018</v>
      </c>
      <c r="G160" s="10">
        <f>'G) Solidarité'!I150</f>
        <v>0</v>
      </c>
      <c r="H160" s="14">
        <f t="shared" si="7"/>
        <v>1945876.8611670018</v>
      </c>
      <c r="I160" s="55">
        <f t="shared" si="8"/>
        <v>2903073.9945723871</v>
      </c>
    </row>
    <row r="161" spans="1:9" x14ac:dyDescent="0.25">
      <c r="A161" s="49">
        <f>'A) Base RI'!A152</f>
        <v>5644</v>
      </c>
      <c r="B161" s="32" t="str">
        <f>'A) Base RI'!B152</f>
        <v>Reverolle</v>
      </c>
      <c r="C161" s="31">
        <f>'D) Ecrêtage'!C151</f>
        <v>16363.457972972968</v>
      </c>
      <c r="D161" s="14">
        <f>'A) Base RI'!V152</f>
        <v>403</v>
      </c>
      <c r="E161" s="10">
        <f t="shared" si="6"/>
        <v>307836.02366067789</v>
      </c>
      <c r="F161" s="14">
        <f>'F) Population'!K154</f>
        <v>50273.641851106637</v>
      </c>
      <c r="G161" s="10">
        <f>'G) Solidarité'!I151</f>
        <v>68989.560297873075</v>
      </c>
      <c r="H161" s="14">
        <f t="shared" si="7"/>
        <v>119263.2021489797</v>
      </c>
      <c r="I161" s="55">
        <f t="shared" si="8"/>
        <v>188572.82151169819</v>
      </c>
    </row>
    <row r="162" spans="1:9" x14ac:dyDescent="0.25">
      <c r="A162" s="49">
        <f>'A) Base RI'!A153</f>
        <v>5645</v>
      </c>
      <c r="B162" s="32" t="str">
        <f>'A) Base RI'!B153</f>
        <v>Romanel-sur-Morges</v>
      </c>
      <c r="C162" s="31">
        <f>'D) Ecrêtage'!C152</f>
        <v>26586.021785714285</v>
      </c>
      <c r="D162" s="14">
        <f>'A) Base RI'!V153</f>
        <v>466</v>
      </c>
      <c r="E162" s="10">
        <f t="shared" si="6"/>
        <v>500147.04990766203</v>
      </c>
      <c r="F162" s="14">
        <f>'F) Population'!K155</f>
        <v>58132.796780684097</v>
      </c>
      <c r="G162" s="10">
        <f>'G) Solidarité'!I152</f>
        <v>0</v>
      </c>
      <c r="H162" s="14">
        <f t="shared" si="7"/>
        <v>58132.796780684097</v>
      </c>
      <c r="I162" s="55">
        <f t="shared" si="8"/>
        <v>442014.25312697794</v>
      </c>
    </row>
    <row r="163" spans="1:9" x14ac:dyDescent="0.25">
      <c r="A163" s="49">
        <f>'A) Base RI'!A154</f>
        <v>5646</v>
      </c>
      <c r="B163" s="32" t="str">
        <f>'A) Base RI'!B154</f>
        <v>Saint-Prex</v>
      </c>
      <c r="C163" s="31">
        <f>'D) Ecrêtage'!C153</f>
        <v>527982.74983050849</v>
      </c>
      <c r="D163" s="14">
        <f>'A) Base RI'!V154</f>
        <v>5866</v>
      </c>
      <c r="E163" s="10">
        <f t="shared" si="6"/>
        <v>9932626.1318178345</v>
      </c>
      <c r="F163" s="14">
        <f>'F) Population'!K156</f>
        <v>2339882.4949698187</v>
      </c>
      <c r="G163" s="10">
        <f>'G) Solidarité'!I153</f>
        <v>0</v>
      </c>
      <c r="H163" s="14">
        <f t="shared" si="7"/>
        <v>2339882.4949698187</v>
      </c>
      <c r="I163" s="55">
        <f t="shared" si="8"/>
        <v>7592743.6368480157</v>
      </c>
    </row>
    <row r="164" spans="1:9" x14ac:dyDescent="0.25">
      <c r="A164" s="49">
        <f>'A) Base RI'!A155</f>
        <v>5648</v>
      </c>
      <c r="B164" s="32" t="str">
        <f>'A) Base RI'!B155</f>
        <v>Saint-Sulpice</v>
      </c>
      <c r="C164" s="31">
        <f>'D) Ecrêtage'!C154</f>
        <v>394426.68886363629</v>
      </c>
      <c r="D164" s="14">
        <f>'A) Base RI'!V155</f>
        <v>4932</v>
      </c>
      <c r="E164" s="10">
        <f t="shared" si="6"/>
        <v>7420115.2180653298</v>
      </c>
      <c r="F164" s="14">
        <f>'F) Population'!K157</f>
        <v>1787396.3782696174</v>
      </c>
      <c r="G164" s="10">
        <f>'G) Solidarité'!I154</f>
        <v>0</v>
      </c>
      <c r="H164" s="14">
        <f t="shared" si="7"/>
        <v>1787396.3782696174</v>
      </c>
      <c r="I164" s="55">
        <f t="shared" si="8"/>
        <v>5632718.8397957124</v>
      </c>
    </row>
    <row r="165" spans="1:9" x14ac:dyDescent="0.25">
      <c r="A165" s="49">
        <f>'A) Base RI'!A156</f>
        <v>5649</v>
      </c>
      <c r="B165" s="32" t="str">
        <f>'A) Base RI'!B156</f>
        <v>Tolochenaz</v>
      </c>
      <c r="C165" s="31">
        <f>'D) Ecrêtage'!C155</f>
        <v>155778.42171874997</v>
      </c>
      <c r="D165" s="14">
        <f>'A) Base RI'!V156</f>
        <v>1886</v>
      </c>
      <c r="E165" s="10">
        <f t="shared" si="6"/>
        <v>2930566.9983227695</v>
      </c>
      <c r="F165" s="14">
        <f>'F) Population'!K158</f>
        <v>434224.54728370218</v>
      </c>
      <c r="G165" s="10">
        <f>'G) Solidarité'!I155</f>
        <v>0</v>
      </c>
      <c r="H165" s="14">
        <f t="shared" si="7"/>
        <v>434224.54728370218</v>
      </c>
      <c r="I165" s="55">
        <f t="shared" si="8"/>
        <v>2496342.4510390675</v>
      </c>
    </row>
    <row r="166" spans="1:9" x14ac:dyDescent="0.25">
      <c r="A166" s="49">
        <f>'A) Base RI'!A157</f>
        <v>5650</v>
      </c>
      <c r="B166" s="32" t="str">
        <f>'A) Base RI'!B157</f>
        <v>Vaux-sur-Morges</v>
      </c>
      <c r="C166" s="31">
        <f>'D) Ecrêtage'!C156</f>
        <v>83125.71642857141</v>
      </c>
      <c r="D166" s="14">
        <f>'A) Base RI'!V157</f>
        <v>196</v>
      </c>
      <c r="E166" s="10">
        <f t="shared" si="6"/>
        <v>1563794.7707374103</v>
      </c>
      <c r="F166" s="14">
        <f>'F) Population'!K159</f>
        <v>24450.70422535211</v>
      </c>
      <c r="G166" s="10">
        <f>'G) Solidarité'!I156</f>
        <v>0</v>
      </c>
      <c r="H166" s="14">
        <f t="shared" si="7"/>
        <v>24450.70422535211</v>
      </c>
      <c r="I166" s="55">
        <f t="shared" si="8"/>
        <v>1539344.0665120583</v>
      </c>
    </row>
    <row r="167" spans="1:9" x14ac:dyDescent="0.25">
      <c r="A167" s="49">
        <f>'A) Base RI'!A158</f>
        <v>5651</v>
      </c>
      <c r="B167" s="32" t="str">
        <f>'A) Base RI'!B158</f>
        <v>Villars-Sainte-Croix</v>
      </c>
      <c r="C167" s="31">
        <f>'D) Ecrêtage'!C157</f>
        <v>57697.031735537188</v>
      </c>
      <c r="D167" s="14">
        <f>'A) Base RI'!V158</f>
        <v>958</v>
      </c>
      <c r="E167" s="10">
        <f t="shared" si="6"/>
        <v>1085420.0167120784</v>
      </c>
      <c r="F167" s="14">
        <f>'F) Population'!K160</f>
        <v>119509.05432595573</v>
      </c>
      <c r="G167" s="10">
        <f>'G) Solidarité'!I157</f>
        <v>0</v>
      </c>
      <c r="H167" s="14">
        <f t="shared" si="7"/>
        <v>119509.05432595573</v>
      </c>
      <c r="I167" s="55">
        <f t="shared" si="8"/>
        <v>965910.96238612267</v>
      </c>
    </row>
    <row r="168" spans="1:9" x14ac:dyDescent="0.25">
      <c r="A168" s="49">
        <f>'A) Base RI'!A159</f>
        <v>5652</v>
      </c>
      <c r="B168" s="32" t="str">
        <f>'A) Base RI'!B159</f>
        <v>Villars-sous-Yens</v>
      </c>
      <c r="C168" s="31">
        <f>'D) Ecrêtage'!C158</f>
        <v>25902.630833333329</v>
      </c>
      <c r="D168" s="14">
        <f>'A) Base RI'!V159</f>
        <v>626</v>
      </c>
      <c r="E168" s="10">
        <f t="shared" si="6"/>
        <v>487290.82149102155</v>
      </c>
      <c r="F168" s="14">
        <f>'F) Population'!K161</f>
        <v>78092.555331991942</v>
      </c>
      <c r="G168" s="10">
        <f>'G) Solidarité'!I158</f>
        <v>101851.35651932942</v>
      </c>
      <c r="H168" s="14">
        <f t="shared" si="7"/>
        <v>179943.91185132135</v>
      </c>
      <c r="I168" s="55">
        <f t="shared" si="8"/>
        <v>307346.9096397002</v>
      </c>
    </row>
    <row r="169" spans="1:9" x14ac:dyDescent="0.25">
      <c r="A169" s="49">
        <f>'A) Base RI'!A160</f>
        <v>5653</v>
      </c>
      <c r="B169" s="32" t="str">
        <f>'A) Base RI'!B160</f>
        <v>Vufflens-le-Château</v>
      </c>
      <c r="C169" s="31">
        <f>'D) Ecrêtage'!C159</f>
        <v>67496.149401709394</v>
      </c>
      <c r="D169" s="14">
        <f>'A) Base RI'!V160</f>
        <v>894</v>
      </c>
      <c r="E169" s="10">
        <f t="shared" si="6"/>
        <v>1269765.0019052967</v>
      </c>
      <c r="F169" s="14">
        <f>'F) Population'!K162</f>
        <v>111525.15090543259</v>
      </c>
      <c r="G169" s="10">
        <f>'G) Solidarité'!I159</f>
        <v>0</v>
      </c>
      <c r="H169" s="14">
        <f t="shared" si="7"/>
        <v>111525.15090543259</v>
      </c>
      <c r="I169" s="55">
        <f t="shared" si="8"/>
        <v>1158239.8509998641</v>
      </c>
    </row>
    <row r="170" spans="1:9" x14ac:dyDescent="0.25">
      <c r="A170" s="49">
        <f>'A) Base RI'!A161</f>
        <v>5654</v>
      </c>
      <c r="B170" s="32" t="str">
        <f>'A) Base RI'!B161</f>
        <v>Vullierens</v>
      </c>
      <c r="C170" s="31">
        <f>'D) Ecrêtage'!C160</f>
        <v>20665.692500000001</v>
      </c>
      <c r="D170" s="14">
        <f>'A) Base RI'!V161</f>
        <v>560</v>
      </c>
      <c r="E170" s="10">
        <f t="shared" si="6"/>
        <v>388771.4085801199</v>
      </c>
      <c r="F170" s="14">
        <f>'F) Population'!K163</f>
        <v>69859.15492957746</v>
      </c>
      <c r="G170" s="10">
        <f>'G) Solidarité'!I160</f>
        <v>148968.43574311951</v>
      </c>
      <c r="H170" s="14">
        <f t="shared" si="7"/>
        <v>218827.59067269697</v>
      </c>
      <c r="I170" s="55">
        <f t="shared" si="8"/>
        <v>169943.81790742293</v>
      </c>
    </row>
    <row r="171" spans="1:9" x14ac:dyDescent="0.25">
      <c r="A171" s="49">
        <f>'A) Base RI'!A162</f>
        <v>5655</v>
      </c>
      <c r="B171" s="32" t="str">
        <f>'A) Base RI'!B162</f>
        <v>Yens</v>
      </c>
      <c r="C171" s="31">
        <f>'D) Ecrêtage'!C161</f>
        <v>73454.856083916078</v>
      </c>
      <c r="D171" s="14">
        <f>'A) Base RI'!V162</f>
        <v>1499</v>
      </c>
      <c r="E171" s="10">
        <f t="shared" si="6"/>
        <v>1381862.6144173027</v>
      </c>
      <c r="F171" s="14">
        <f>'F) Population'!K164</f>
        <v>299047.08249496983</v>
      </c>
      <c r="G171" s="10">
        <f>'G) Solidarité'!I161</f>
        <v>0</v>
      </c>
      <c r="H171" s="14">
        <f t="shared" si="7"/>
        <v>299047.08249496983</v>
      </c>
      <c r="I171" s="55">
        <f t="shared" si="8"/>
        <v>1082815.5319223329</v>
      </c>
    </row>
    <row r="172" spans="1:9" x14ac:dyDescent="0.25">
      <c r="A172" s="49">
        <f>'A) Base RI'!A163</f>
        <v>5661</v>
      </c>
      <c r="B172" s="32" t="str">
        <f>'A) Base RI'!B163</f>
        <v>Boulens</v>
      </c>
      <c r="C172" s="31">
        <f>'D) Ecrêtage'!C162</f>
        <v>11226.588951048951</v>
      </c>
      <c r="D172" s="14">
        <f>'A) Base RI'!V163</f>
        <v>371</v>
      </c>
      <c r="E172" s="10">
        <f t="shared" si="6"/>
        <v>211199.15531740885</v>
      </c>
      <c r="F172" s="14">
        <f>'F) Population'!K165</f>
        <v>46281.690140845065</v>
      </c>
      <c r="G172" s="10">
        <f>'G) Solidarité'!I162</f>
        <v>137708.18401468341</v>
      </c>
      <c r="H172" s="14">
        <f t="shared" si="7"/>
        <v>183989.87415552849</v>
      </c>
      <c r="I172" s="55">
        <f t="shared" si="8"/>
        <v>27209.281161880353</v>
      </c>
    </row>
    <row r="173" spans="1:9" x14ac:dyDescent="0.25">
      <c r="A173" s="49">
        <f>'A) Base RI'!A164</f>
        <v>5663</v>
      </c>
      <c r="B173" s="32" t="str">
        <f>'A) Base RI'!B164</f>
        <v>Bussy-sur-Moudon</v>
      </c>
      <c r="C173" s="31">
        <f>'D) Ecrêtage'!C163</f>
        <v>5263.6754140127387</v>
      </c>
      <c r="D173" s="14">
        <f>'A) Base RI'!V164</f>
        <v>236</v>
      </c>
      <c r="E173" s="10">
        <f t="shared" si="6"/>
        <v>99022.401742127826</v>
      </c>
      <c r="F173" s="14">
        <f>'F) Population'!K166</f>
        <v>29440.643863179073</v>
      </c>
      <c r="G173" s="10">
        <f>'G) Solidarité'!I163</f>
        <v>151841.25562124143</v>
      </c>
      <c r="H173" s="14">
        <f t="shared" si="7"/>
        <v>181281.89948442052</v>
      </c>
      <c r="I173" s="55">
        <f t="shared" si="8"/>
        <v>-82259.49774229269</v>
      </c>
    </row>
    <row r="174" spans="1:9" x14ac:dyDescent="0.25">
      <c r="A174" s="49">
        <f>'A) Base RI'!A165</f>
        <v>5665</v>
      </c>
      <c r="B174" s="32" t="str">
        <f>'A) Base RI'!B165</f>
        <v>Chavannes-sur-Moudon</v>
      </c>
      <c r="C174" s="31">
        <f>'D) Ecrêtage'!C164</f>
        <v>4920.86942857143</v>
      </c>
      <c r="D174" s="14">
        <f>'A) Base RI'!V165</f>
        <v>222</v>
      </c>
      <c r="E174" s="10">
        <f t="shared" si="6"/>
        <v>92573.396182323166</v>
      </c>
      <c r="F174" s="14">
        <f>'F) Population'!K167</f>
        <v>27694.164989939636</v>
      </c>
      <c r="G174" s="10">
        <f>'G) Solidarité'!I164</f>
        <v>114174.6645529806</v>
      </c>
      <c r="H174" s="14">
        <f t="shared" si="7"/>
        <v>141868.82954292023</v>
      </c>
      <c r="I174" s="55">
        <f t="shared" si="8"/>
        <v>-49295.433360597061</v>
      </c>
    </row>
    <row r="175" spans="1:9" x14ac:dyDescent="0.25">
      <c r="A175" s="49">
        <f>'A) Base RI'!A166</f>
        <v>5669</v>
      </c>
      <c r="B175" s="32" t="str">
        <f>'A) Base RI'!B166</f>
        <v>Curtilles</v>
      </c>
      <c r="C175" s="31">
        <f>'D) Ecrêtage'!C165</f>
        <v>9338.3773972602739</v>
      </c>
      <c r="D175" s="14">
        <f>'A) Base RI'!V166</f>
        <v>296</v>
      </c>
      <c r="E175" s="10">
        <f t="shared" si="6"/>
        <v>175677.35194867681</v>
      </c>
      <c r="F175" s="14">
        <f>'F) Population'!K168</f>
        <v>36925.553319919512</v>
      </c>
      <c r="G175" s="10">
        <f>'G) Solidarité'!I165</f>
        <v>106405.80681145607</v>
      </c>
      <c r="H175" s="14">
        <f t="shared" si="7"/>
        <v>143331.36013137558</v>
      </c>
      <c r="I175" s="55">
        <f t="shared" si="8"/>
        <v>32345.991817301227</v>
      </c>
    </row>
    <row r="176" spans="1:9" x14ac:dyDescent="0.25">
      <c r="A176" s="49">
        <f>'A) Base RI'!A167</f>
        <v>5671</v>
      </c>
      <c r="B176" s="32" t="str">
        <f>'A) Base RI'!B167</f>
        <v>Dompierre</v>
      </c>
      <c r="C176" s="31">
        <f>'D) Ecrêtage'!C166</f>
        <v>6463.9784615384606</v>
      </c>
      <c r="D176" s="14">
        <f>'A) Base RI'!V167</f>
        <v>246</v>
      </c>
      <c r="E176" s="10">
        <f t="shared" si="6"/>
        <v>121602.99063405998</v>
      </c>
      <c r="F176" s="14">
        <f>'F) Population'!K169</f>
        <v>30688.128772635813</v>
      </c>
      <c r="G176" s="10">
        <f>'G) Solidarité'!I166</f>
        <v>132500.29930411209</v>
      </c>
      <c r="H176" s="14">
        <f t="shared" si="7"/>
        <v>163188.42807674792</v>
      </c>
      <c r="I176" s="55">
        <f t="shared" si="8"/>
        <v>-41585.437442687937</v>
      </c>
    </row>
    <row r="177" spans="1:9" x14ac:dyDescent="0.25">
      <c r="A177" s="49">
        <f>'A) Base RI'!A168</f>
        <v>5673</v>
      </c>
      <c r="B177" s="32" t="str">
        <f>'A) Base RI'!B168</f>
        <v>Hermenches</v>
      </c>
      <c r="C177" s="31">
        <f>'D) Ecrêtage'!C167</f>
        <v>10227.431292517007</v>
      </c>
      <c r="D177" s="14">
        <f>'A) Base RI'!V168</f>
        <v>371</v>
      </c>
      <c r="E177" s="10">
        <f t="shared" si="6"/>
        <v>192402.59525531181</v>
      </c>
      <c r="F177" s="14">
        <f>'F) Population'!K170</f>
        <v>46281.690140845065</v>
      </c>
      <c r="G177" s="10">
        <f>'G) Solidarité'!I167</f>
        <v>167094.65151870294</v>
      </c>
      <c r="H177" s="14">
        <f t="shared" si="7"/>
        <v>213376.34165954799</v>
      </c>
      <c r="I177" s="55">
        <f t="shared" si="8"/>
        <v>-20973.746404236183</v>
      </c>
    </row>
    <row r="178" spans="1:9" x14ac:dyDescent="0.25">
      <c r="A178" s="49">
        <f>'A) Base RI'!A169</f>
        <v>5674</v>
      </c>
      <c r="B178" s="32" t="str">
        <f>'A) Base RI'!B169</f>
        <v>Lovatens</v>
      </c>
      <c r="C178" s="31">
        <f>'D) Ecrêtage'!C168</f>
        <v>4217.2714666666661</v>
      </c>
      <c r="D178" s="14">
        <f>'A) Base RI'!V169</f>
        <v>146</v>
      </c>
      <c r="E178" s="10">
        <f t="shared" si="6"/>
        <v>79337.025287720113</v>
      </c>
      <c r="F178" s="14">
        <f>'F) Population'!K171</f>
        <v>18213.279678068408</v>
      </c>
      <c r="G178" s="10">
        <f>'G) Solidarité'!I168</f>
        <v>64141.128615980262</v>
      </c>
      <c r="H178" s="14">
        <f t="shared" si="7"/>
        <v>82354.40829404867</v>
      </c>
      <c r="I178" s="55">
        <f t="shared" si="8"/>
        <v>-3017.3830063285568</v>
      </c>
    </row>
    <row r="179" spans="1:9" x14ac:dyDescent="0.25">
      <c r="A179" s="49">
        <f>'A) Base RI'!A170</f>
        <v>5675</v>
      </c>
      <c r="B179" s="32" t="str">
        <f>'A) Base RI'!B170</f>
        <v>Lucens</v>
      </c>
      <c r="C179" s="31">
        <f>'D) Ecrêtage'!C169</f>
        <v>105170.58216835017</v>
      </c>
      <c r="D179" s="14">
        <f>'A) Base RI'!V170</f>
        <v>4373</v>
      </c>
      <c r="E179" s="10">
        <f t="shared" si="6"/>
        <v>1978511.7469826252</v>
      </c>
      <c r="F179" s="14">
        <f>'F) Population'!K172</f>
        <v>1508458.7525150904</v>
      </c>
      <c r="G179" s="10">
        <f>'G) Solidarité'!I169</f>
        <v>1941226.5612422721</v>
      </c>
      <c r="H179" s="14">
        <f t="shared" si="7"/>
        <v>3449685.3137573628</v>
      </c>
      <c r="I179" s="55">
        <f t="shared" si="8"/>
        <v>-1471173.5667747376</v>
      </c>
    </row>
    <row r="180" spans="1:9" x14ac:dyDescent="0.25">
      <c r="A180" s="49">
        <f>'A) Base RI'!A171</f>
        <v>5678</v>
      </c>
      <c r="B180" s="32" t="str">
        <f>'A) Base RI'!B171</f>
        <v>Moudon</v>
      </c>
      <c r="C180" s="31">
        <f>'D) Ecrêtage'!C170</f>
        <v>124836.852</v>
      </c>
      <c r="D180" s="14">
        <f>'A) Base RI'!V171</f>
        <v>6120</v>
      </c>
      <c r="E180" s="10">
        <f t="shared" si="6"/>
        <v>2348481.6100282124</v>
      </c>
      <c r="F180" s="14">
        <f>'F) Population'!K173</f>
        <v>2491975.8551307842</v>
      </c>
      <c r="G180" s="10">
        <f>'G) Solidarité'!I170</f>
        <v>3603667.2589843525</v>
      </c>
      <c r="H180" s="14">
        <f t="shared" si="7"/>
        <v>6095643.1141151367</v>
      </c>
      <c r="I180" s="55">
        <f t="shared" si="8"/>
        <v>-3747161.5040869243</v>
      </c>
    </row>
    <row r="181" spans="1:9" x14ac:dyDescent="0.25">
      <c r="A181" s="49">
        <f>'A) Base RI'!A172</f>
        <v>5680</v>
      </c>
      <c r="B181" s="32" t="str">
        <f>'A) Base RI'!B172</f>
        <v>Ogens</v>
      </c>
      <c r="C181" s="31">
        <f>'D) Ecrêtage'!C171</f>
        <v>8501.5391880341886</v>
      </c>
      <c r="D181" s="14">
        <f>'A) Base RI'!V172</f>
        <v>321</v>
      </c>
      <c r="E181" s="10">
        <f t="shared" si="6"/>
        <v>159934.41135500977</v>
      </c>
      <c r="F181" s="14">
        <f>'F) Population'!K174</f>
        <v>40044.265593561366</v>
      </c>
      <c r="G181" s="10">
        <f>'G) Solidarité'!I171</f>
        <v>171271.42897299721</v>
      </c>
      <c r="H181" s="14">
        <f t="shared" si="7"/>
        <v>211315.69456655858</v>
      </c>
      <c r="I181" s="55">
        <f t="shared" si="8"/>
        <v>-51381.283211548813</v>
      </c>
    </row>
    <row r="182" spans="1:9" x14ac:dyDescent="0.25">
      <c r="A182" s="49">
        <f>'A) Base RI'!A173</f>
        <v>5683</v>
      </c>
      <c r="B182" s="32" t="str">
        <f>'A) Base RI'!B173</f>
        <v>Prévonloup</v>
      </c>
      <c r="C182" s="31">
        <f>'D) Ecrêtage'!C172</f>
        <v>5386.44</v>
      </c>
      <c r="D182" s="14">
        <f>'A) Base RI'!V173</f>
        <v>215</v>
      </c>
      <c r="E182" s="10">
        <f t="shared" si="6"/>
        <v>101331.89904148146</v>
      </c>
      <c r="F182" s="14">
        <f>'F) Population'!K175</f>
        <v>26820.925553319918</v>
      </c>
      <c r="G182" s="10">
        <f>'G) Solidarité'!I172</f>
        <v>105572.56165868809</v>
      </c>
      <c r="H182" s="14">
        <f t="shared" si="7"/>
        <v>132393.48721200801</v>
      </c>
      <c r="I182" s="55">
        <f t="shared" si="8"/>
        <v>-31061.588170526549</v>
      </c>
    </row>
    <row r="183" spans="1:9" x14ac:dyDescent="0.25">
      <c r="A183" s="49">
        <f>'A) Base RI'!A174</f>
        <v>5684</v>
      </c>
      <c r="B183" s="32" t="str">
        <f>'A) Base RI'!B174</f>
        <v>Rossenges</v>
      </c>
      <c r="C183" s="31">
        <f>'D) Ecrêtage'!C173</f>
        <v>3253.4816666666666</v>
      </c>
      <c r="D183" s="14">
        <f>'A) Base RI'!V174</f>
        <v>93</v>
      </c>
      <c r="E183" s="10">
        <f t="shared" si="6"/>
        <v>61205.819758500518</v>
      </c>
      <c r="F183" s="14">
        <f>'F) Population'!K176</f>
        <v>11601.609657947685</v>
      </c>
      <c r="G183" s="10">
        <f>'G) Solidarité'!I173</f>
        <v>28105.90164705829</v>
      </c>
      <c r="H183" s="14">
        <f t="shared" si="7"/>
        <v>39707.511305005974</v>
      </c>
      <c r="I183" s="55">
        <f t="shared" si="8"/>
        <v>21498.308453494545</v>
      </c>
    </row>
    <row r="184" spans="1:9" x14ac:dyDescent="0.25">
      <c r="A184" s="49">
        <f>'A) Base RI'!A175</f>
        <v>5688</v>
      </c>
      <c r="B184" s="32" t="str">
        <f>'A) Base RI'!B175</f>
        <v>Syens</v>
      </c>
      <c r="C184" s="31">
        <f>'D) Ecrêtage'!C174</f>
        <v>6245.666153846154</v>
      </c>
      <c r="D184" s="14">
        <f>'A) Base RI'!V175</f>
        <v>161</v>
      </c>
      <c r="E184" s="10">
        <f t="shared" si="6"/>
        <v>117496.01075076236</v>
      </c>
      <c r="F184" s="14">
        <f>'F) Population'!K177</f>
        <v>20084.507042253521</v>
      </c>
      <c r="G184" s="10">
        <f>'G) Solidarité'!I174</f>
        <v>26189.419225651469</v>
      </c>
      <c r="H184" s="14">
        <f t="shared" si="7"/>
        <v>46273.926267904986</v>
      </c>
      <c r="I184" s="55">
        <f t="shared" si="8"/>
        <v>71222.084482857375</v>
      </c>
    </row>
    <row r="185" spans="1:9" x14ac:dyDescent="0.25">
      <c r="A185" s="49">
        <f>'A) Base RI'!A176</f>
        <v>5690</v>
      </c>
      <c r="B185" s="32" t="str">
        <f>'A) Base RI'!B176</f>
        <v>Villars-le-Comte</v>
      </c>
      <c r="C185" s="31">
        <f>'D) Ecrêtage'!C175</f>
        <v>3510.0358095238093</v>
      </c>
      <c r="D185" s="14">
        <f>'A) Base RI'!V176</f>
        <v>133</v>
      </c>
      <c r="E185" s="10">
        <f t="shared" si="6"/>
        <v>66032.220591457692</v>
      </c>
      <c r="F185" s="14">
        <f>'F) Population'!K178</f>
        <v>16591.549295774646</v>
      </c>
      <c r="G185" s="10">
        <f>'G) Solidarité'!I175</f>
        <v>57395.948858553864</v>
      </c>
      <c r="H185" s="14">
        <f t="shared" si="7"/>
        <v>73987.49815432851</v>
      </c>
      <c r="I185" s="55">
        <f t="shared" si="8"/>
        <v>-7955.2775628708187</v>
      </c>
    </row>
    <row r="186" spans="1:9" x14ac:dyDescent="0.25">
      <c r="A186" s="49">
        <f>'A) Base RI'!A177</f>
        <v>5692</v>
      </c>
      <c r="B186" s="32" t="str">
        <f>'A) Base RI'!B177</f>
        <v>Vucherens</v>
      </c>
      <c r="C186" s="31">
        <f>'D) Ecrêtage'!C176</f>
        <v>18793.189090909087</v>
      </c>
      <c r="D186" s="14">
        <f>'A) Base RI'!V177</f>
        <v>623</v>
      </c>
      <c r="E186" s="10">
        <f t="shared" si="6"/>
        <v>353545.11321530928</v>
      </c>
      <c r="F186" s="14">
        <f>'F) Population'!K179</f>
        <v>77718.309859154921</v>
      </c>
      <c r="G186" s="10">
        <f>'G) Solidarité'!I176</f>
        <v>269588.79818165884</v>
      </c>
      <c r="H186" s="14">
        <f t="shared" si="7"/>
        <v>347307.10804081376</v>
      </c>
      <c r="I186" s="55">
        <f t="shared" si="8"/>
        <v>6238.0051744955126</v>
      </c>
    </row>
    <row r="187" spans="1:9" x14ac:dyDescent="0.25">
      <c r="A187" s="49">
        <f>'A) Base RI'!A178</f>
        <v>5693</v>
      </c>
      <c r="B187" s="32" t="str">
        <f>'A) Base RI'!B178</f>
        <v>Montanaire</v>
      </c>
      <c r="C187" s="31">
        <f>'D) Ecrêtage'!C177</f>
        <v>75690.162142857153</v>
      </c>
      <c r="D187" s="14">
        <f>'A) Base RI'!V178</f>
        <v>2768</v>
      </c>
      <c r="E187" s="10">
        <f t="shared" si="6"/>
        <v>1423914.1007220659</v>
      </c>
      <c r="F187" s="14">
        <f>'F) Population'!K180</f>
        <v>742303.42052313872</v>
      </c>
      <c r="G187" s="10">
        <f>'G) Solidarité'!I177</f>
        <v>1142836.4750327475</v>
      </c>
      <c r="H187" s="14">
        <f t="shared" si="7"/>
        <v>1885139.8955558862</v>
      </c>
      <c r="I187" s="55">
        <f t="shared" si="8"/>
        <v>-461225.79483382031</v>
      </c>
    </row>
    <row r="188" spans="1:9" x14ac:dyDescent="0.25">
      <c r="A188" s="49">
        <f>'A) Base RI'!A179</f>
        <v>5701</v>
      </c>
      <c r="B188" s="32" t="str">
        <f>'A) Base RI'!B179</f>
        <v>Arnex-sur-Nyon</v>
      </c>
      <c r="C188" s="31">
        <f>'D) Ecrêtage'!C178</f>
        <v>14488.714857142857</v>
      </c>
      <c r="D188" s="14">
        <f>'A) Base RI'!V179</f>
        <v>226</v>
      </c>
      <c r="E188" s="10">
        <f t="shared" si="6"/>
        <v>272567.59402217658</v>
      </c>
      <c r="F188" s="14">
        <f>'F) Population'!K181</f>
        <v>28193.158953722334</v>
      </c>
      <c r="G188" s="10">
        <f>'G) Solidarité'!I178</f>
        <v>0</v>
      </c>
      <c r="H188" s="14">
        <f t="shared" si="7"/>
        <v>28193.158953722334</v>
      </c>
      <c r="I188" s="55">
        <f t="shared" si="8"/>
        <v>244374.43506845424</v>
      </c>
    </row>
    <row r="189" spans="1:9" x14ac:dyDescent="0.25">
      <c r="A189" s="49">
        <f>'A) Base RI'!A180</f>
        <v>5702</v>
      </c>
      <c r="B189" s="32" t="str">
        <f>'A) Base RI'!B180</f>
        <v>Arzier-Le Muids</v>
      </c>
      <c r="C189" s="31">
        <f>'D) Ecrêtage'!C179</f>
        <v>174862.96255208339</v>
      </c>
      <c r="D189" s="14">
        <f>'A) Base RI'!V180</f>
        <v>2947</v>
      </c>
      <c r="E189" s="10">
        <f t="shared" si="6"/>
        <v>3289593.1389604397</v>
      </c>
      <c r="F189" s="14">
        <f>'F) Population'!K182</f>
        <v>804827.36418511055</v>
      </c>
      <c r="G189" s="10">
        <f>'G) Solidarité'!I179</f>
        <v>0</v>
      </c>
      <c r="H189" s="14">
        <f t="shared" si="7"/>
        <v>804827.36418511055</v>
      </c>
      <c r="I189" s="55">
        <f t="shared" si="8"/>
        <v>2484765.774775329</v>
      </c>
    </row>
    <row r="190" spans="1:9" x14ac:dyDescent="0.25">
      <c r="A190" s="49">
        <f>'A) Base RI'!A181</f>
        <v>5703</v>
      </c>
      <c r="B190" s="32" t="str">
        <f>'A) Base RI'!B181</f>
        <v>Bassins</v>
      </c>
      <c r="C190" s="31">
        <f>'D) Ecrêtage'!C180</f>
        <v>66800.247822660094</v>
      </c>
      <c r="D190" s="14">
        <f>'A) Base RI'!V181</f>
        <v>1487</v>
      </c>
      <c r="E190" s="10">
        <f t="shared" si="6"/>
        <v>1256673.4184937985</v>
      </c>
      <c r="F190" s="14">
        <f>'F) Population'!K183</f>
        <v>294855.53319919517</v>
      </c>
      <c r="G190" s="10">
        <f>'G) Solidarité'!I180</f>
        <v>109423.28709531912</v>
      </c>
      <c r="H190" s="14">
        <f t="shared" si="7"/>
        <v>404278.8202945143</v>
      </c>
      <c r="I190" s="55">
        <f t="shared" si="8"/>
        <v>852394.59819928417</v>
      </c>
    </row>
    <row r="191" spans="1:9" x14ac:dyDescent="0.25">
      <c r="A191" s="49">
        <f>'A) Base RI'!A182</f>
        <v>5704</v>
      </c>
      <c r="B191" s="32" t="str">
        <f>'A) Base RI'!B182</f>
        <v>Begnins</v>
      </c>
      <c r="C191" s="31">
        <f>'D) Ecrêtage'!C181</f>
        <v>202343.35360000003</v>
      </c>
      <c r="D191" s="14">
        <f>'A) Base RI'!V182</f>
        <v>1941</v>
      </c>
      <c r="E191" s="10">
        <f t="shared" si="6"/>
        <v>3806565.4270185856</v>
      </c>
      <c r="F191" s="14">
        <f>'F) Population'!K184</f>
        <v>453435.814889336</v>
      </c>
      <c r="G191" s="10">
        <f>'G) Solidarité'!I181</f>
        <v>0</v>
      </c>
      <c r="H191" s="14">
        <f t="shared" si="7"/>
        <v>453435.814889336</v>
      </c>
      <c r="I191" s="55">
        <f t="shared" si="8"/>
        <v>3353129.6121292496</v>
      </c>
    </row>
    <row r="192" spans="1:9" x14ac:dyDescent="0.25">
      <c r="A192" s="49">
        <f>'A) Base RI'!A183</f>
        <v>5705</v>
      </c>
      <c r="B192" s="32" t="str">
        <f>'A) Base RI'!B183</f>
        <v>Bogis-Bossey</v>
      </c>
      <c r="C192" s="31">
        <f>'D) Ecrêtage'!C182</f>
        <v>51953.338389261742</v>
      </c>
      <c r="D192" s="14">
        <f>'A) Base RI'!V183</f>
        <v>888</v>
      </c>
      <c r="E192" s="10">
        <f t="shared" si="6"/>
        <v>977367.32248546253</v>
      </c>
      <c r="F192" s="14">
        <f>'F) Population'!K185</f>
        <v>110776.65995975854</v>
      </c>
      <c r="G192" s="10">
        <f>'G) Solidarité'!I182</f>
        <v>0</v>
      </c>
      <c r="H192" s="14">
        <f t="shared" si="7"/>
        <v>110776.65995975854</v>
      </c>
      <c r="I192" s="55">
        <f t="shared" si="8"/>
        <v>866590.66252570401</v>
      </c>
    </row>
    <row r="193" spans="1:9" x14ac:dyDescent="0.25">
      <c r="A193" s="49">
        <f>'A) Base RI'!A184</f>
        <v>5706</v>
      </c>
      <c r="B193" s="32" t="str">
        <f>'A) Base RI'!B184</f>
        <v>Borex</v>
      </c>
      <c r="C193" s="31">
        <f>'D) Ecrêtage'!C183</f>
        <v>71207.99596491229</v>
      </c>
      <c r="D193" s="14">
        <f>'A) Base RI'!V184</f>
        <v>1165</v>
      </c>
      <c r="E193" s="10">
        <f t="shared" si="6"/>
        <v>1339593.7684375418</v>
      </c>
      <c r="F193" s="14">
        <f>'F) Population'!K186</f>
        <v>182382.29376257546</v>
      </c>
      <c r="G193" s="10">
        <f>'G) Solidarité'!I183</f>
        <v>0</v>
      </c>
      <c r="H193" s="14">
        <f t="shared" si="7"/>
        <v>182382.29376257546</v>
      </c>
      <c r="I193" s="55">
        <f t="shared" si="8"/>
        <v>1157211.4746749664</v>
      </c>
    </row>
    <row r="194" spans="1:9" x14ac:dyDescent="0.25">
      <c r="A194" s="49">
        <f>'A) Base RI'!A185</f>
        <v>5707</v>
      </c>
      <c r="B194" s="32" t="str">
        <f>'A) Base RI'!B185</f>
        <v>Chavannes-de-Bogis</v>
      </c>
      <c r="C194" s="31">
        <f>'D) Ecrêtage'!C184</f>
        <v>88021.415574712664</v>
      </c>
      <c r="D194" s="14">
        <f>'A) Base RI'!V185</f>
        <v>1330</v>
      </c>
      <c r="E194" s="10">
        <f t="shared" si="6"/>
        <v>1655894.6533341259</v>
      </c>
      <c r="F194" s="14">
        <f>'F) Population'!K187</f>
        <v>240016.09657947684</v>
      </c>
      <c r="G194" s="10">
        <f>'G) Solidarité'!I184</f>
        <v>0</v>
      </c>
      <c r="H194" s="14">
        <f t="shared" si="7"/>
        <v>240016.09657947684</v>
      </c>
      <c r="I194" s="55">
        <f t="shared" si="8"/>
        <v>1415878.5567546492</v>
      </c>
    </row>
    <row r="195" spans="1:9" x14ac:dyDescent="0.25">
      <c r="A195" s="49">
        <f>'A) Base RI'!A186</f>
        <v>5708</v>
      </c>
      <c r="B195" s="32" t="str">
        <f>'A) Base RI'!B186</f>
        <v>Chavannes-des-Bois</v>
      </c>
      <c r="C195" s="31">
        <f>'D) Ecrêtage'!C185</f>
        <v>67001.640000000014</v>
      </c>
      <c r="D195" s="14">
        <f>'A) Base RI'!V186</f>
        <v>1005</v>
      </c>
      <c r="E195" s="10">
        <f t="shared" si="6"/>
        <v>1260462.0900063284</v>
      </c>
      <c r="F195" s="14">
        <f>'F) Population'!K188</f>
        <v>126494.96981891348</v>
      </c>
      <c r="G195" s="10">
        <f>'G) Solidarité'!I185</f>
        <v>0</v>
      </c>
      <c r="H195" s="14">
        <f t="shared" si="7"/>
        <v>126494.96981891348</v>
      </c>
      <c r="I195" s="55">
        <f t="shared" si="8"/>
        <v>1133967.120187415</v>
      </c>
    </row>
    <row r="196" spans="1:9" x14ac:dyDescent="0.25">
      <c r="A196" s="49">
        <f>'A) Base RI'!A187</f>
        <v>5709</v>
      </c>
      <c r="B196" s="32" t="str">
        <f>'A) Base RI'!B187</f>
        <v>Chéserex</v>
      </c>
      <c r="C196" s="31">
        <f>'D) Ecrêtage'!C186</f>
        <v>88342.385614035084</v>
      </c>
      <c r="D196" s="14">
        <f>'A) Base RI'!V187</f>
        <v>1263</v>
      </c>
      <c r="E196" s="10">
        <f t="shared" si="6"/>
        <v>1661932.872198526</v>
      </c>
      <c r="F196" s="14">
        <f>'F) Population'!K189</f>
        <v>216613.27967806841</v>
      </c>
      <c r="G196" s="10">
        <f>'G) Solidarité'!I186</f>
        <v>0</v>
      </c>
      <c r="H196" s="14">
        <f t="shared" si="7"/>
        <v>216613.27967806841</v>
      </c>
      <c r="I196" s="55">
        <f t="shared" si="8"/>
        <v>1445319.5925204577</v>
      </c>
    </row>
    <row r="197" spans="1:9" x14ac:dyDescent="0.25">
      <c r="A197" s="49">
        <f>'A) Base RI'!A188</f>
        <v>5710</v>
      </c>
      <c r="B197" s="32" t="str">
        <f>'A) Base RI'!B188</f>
        <v>Coinsins</v>
      </c>
      <c r="C197" s="31">
        <f>'D) Ecrêtage'!C187</f>
        <v>43412.265098039228</v>
      </c>
      <c r="D197" s="14">
        <f>'A) Base RI'!V188</f>
        <v>508</v>
      </c>
      <c r="E197" s="10">
        <f t="shared" si="6"/>
        <v>816689.17950938665</v>
      </c>
      <c r="F197" s="14">
        <f>'F) Population'!K190</f>
        <v>63372.233400402409</v>
      </c>
      <c r="G197" s="10">
        <f>'G) Solidarité'!I187</f>
        <v>0</v>
      </c>
      <c r="H197" s="14">
        <f t="shared" si="7"/>
        <v>63372.233400402409</v>
      </c>
      <c r="I197" s="55">
        <f t="shared" si="8"/>
        <v>753316.9461089843</v>
      </c>
    </row>
    <row r="198" spans="1:9" x14ac:dyDescent="0.25">
      <c r="A198" s="49">
        <f>'A) Base RI'!A189</f>
        <v>5711</v>
      </c>
      <c r="B198" s="32" t="str">
        <f>'A) Base RI'!B189</f>
        <v>Commugny</v>
      </c>
      <c r="C198" s="31">
        <f>'D) Ecrêtage'!C188</f>
        <v>286273.03470547468</v>
      </c>
      <c r="D198" s="14">
        <f>'A) Base RI'!V189</f>
        <v>3001</v>
      </c>
      <c r="E198" s="10">
        <f t="shared" si="6"/>
        <v>5385484.7080954546</v>
      </c>
      <c r="F198" s="14">
        <f>'F) Population'!K191</f>
        <v>823839.03420523123</v>
      </c>
      <c r="G198" s="10">
        <f>'G) Solidarité'!I188</f>
        <v>0</v>
      </c>
      <c r="H198" s="14">
        <f t="shared" si="7"/>
        <v>823839.03420523123</v>
      </c>
      <c r="I198" s="55">
        <f t="shared" si="8"/>
        <v>4561645.6738902237</v>
      </c>
    </row>
    <row r="199" spans="1:9" x14ac:dyDescent="0.25">
      <c r="A199" s="49">
        <f>'A) Base RI'!A190</f>
        <v>5712</v>
      </c>
      <c r="B199" s="32" t="str">
        <f>'A) Base RI'!B190</f>
        <v>Coppet</v>
      </c>
      <c r="C199" s="31">
        <f>'D) Ecrêtage'!C189</f>
        <v>333754.3945283019</v>
      </c>
      <c r="D199" s="14">
        <f>'A) Base RI'!V190</f>
        <v>3211</v>
      </c>
      <c r="E199" s="10">
        <f t="shared" si="6"/>
        <v>6278723.3517857185</v>
      </c>
      <c r="F199" s="14">
        <f>'F) Population'!K192</f>
        <v>928627.76659959741</v>
      </c>
      <c r="G199" s="10">
        <f>'G) Solidarité'!I189</f>
        <v>0</v>
      </c>
      <c r="H199" s="14">
        <f t="shared" si="7"/>
        <v>928627.76659959741</v>
      </c>
      <c r="I199" s="55">
        <f t="shared" si="8"/>
        <v>5350095.5851861211</v>
      </c>
    </row>
    <row r="200" spans="1:9" x14ac:dyDescent="0.25">
      <c r="A200" s="49">
        <f>'A) Base RI'!A191</f>
        <v>5713</v>
      </c>
      <c r="B200" s="32" t="str">
        <f>'A) Base RI'!B191</f>
        <v>Crans</v>
      </c>
      <c r="C200" s="31">
        <f>'D) Ecrêtage'!C190</f>
        <v>302504.79982142855</v>
      </c>
      <c r="D200" s="14">
        <f>'A) Base RI'!V191</f>
        <v>2373</v>
      </c>
      <c r="E200" s="10">
        <f t="shared" si="6"/>
        <v>5690843.2721924987</v>
      </c>
      <c r="F200" s="14">
        <f>'F) Population'!K193</f>
        <v>604331.58953722334</v>
      </c>
      <c r="G200" s="10">
        <f>'G) Solidarité'!I190</f>
        <v>0</v>
      </c>
      <c r="H200" s="14">
        <f t="shared" si="7"/>
        <v>604331.58953722334</v>
      </c>
      <c r="I200" s="55">
        <f t="shared" si="8"/>
        <v>5086511.6826552749</v>
      </c>
    </row>
    <row r="201" spans="1:9" x14ac:dyDescent="0.25">
      <c r="A201" s="49">
        <f>'A) Base RI'!A192</f>
        <v>5714</v>
      </c>
      <c r="B201" s="32" t="str">
        <f>'A) Base RI'!B192</f>
        <v>Crassier</v>
      </c>
      <c r="C201" s="31">
        <f>'D) Ecrêtage'!C191</f>
        <v>62136.029852941167</v>
      </c>
      <c r="D201" s="14">
        <f>'A) Base RI'!V192</f>
        <v>1228</v>
      </c>
      <c r="E201" s="10">
        <f t="shared" si="6"/>
        <v>1168928.2538924993</v>
      </c>
      <c r="F201" s="14">
        <f>'F) Population'!K194</f>
        <v>204387.92756539234</v>
      </c>
      <c r="G201" s="10">
        <f>'G) Solidarité'!I191</f>
        <v>0</v>
      </c>
      <c r="H201" s="14">
        <f t="shared" si="7"/>
        <v>204387.92756539234</v>
      </c>
      <c r="I201" s="55">
        <f t="shared" si="8"/>
        <v>964540.32632710692</v>
      </c>
    </row>
    <row r="202" spans="1:9" x14ac:dyDescent="0.25">
      <c r="A202" s="49">
        <f>'A) Base RI'!A193</f>
        <v>5715</v>
      </c>
      <c r="B202" s="32" t="str">
        <f>'A) Base RI'!B193</f>
        <v>Duillier</v>
      </c>
      <c r="C202" s="31">
        <f>'D) Ecrêtage'!C192</f>
        <v>70395.129393939395</v>
      </c>
      <c r="D202" s="14">
        <f>'A) Base RI'!V193</f>
        <v>1146</v>
      </c>
      <c r="E202" s="10">
        <f t="shared" si="6"/>
        <v>1324301.7920479374</v>
      </c>
      <c r="F202" s="14">
        <f>'F) Population'!K195</f>
        <v>175745.67404426559</v>
      </c>
      <c r="G202" s="10">
        <f>'G) Solidarité'!I192</f>
        <v>0</v>
      </c>
      <c r="H202" s="14">
        <f t="shared" si="7"/>
        <v>175745.67404426559</v>
      </c>
      <c r="I202" s="55">
        <f t="shared" si="8"/>
        <v>1148556.1180036718</v>
      </c>
    </row>
    <row r="203" spans="1:9" x14ac:dyDescent="0.25">
      <c r="A203" s="49">
        <f>'A) Base RI'!A194</f>
        <v>5716</v>
      </c>
      <c r="B203" s="32" t="str">
        <f>'A) Base RI'!B194</f>
        <v>Eysins</v>
      </c>
      <c r="C203" s="31">
        <f>'D) Ecrêtage'!C193</f>
        <v>203854.36605042018</v>
      </c>
      <c r="D203" s="14">
        <f>'A) Base RI'!V194</f>
        <v>1736</v>
      </c>
      <c r="E203" s="10">
        <f t="shared" si="6"/>
        <v>3834991.2075111554</v>
      </c>
      <c r="F203" s="14">
        <f>'F) Population'!K196</f>
        <v>381830.18108651909</v>
      </c>
      <c r="G203" s="10">
        <f>'G) Solidarité'!I193</f>
        <v>0</v>
      </c>
      <c r="H203" s="14">
        <f t="shared" si="7"/>
        <v>381830.18108651909</v>
      </c>
      <c r="I203" s="55">
        <f t="shared" si="8"/>
        <v>3453161.0264246361</v>
      </c>
    </row>
    <row r="204" spans="1:9" x14ac:dyDescent="0.25">
      <c r="A204" s="49">
        <f>'A) Base RI'!A195</f>
        <v>5717</v>
      </c>
      <c r="B204" s="32" t="str">
        <f>'A) Base RI'!B195</f>
        <v>Founex</v>
      </c>
      <c r="C204" s="31">
        <f>'D) Ecrêtage'!C194</f>
        <v>390728.72</v>
      </c>
      <c r="D204" s="14">
        <f>'A) Base RI'!V195</f>
        <v>3822</v>
      </c>
      <c r="E204" s="10">
        <f t="shared" si="6"/>
        <v>7350547.524459064</v>
      </c>
      <c r="F204" s="14">
        <f>'F) Population'!K197</f>
        <v>1233513.0784708248</v>
      </c>
      <c r="G204" s="10">
        <f>'G) Solidarité'!I194</f>
        <v>0</v>
      </c>
      <c r="H204" s="14">
        <f t="shared" si="7"/>
        <v>1233513.0784708248</v>
      </c>
      <c r="I204" s="55">
        <f t="shared" si="8"/>
        <v>6117034.4459882397</v>
      </c>
    </row>
    <row r="205" spans="1:9" x14ac:dyDescent="0.25">
      <c r="A205" s="49">
        <f>'A) Base RI'!A196</f>
        <v>5718</v>
      </c>
      <c r="B205" s="32" t="str">
        <f>'A) Base RI'!B196</f>
        <v>Genolier</v>
      </c>
      <c r="C205" s="31">
        <f>'D) Ecrêtage'!C195</f>
        <v>192274.57272727272</v>
      </c>
      <c r="D205" s="14">
        <f>'A) Base RI'!V196</f>
        <v>2022</v>
      </c>
      <c r="E205" s="10">
        <f t="shared" si="6"/>
        <v>3617147.427956867</v>
      </c>
      <c r="F205" s="14">
        <f>'F) Population'!K198</f>
        <v>481728.77263581485</v>
      </c>
      <c r="G205" s="10">
        <f>'G) Solidarité'!I195</f>
        <v>0</v>
      </c>
      <c r="H205" s="14">
        <f t="shared" si="7"/>
        <v>481728.77263581485</v>
      </c>
      <c r="I205" s="55">
        <f t="shared" si="8"/>
        <v>3135418.6553210523</v>
      </c>
    </row>
    <row r="206" spans="1:9" x14ac:dyDescent="0.25">
      <c r="A206" s="49">
        <f>'A) Base RI'!A197</f>
        <v>5719</v>
      </c>
      <c r="B206" s="32" t="str">
        <f>'A) Base RI'!B197</f>
        <v>Gingins</v>
      </c>
      <c r="C206" s="31">
        <f>'D) Ecrêtage'!C196</f>
        <v>151296.69466666671</v>
      </c>
      <c r="D206" s="14">
        <f>'A) Base RI'!V197</f>
        <v>1265</v>
      </c>
      <c r="E206" s="10">
        <f t="shared" si="6"/>
        <v>2846254.9270524723</v>
      </c>
      <c r="F206" s="14">
        <f>'F) Population'!K199</f>
        <v>217311.87122736417</v>
      </c>
      <c r="G206" s="10">
        <f>'G) Solidarité'!I196</f>
        <v>0</v>
      </c>
      <c r="H206" s="14">
        <f t="shared" si="7"/>
        <v>217311.87122736417</v>
      </c>
      <c r="I206" s="55">
        <f t="shared" si="8"/>
        <v>2628943.0558251082</v>
      </c>
    </row>
    <row r="207" spans="1:9" x14ac:dyDescent="0.25">
      <c r="A207" s="49">
        <f>'A) Base RI'!A198</f>
        <v>5720</v>
      </c>
      <c r="B207" s="32" t="str">
        <f>'A) Base RI'!B198</f>
        <v>Givrins</v>
      </c>
      <c r="C207" s="31">
        <f>'D) Ecrêtage'!C197</f>
        <v>74789.829883913771</v>
      </c>
      <c r="D207" s="14">
        <f>'A) Base RI'!V198</f>
        <v>1010</v>
      </c>
      <c r="E207" s="10">
        <f t="shared" si="6"/>
        <v>1406976.6842527392</v>
      </c>
      <c r="F207" s="14">
        <f>'F) Population'!K200</f>
        <v>128241.44869215292</v>
      </c>
      <c r="G207" s="10">
        <f>'G) Solidarité'!I197</f>
        <v>0</v>
      </c>
      <c r="H207" s="14">
        <f t="shared" si="7"/>
        <v>128241.44869215292</v>
      </c>
      <c r="I207" s="55">
        <f t="shared" si="8"/>
        <v>1278735.2355605862</v>
      </c>
    </row>
    <row r="208" spans="1:9" x14ac:dyDescent="0.25">
      <c r="A208" s="49">
        <f>'A) Base RI'!A199</f>
        <v>5721</v>
      </c>
      <c r="B208" s="32" t="str">
        <f>'A) Base RI'!B199</f>
        <v>Gland</v>
      </c>
      <c r="C208" s="31">
        <f>'D) Ecrêtage'!C198</f>
        <v>723023.81196721317</v>
      </c>
      <c r="D208" s="14">
        <f>'A) Base RI'!V199</f>
        <v>13306</v>
      </c>
      <c r="E208" s="10">
        <f t="shared" ref="E208:E271" si="9">C208*E$15</f>
        <v>13601817.883212052</v>
      </c>
      <c r="F208" s="14">
        <f>'F) Population'!K201</f>
        <v>8064740.442655935</v>
      </c>
      <c r="G208" s="10">
        <f>'G) Solidarité'!I198</f>
        <v>0</v>
      </c>
      <c r="H208" s="14">
        <f t="shared" ref="H208:H271" si="10">F208+G208</f>
        <v>8064740.442655935</v>
      </c>
      <c r="I208" s="55">
        <f t="shared" ref="I208:I271" si="11">E208-H208</f>
        <v>5537077.4405561173</v>
      </c>
    </row>
    <row r="209" spans="1:9" x14ac:dyDescent="0.25">
      <c r="A209" s="49">
        <f>'A) Base RI'!A200</f>
        <v>5722</v>
      </c>
      <c r="B209" s="32" t="str">
        <f>'A) Base RI'!B200</f>
        <v>Grens</v>
      </c>
      <c r="C209" s="31">
        <f>'D) Ecrêtage'!C199</f>
        <v>22316.761129032264</v>
      </c>
      <c r="D209" s="14">
        <f>'A) Base RI'!V200</f>
        <v>401</v>
      </c>
      <c r="E209" s="10">
        <f t="shared" si="9"/>
        <v>419831.98284209153</v>
      </c>
      <c r="F209" s="14">
        <f>'F) Population'!K202</f>
        <v>50024.144869215292</v>
      </c>
      <c r="G209" s="10">
        <f>'G) Solidarité'!I199</f>
        <v>0</v>
      </c>
      <c r="H209" s="14">
        <f t="shared" si="10"/>
        <v>50024.144869215292</v>
      </c>
      <c r="I209" s="55">
        <f t="shared" si="11"/>
        <v>369807.83797287627</v>
      </c>
    </row>
    <row r="210" spans="1:9" x14ac:dyDescent="0.25">
      <c r="A210" s="49">
        <f>'A) Base RI'!A201</f>
        <v>5723</v>
      </c>
      <c r="B210" s="32" t="str">
        <f>'A) Base RI'!B201</f>
        <v>Mies</v>
      </c>
      <c r="C210" s="31">
        <f>'D) Ecrêtage'!C200</f>
        <v>245974.84538461536</v>
      </c>
      <c r="D210" s="14">
        <f>'A) Base RI'!V201</f>
        <v>2195</v>
      </c>
      <c r="E210" s="10">
        <f t="shared" si="9"/>
        <v>4627378.7880785568</v>
      </c>
      <c r="F210" s="14">
        <f>'F) Population'!K203</f>
        <v>542156.94164989935</v>
      </c>
      <c r="G210" s="10">
        <f>'G) Solidarité'!I200</f>
        <v>0</v>
      </c>
      <c r="H210" s="14">
        <f t="shared" si="10"/>
        <v>542156.94164989935</v>
      </c>
      <c r="I210" s="55">
        <f t="shared" si="11"/>
        <v>4085221.8464286574</v>
      </c>
    </row>
    <row r="211" spans="1:9" x14ac:dyDescent="0.25">
      <c r="A211" s="49">
        <f>'A) Base RI'!A202</f>
        <v>5724</v>
      </c>
      <c r="B211" s="32" t="str">
        <f>'A) Base RI'!B202</f>
        <v>Nyon</v>
      </c>
      <c r="C211" s="31">
        <f>'D) Ecrêtage'!C201</f>
        <v>1461873.0345355188</v>
      </c>
      <c r="D211" s="14">
        <f>'A) Base RI'!V202</f>
        <v>22124</v>
      </c>
      <c r="E211" s="10">
        <f t="shared" si="9"/>
        <v>27501349.824191369</v>
      </c>
      <c r="F211" s="14">
        <f>'F) Population'!K204</f>
        <v>17220481.287726358</v>
      </c>
      <c r="G211" s="10">
        <f>'G) Solidarité'!I201</f>
        <v>0</v>
      </c>
      <c r="H211" s="14">
        <f t="shared" si="10"/>
        <v>17220481.287726358</v>
      </c>
      <c r="I211" s="55">
        <f t="shared" si="11"/>
        <v>10280868.536465012</v>
      </c>
    </row>
    <row r="212" spans="1:9" x14ac:dyDescent="0.25">
      <c r="A212" s="49">
        <f>'A) Base RI'!A203</f>
        <v>5725</v>
      </c>
      <c r="B212" s="32" t="str">
        <f>'A) Base RI'!B203</f>
        <v>Prangins</v>
      </c>
      <c r="C212" s="31">
        <f>'D) Ecrêtage'!C202</f>
        <v>355082.58820779232</v>
      </c>
      <c r="D212" s="14">
        <f>'A) Base RI'!V203</f>
        <v>4060</v>
      </c>
      <c r="E212" s="10">
        <f t="shared" si="9"/>
        <v>6679958.0018824963</v>
      </c>
      <c r="F212" s="14">
        <f>'F) Population'!K205</f>
        <v>1352273.6418511064</v>
      </c>
      <c r="G212" s="10">
        <f>'G) Solidarité'!I202</f>
        <v>0</v>
      </c>
      <c r="H212" s="14">
        <f t="shared" si="10"/>
        <v>1352273.6418511064</v>
      </c>
      <c r="I212" s="55">
        <f t="shared" si="11"/>
        <v>5327684.3600313896</v>
      </c>
    </row>
    <row r="213" spans="1:9" x14ac:dyDescent="0.25">
      <c r="A213" s="49">
        <f>'A) Base RI'!A204</f>
        <v>5726</v>
      </c>
      <c r="B213" s="32" t="str">
        <f>'A) Base RI'!B204</f>
        <v>La Rippe</v>
      </c>
      <c r="C213" s="31">
        <f>'D) Ecrêtage'!C203</f>
        <v>70366.469687500008</v>
      </c>
      <c r="D213" s="14">
        <f>'A) Base RI'!V204</f>
        <v>1165</v>
      </c>
      <c r="E213" s="10">
        <f t="shared" si="9"/>
        <v>1323762.6339993051</v>
      </c>
      <c r="F213" s="14">
        <f>'F) Population'!K206</f>
        <v>182382.29376257546</v>
      </c>
      <c r="G213" s="10">
        <f>'G) Solidarité'!I203</f>
        <v>0</v>
      </c>
      <c r="H213" s="14">
        <f t="shared" si="10"/>
        <v>182382.29376257546</v>
      </c>
      <c r="I213" s="55">
        <f t="shared" si="11"/>
        <v>1141380.3402367297</v>
      </c>
    </row>
    <row r="214" spans="1:9" x14ac:dyDescent="0.25">
      <c r="A214" s="49">
        <f>'A) Base RI'!A205</f>
        <v>5727</v>
      </c>
      <c r="B214" s="32" t="str">
        <f>'A) Base RI'!B205</f>
        <v>Saint-Cergue</v>
      </c>
      <c r="C214" s="31">
        <f>'D) Ecrêtage'!C204</f>
        <v>106173.30404040407</v>
      </c>
      <c r="D214" s="14">
        <f>'A) Base RI'!V205</f>
        <v>2755</v>
      </c>
      <c r="E214" s="10">
        <f t="shared" si="9"/>
        <v>1997375.3584784649</v>
      </c>
      <c r="F214" s="14">
        <f>'F) Population'!K207</f>
        <v>737762.57545271621</v>
      </c>
      <c r="G214" s="10">
        <f>'G) Solidarité'!I204</f>
        <v>474253.6502655521</v>
      </c>
      <c r="H214" s="14">
        <f t="shared" si="10"/>
        <v>1212016.2257182682</v>
      </c>
      <c r="I214" s="55">
        <f t="shared" si="11"/>
        <v>785359.13276019669</v>
      </c>
    </row>
    <row r="215" spans="1:9" x14ac:dyDescent="0.25">
      <c r="A215" s="49">
        <f>'A) Base RI'!A206</f>
        <v>5728</v>
      </c>
      <c r="B215" s="32" t="str">
        <f>'A) Base RI'!B206</f>
        <v>Signy-Avenex</v>
      </c>
      <c r="C215" s="31">
        <f>'D) Ecrêtage'!C205</f>
        <v>56477.02620689656</v>
      </c>
      <c r="D215" s="14">
        <f>'A) Base RI'!V206</f>
        <v>584</v>
      </c>
      <c r="E215" s="10">
        <f t="shared" si="9"/>
        <v>1062468.7767357188</v>
      </c>
      <c r="F215" s="14">
        <f>'F) Population'!K208</f>
        <v>72853.11871227363</v>
      </c>
      <c r="G215" s="10">
        <f>'G) Solidarité'!I205</f>
        <v>0</v>
      </c>
      <c r="H215" s="14">
        <f t="shared" si="10"/>
        <v>72853.11871227363</v>
      </c>
      <c r="I215" s="55">
        <f t="shared" si="11"/>
        <v>989615.65802344517</v>
      </c>
    </row>
    <row r="216" spans="1:9" x14ac:dyDescent="0.25">
      <c r="A216" s="49">
        <f>'A) Base RI'!A207</f>
        <v>5729</v>
      </c>
      <c r="B216" s="32" t="str">
        <f>'A) Base RI'!B207</f>
        <v>Tannay</v>
      </c>
      <c r="C216" s="31">
        <f>'D) Ecrêtage'!C206</f>
        <v>161688.04044077132</v>
      </c>
      <c r="D216" s="14">
        <f>'A) Base RI'!V207</f>
        <v>1644</v>
      </c>
      <c r="E216" s="10">
        <f t="shared" si="9"/>
        <v>3041741.1481719306</v>
      </c>
      <c r="F216" s="14">
        <f>'F) Population'!K209</f>
        <v>349694.96981891349</v>
      </c>
      <c r="G216" s="10">
        <f>'G) Solidarité'!I206</f>
        <v>0</v>
      </c>
      <c r="H216" s="14">
        <f t="shared" si="10"/>
        <v>349694.96981891349</v>
      </c>
      <c r="I216" s="55">
        <f t="shared" si="11"/>
        <v>2692046.1783530172</v>
      </c>
    </row>
    <row r="217" spans="1:9" x14ac:dyDescent="0.25">
      <c r="A217" s="49">
        <f>'A) Base RI'!A208</f>
        <v>5730</v>
      </c>
      <c r="B217" s="32" t="str">
        <f>'A) Base RI'!B208</f>
        <v>Trélex</v>
      </c>
      <c r="C217" s="31">
        <f>'D) Ecrêtage'!C207</f>
        <v>125085.64878878882</v>
      </c>
      <c r="D217" s="14">
        <f>'A) Base RI'!V208</f>
        <v>1439</v>
      </c>
      <c r="E217" s="10">
        <f t="shared" si="9"/>
        <v>2353162.0763628217</v>
      </c>
      <c r="F217" s="14">
        <f>'F) Population'!K210</f>
        <v>278089.33601609652</v>
      </c>
      <c r="G217" s="10">
        <f>'G) Solidarité'!I207</f>
        <v>0</v>
      </c>
      <c r="H217" s="14">
        <f t="shared" si="10"/>
        <v>278089.33601609652</v>
      </c>
      <c r="I217" s="55">
        <f t="shared" si="11"/>
        <v>2075072.7403467251</v>
      </c>
    </row>
    <row r="218" spans="1:9" x14ac:dyDescent="0.25">
      <c r="A218" s="49">
        <f>'A) Base RI'!A209</f>
        <v>5731</v>
      </c>
      <c r="B218" s="32" t="str">
        <f>'A) Base RI'!B209</f>
        <v>Le Vaud</v>
      </c>
      <c r="C218" s="31">
        <f>'D) Ecrêtage'!C208</f>
        <v>69596.613288288281</v>
      </c>
      <c r="D218" s="14">
        <f>'A) Base RI'!V209</f>
        <v>1387</v>
      </c>
      <c r="E218" s="10">
        <f t="shared" si="9"/>
        <v>1309279.7824458932</v>
      </c>
      <c r="F218" s="14">
        <f>'F) Population'!K211</f>
        <v>259925.95573440642</v>
      </c>
      <c r="G218" s="10">
        <f>'G) Solidarité'!I208</f>
        <v>0</v>
      </c>
      <c r="H218" s="14">
        <f t="shared" si="10"/>
        <v>259925.95573440642</v>
      </c>
      <c r="I218" s="55">
        <f t="shared" si="11"/>
        <v>1049353.8267114868</v>
      </c>
    </row>
    <row r="219" spans="1:9" x14ac:dyDescent="0.25">
      <c r="A219" s="49">
        <f>'A) Base RI'!A210</f>
        <v>5732</v>
      </c>
      <c r="B219" s="32" t="str">
        <f>'A) Base RI'!B210</f>
        <v>Vich</v>
      </c>
      <c r="C219" s="31">
        <f>'D) Ecrêtage'!C209</f>
        <v>86538.031587301579</v>
      </c>
      <c r="D219" s="14">
        <f>'A) Base RI'!V210</f>
        <v>1157</v>
      </c>
      <c r="E219" s="10">
        <f t="shared" si="9"/>
        <v>1627988.6307195437</v>
      </c>
      <c r="F219" s="14">
        <f>'F) Population'!K212</f>
        <v>179587.92756539234</v>
      </c>
      <c r="G219" s="10">
        <f>'G) Solidarité'!I209</f>
        <v>0</v>
      </c>
      <c r="H219" s="14">
        <f t="shared" si="10"/>
        <v>179587.92756539234</v>
      </c>
      <c r="I219" s="55">
        <f t="shared" si="11"/>
        <v>1448400.7031541513</v>
      </c>
    </row>
    <row r="220" spans="1:9" x14ac:dyDescent="0.25">
      <c r="A220" s="49">
        <f>'A) Base RI'!A211</f>
        <v>5741</v>
      </c>
      <c r="B220" s="32" t="str">
        <f>'A) Base RI'!B211</f>
        <v>L'Abergement</v>
      </c>
      <c r="C220" s="31">
        <f>'D) Ecrêtage'!C210</f>
        <v>8987.3782921810707</v>
      </c>
      <c r="D220" s="14">
        <f>'A) Base RI'!V211</f>
        <v>256</v>
      </c>
      <c r="E220" s="10">
        <f t="shared" si="9"/>
        <v>169074.21409147684</v>
      </c>
      <c r="F220" s="14">
        <f>'F) Population'!K213</f>
        <v>31935.613682092553</v>
      </c>
      <c r="G220" s="10">
        <f>'G) Solidarité'!I210</f>
        <v>89413.028057457239</v>
      </c>
      <c r="H220" s="14">
        <f t="shared" si="10"/>
        <v>121348.64173954978</v>
      </c>
      <c r="I220" s="55">
        <f t="shared" si="11"/>
        <v>47725.572351927054</v>
      </c>
    </row>
    <row r="221" spans="1:9" x14ac:dyDescent="0.25">
      <c r="A221" s="49">
        <f>'A) Base RI'!A212</f>
        <v>5742</v>
      </c>
      <c r="B221" s="32" t="str">
        <f>'A) Base RI'!B212</f>
        <v>Agiez</v>
      </c>
      <c r="C221" s="31">
        <f>'D) Ecrêtage'!C211</f>
        <v>10160.069605263159</v>
      </c>
      <c r="D221" s="14">
        <f>'A) Base RI'!V212</f>
        <v>375</v>
      </c>
      <c r="E221" s="10">
        <f t="shared" si="9"/>
        <v>191135.35980999528</v>
      </c>
      <c r="F221" s="14">
        <f>'F) Population'!K214</f>
        <v>46780.684104627762</v>
      </c>
      <c r="G221" s="10">
        <f>'G) Solidarité'!I211</f>
        <v>184682.07696657837</v>
      </c>
      <c r="H221" s="14">
        <f t="shared" si="10"/>
        <v>231462.76107120613</v>
      </c>
      <c r="I221" s="55">
        <f t="shared" si="11"/>
        <v>-40327.401261210849</v>
      </c>
    </row>
    <row r="222" spans="1:9" x14ac:dyDescent="0.25">
      <c r="A222" s="49">
        <f>'A) Base RI'!A213</f>
        <v>5743</v>
      </c>
      <c r="B222" s="32" t="str">
        <f>'A) Base RI'!B213</f>
        <v>Arnex-sur-Orbe</v>
      </c>
      <c r="C222" s="31">
        <f>'D) Ecrêtage'!C212</f>
        <v>18533.117816901413</v>
      </c>
      <c r="D222" s="14">
        <f>'A) Base RI'!V213</f>
        <v>665</v>
      </c>
      <c r="E222" s="10">
        <f t="shared" si="9"/>
        <v>348652.54668132117</v>
      </c>
      <c r="F222" s="14">
        <f>'F) Population'!K215</f>
        <v>82957.746478873232</v>
      </c>
      <c r="G222" s="10">
        <f>'G) Solidarité'!I212</f>
        <v>275432.47288482659</v>
      </c>
      <c r="H222" s="14">
        <f t="shared" si="10"/>
        <v>358390.21936369984</v>
      </c>
      <c r="I222" s="55">
        <f t="shared" si="11"/>
        <v>-9737.6726823786739</v>
      </c>
    </row>
    <row r="223" spans="1:9" x14ac:dyDescent="0.25">
      <c r="A223" s="49">
        <f>'A) Base RI'!A214</f>
        <v>5744</v>
      </c>
      <c r="B223" s="32" t="str">
        <f>'A) Base RI'!B214</f>
        <v>Ballaigues</v>
      </c>
      <c r="C223" s="31">
        <f>'D) Ecrêtage'!C213</f>
        <v>49245.2596923077</v>
      </c>
      <c r="D223" s="14">
        <f>'A) Base RI'!V214</f>
        <v>1173</v>
      </c>
      <c r="E223" s="10">
        <f t="shared" si="9"/>
        <v>926421.84511708305</v>
      </c>
      <c r="F223" s="14">
        <f>'F) Population'!K216</f>
        <v>185176.65995975854</v>
      </c>
      <c r="G223" s="10">
        <f>'G) Solidarité'!I213</f>
        <v>127630.63597126007</v>
      </c>
      <c r="H223" s="14">
        <f t="shared" si="10"/>
        <v>312807.2959310186</v>
      </c>
      <c r="I223" s="55">
        <f t="shared" si="11"/>
        <v>613614.5491860644</v>
      </c>
    </row>
    <row r="224" spans="1:9" x14ac:dyDescent="0.25">
      <c r="A224" s="49">
        <f>'A) Base RI'!A215</f>
        <v>5745</v>
      </c>
      <c r="B224" s="32" t="str">
        <f>'A) Base RI'!B215</f>
        <v>Baulmes</v>
      </c>
      <c r="C224" s="31">
        <f>'D) Ecrêtage'!C214</f>
        <v>28471.572156862745</v>
      </c>
      <c r="D224" s="14">
        <f>'A) Base RI'!V215</f>
        <v>1126</v>
      </c>
      <c r="E224" s="10">
        <f t="shared" si="9"/>
        <v>535618.79002670979</v>
      </c>
      <c r="F224" s="14">
        <f>'F) Population'!K217</f>
        <v>168759.75855130784</v>
      </c>
      <c r="G224" s="10">
        <f>'G) Solidarité'!I214</f>
        <v>609478.30217532581</v>
      </c>
      <c r="H224" s="14">
        <f t="shared" si="10"/>
        <v>778238.06072663364</v>
      </c>
      <c r="I224" s="55">
        <f t="shared" si="11"/>
        <v>-242619.27069992386</v>
      </c>
    </row>
    <row r="225" spans="1:9" x14ac:dyDescent="0.25">
      <c r="A225" s="49">
        <f>'A) Base RI'!A216</f>
        <v>5746</v>
      </c>
      <c r="B225" s="32" t="str">
        <f>'A) Base RI'!B216</f>
        <v>Bavois</v>
      </c>
      <c r="C225" s="31">
        <f>'D) Ecrêtage'!C215</f>
        <v>27408.124908675796</v>
      </c>
      <c r="D225" s="14">
        <f>'A) Base RI'!V216</f>
        <v>978</v>
      </c>
      <c r="E225" s="10">
        <f t="shared" si="9"/>
        <v>515612.78806823236</v>
      </c>
      <c r="F225" s="14">
        <f>'F) Population'!K218</f>
        <v>122004.02414486921</v>
      </c>
      <c r="G225" s="10">
        <f>'G) Solidarité'!I215</f>
        <v>424978.99748832511</v>
      </c>
      <c r="H225" s="14">
        <f t="shared" si="10"/>
        <v>546983.02163319429</v>
      </c>
      <c r="I225" s="55">
        <f t="shared" si="11"/>
        <v>-31370.233564961934</v>
      </c>
    </row>
    <row r="226" spans="1:9" x14ac:dyDescent="0.25">
      <c r="A226" s="49">
        <f>'A) Base RI'!A217</f>
        <v>5747</v>
      </c>
      <c r="B226" s="32" t="str">
        <f>'A) Base RI'!B217</f>
        <v>Bofflens</v>
      </c>
      <c r="C226" s="31">
        <f>'D) Ecrêtage'!C216</f>
        <v>5808.1759420289845</v>
      </c>
      <c r="D226" s="14">
        <f>'A) Base RI'!V217</f>
        <v>206</v>
      </c>
      <c r="E226" s="10">
        <f t="shared" si="9"/>
        <v>109265.76703218502</v>
      </c>
      <c r="F226" s="14">
        <f>'F) Population'!K219</f>
        <v>25698.18913480885</v>
      </c>
      <c r="G226" s="10">
        <f>'G) Solidarité'!I216</f>
        <v>79306.061731087917</v>
      </c>
      <c r="H226" s="14">
        <f t="shared" si="10"/>
        <v>105004.25086589677</v>
      </c>
      <c r="I226" s="55">
        <f t="shared" si="11"/>
        <v>4261.5161662882456</v>
      </c>
    </row>
    <row r="227" spans="1:9" x14ac:dyDescent="0.25">
      <c r="A227" s="49">
        <f>'A) Base RI'!A218</f>
        <v>5748</v>
      </c>
      <c r="B227" s="32" t="str">
        <f>'A) Base RI'!B218</f>
        <v>Bretonnières</v>
      </c>
      <c r="C227" s="31">
        <f>'D) Ecrêtage'!C217</f>
        <v>6643.6153664302601</v>
      </c>
      <c r="D227" s="14">
        <f>'A) Base RI'!V218</f>
        <v>266</v>
      </c>
      <c r="E227" s="10">
        <f t="shared" si="9"/>
        <v>124982.3931170766</v>
      </c>
      <c r="F227" s="14">
        <f>'F) Population'!K220</f>
        <v>33183.098591549293</v>
      </c>
      <c r="G227" s="10">
        <f>'G) Solidarité'!I217</f>
        <v>123916.40795171562</v>
      </c>
      <c r="H227" s="14">
        <f t="shared" si="10"/>
        <v>157099.5065432649</v>
      </c>
      <c r="I227" s="55">
        <f t="shared" si="11"/>
        <v>-32117.113426188298</v>
      </c>
    </row>
    <row r="228" spans="1:9" x14ac:dyDescent="0.25">
      <c r="A228" s="49">
        <f>'A) Base RI'!A219</f>
        <v>5749</v>
      </c>
      <c r="B228" s="32" t="str">
        <f>'A) Base RI'!B219</f>
        <v>Chavornay</v>
      </c>
      <c r="C228" s="31">
        <f>'D) Ecrêtage'!C218</f>
        <v>153338.61687943264</v>
      </c>
      <c r="D228" s="14">
        <f>'A) Base RI'!V219</f>
        <v>5366</v>
      </c>
      <c r="E228" s="10">
        <f t="shared" si="9"/>
        <v>2884668.3978262218</v>
      </c>
      <c r="F228" s="14">
        <f>'F) Population'!K221</f>
        <v>2040486.1167002008</v>
      </c>
      <c r="G228" s="10">
        <f>'G) Solidarité'!I218</f>
        <v>2115992.9882603516</v>
      </c>
      <c r="H228" s="14">
        <f t="shared" si="10"/>
        <v>4156479.1049605524</v>
      </c>
      <c r="I228" s="55">
        <f t="shared" si="11"/>
        <v>-1271810.7071343306</v>
      </c>
    </row>
    <row r="229" spans="1:9" x14ac:dyDescent="0.25">
      <c r="A229" s="49">
        <f>'A) Base RI'!A220</f>
        <v>5750</v>
      </c>
      <c r="B229" s="32" t="str">
        <f>'A) Base RI'!B220</f>
        <v>Les Clées</v>
      </c>
      <c r="C229" s="31">
        <f>'D) Ecrêtage'!C219</f>
        <v>4819.774166666667</v>
      </c>
      <c r="D229" s="14">
        <f>'A) Base RI'!V220</f>
        <v>182</v>
      </c>
      <c r="E229" s="10">
        <f t="shared" si="9"/>
        <v>90671.551016888188</v>
      </c>
      <c r="F229" s="14">
        <f>'F) Population'!K222</f>
        <v>22704.225352112673</v>
      </c>
      <c r="G229" s="10">
        <f>'G) Solidarité'!I219</f>
        <v>102161.43333049364</v>
      </c>
      <c r="H229" s="14">
        <f t="shared" si="10"/>
        <v>124865.65868260631</v>
      </c>
      <c r="I229" s="55">
        <f t="shared" si="11"/>
        <v>-34194.107665718126</v>
      </c>
    </row>
    <row r="230" spans="1:9" x14ac:dyDescent="0.25">
      <c r="A230" s="49">
        <f>'A) Base RI'!A221</f>
        <v>5752</v>
      </c>
      <c r="B230" s="32" t="str">
        <f>'A) Base RI'!B221</f>
        <v>Croy</v>
      </c>
      <c r="C230" s="31">
        <f>'D) Ecrêtage'!C220</f>
        <v>9670.9952316602321</v>
      </c>
      <c r="D230" s="14">
        <f>'A) Base RI'!V221</f>
        <v>390</v>
      </c>
      <c r="E230" s="10">
        <f t="shared" si="9"/>
        <v>181934.69386927978</v>
      </c>
      <c r="F230" s="14">
        <f>'F) Population'!K223</f>
        <v>48651.911468812876</v>
      </c>
      <c r="G230" s="10">
        <f>'G) Solidarité'!I220</f>
        <v>201693.42522420417</v>
      </c>
      <c r="H230" s="14">
        <f t="shared" si="10"/>
        <v>250345.33669301705</v>
      </c>
      <c r="I230" s="55">
        <f t="shared" si="11"/>
        <v>-68410.64282373726</v>
      </c>
    </row>
    <row r="231" spans="1:9" x14ac:dyDescent="0.25">
      <c r="A231" s="49">
        <f>'A) Base RI'!A222</f>
        <v>5754</v>
      </c>
      <c r="B231" s="32" t="str">
        <f>'A) Base RI'!B222</f>
        <v>Juriens</v>
      </c>
      <c r="C231" s="31">
        <f>'D) Ecrêtage'!C221</f>
        <v>9073.6935443037964</v>
      </c>
      <c r="D231" s="14">
        <f>'A) Base RI'!V222</f>
        <v>348</v>
      </c>
      <c r="E231" s="10">
        <f t="shared" si="9"/>
        <v>170698.01170434174</v>
      </c>
      <c r="F231" s="14">
        <f>'F) Population'!K224</f>
        <v>43412.474849094564</v>
      </c>
      <c r="G231" s="10">
        <f>'G) Solidarité'!I221</f>
        <v>194034.33049728646</v>
      </c>
      <c r="H231" s="14">
        <f t="shared" si="10"/>
        <v>237446.80534638104</v>
      </c>
      <c r="I231" s="55">
        <f t="shared" si="11"/>
        <v>-66748.793642039294</v>
      </c>
    </row>
    <row r="232" spans="1:9" x14ac:dyDescent="0.25">
      <c r="A232" s="49">
        <f>'A) Base RI'!A223</f>
        <v>5755</v>
      </c>
      <c r="B232" s="32" t="str">
        <f>'A) Base RI'!B223</f>
        <v>Lignerolle</v>
      </c>
      <c r="C232" s="31">
        <f>'D) Ecrêtage'!C222</f>
        <v>10746.718034576888</v>
      </c>
      <c r="D232" s="14">
        <f>'A) Base RI'!V223</f>
        <v>409</v>
      </c>
      <c r="E232" s="10">
        <f t="shared" si="9"/>
        <v>202171.62855374115</v>
      </c>
      <c r="F232" s="14">
        <f>'F) Population'!K225</f>
        <v>51022.132796780679</v>
      </c>
      <c r="G232" s="10">
        <f>'G) Solidarité'!I222</f>
        <v>223136.02763953418</v>
      </c>
      <c r="H232" s="14">
        <f t="shared" si="10"/>
        <v>274158.16043631488</v>
      </c>
      <c r="I232" s="55">
        <f t="shared" si="11"/>
        <v>-71986.531882573734</v>
      </c>
    </row>
    <row r="233" spans="1:9" x14ac:dyDescent="0.25">
      <c r="A233" s="49">
        <f>'A) Base RI'!A224</f>
        <v>5756</v>
      </c>
      <c r="B233" s="32" t="str">
        <f>'A) Base RI'!B224</f>
        <v>Montcherand</v>
      </c>
      <c r="C233" s="31">
        <f>'D) Ecrêtage'!C223</f>
        <v>17739.52444444444</v>
      </c>
      <c r="D233" s="14">
        <f>'A) Base RI'!V224</f>
        <v>502</v>
      </c>
      <c r="E233" s="10">
        <f t="shared" si="9"/>
        <v>333723.14553737472</v>
      </c>
      <c r="F233" s="14">
        <f>'F) Population'!K226</f>
        <v>62623.742454728366</v>
      </c>
      <c r="G233" s="10">
        <f>'G) Solidarité'!I223</f>
        <v>136134.7811119142</v>
      </c>
      <c r="H233" s="14">
        <f t="shared" si="10"/>
        <v>198758.52356664257</v>
      </c>
      <c r="I233" s="55">
        <f t="shared" si="11"/>
        <v>134964.62197073214</v>
      </c>
    </row>
    <row r="234" spans="1:9" x14ac:dyDescent="0.25">
      <c r="A234" s="49">
        <f>'A) Base RI'!A225</f>
        <v>5757</v>
      </c>
      <c r="B234" s="32" t="str">
        <f>'A) Base RI'!B225</f>
        <v>Orbe</v>
      </c>
      <c r="C234" s="31">
        <f>'D) Ecrêtage'!C224</f>
        <v>216184.82317880794</v>
      </c>
      <c r="D234" s="14">
        <f>'A) Base RI'!V225</f>
        <v>7570</v>
      </c>
      <c r="E234" s="10">
        <f t="shared" si="9"/>
        <v>4066956.7797386567</v>
      </c>
      <c r="F234" s="14">
        <f>'F) Population'!K227</f>
        <v>3360225.352112676</v>
      </c>
      <c r="G234" s="10">
        <f>'G) Solidarité'!I224</f>
        <v>3426618.3899794249</v>
      </c>
      <c r="H234" s="14">
        <f t="shared" si="10"/>
        <v>6786843.7420921009</v>
      </c>
      <c r="I234" s="55">
        <f t="shared" si="11"/>
        <v>-2719886.9623534442</v>
      </c>
    </row>
    <row r="235" spans="1:9" x14ac:dyDescent="0.25">
      <c r="A235" s="49">
        <f>'A) Base RI'!A226</f>
        <v>5758</v>
      </c>
      <c r="B235" s="32" t="str">
        <f>'A) Base RI'!B226</f>
        <v>La Praz</v>
      </c>
      <c r="C235" s="31">
        <f>'D) Ecrêtage'!C225</f>
        <v>4771.8661445783146</v>
      </c>
      <c r="D235" s="14">
        <f>'A) Base RI'!V226</f>
        <v>182</v>
      </c>
      <c r="E235" s="10">
        <f t="shared" si="9"/>
        <v>89770.2858292069</v>
      </c>
      <c r="F235" s="14">
        <f>'F) Population'!K228</f>
        <v>22704.225352112673</v>
      </c>
      <c r="G235" s="10">
        <f>'G) Solidarité'!I225</f>
        <v>111286.37851919355</v>
      </c>
      <c r="H235" s="14">
        <f t="shared" si="10"/>
        <v>133990.60387130623</v>
      </c>
      <c r="I235" s="55">
        <f t="shared" si="11"/>
        <v>-44220.31804209933</v>
      </c>
    </row>
    <row r="236" spans="1:9" x14ac:dyDescent="0.25">
      <c r="A236" s="49">
        <f>'A) Base RI'!A227</f>
        <v>5759</v>
      </c>
      <c r="B236" s="32" t="str">
        <f>'A) Base RI'!B227</f>
        <v>Premier</v>
      </c>
      <c r="C236" s="31">
        <f>'D) Ecrêtage'!C226</f>
        <v>5900.0572327044019</v>
      </c>
      <c r="D236" s="14">
        <f>'A) Base RI'!V227</f>
        <v>232</v>
      </c>
      <c r="E236" s="10">
        <f t="shared" si="9"/>
        <v>110994.27522507723</v>
      </c>
      <c r="F236" s="14">
        <f>'F) Population'!K229</f>
        <v>28941.649899396376</v>
      </c>
      <c r="G236" s="10">
        <f>'G) Solidarité'!I226</f>
        <v>134764.70820206823</v>
      </c>
      <c r="H236" s="14">
        <f t="shared" si="10"/>
        <v>163706.3581014646</v>
      </c>
      <c r="I236" s="55">
        <f t="shared" si="11"/>
        <v>-52712.082876387372</v>
      </c>
    </row>
    <row r="237" spans="1:9" x14ac:dyDescent="0.25">
      <c r="A237" s="49">
        <f>'A) Base RI'!A228</f>
        <v>5760</v>
      </c>
      <c r="B237" s="32" t="str">
        <f>'A) Base RI'!B228</f>
        <v>Rances</v>
      </c>
      <c r="C237" s="31">
        <f>'D) Ecrêtage'!C227</f>
        <v>14481.892461873636</v>
      </c>
      <c r="D237" s="14">
        <f>'A) Base RI'!V228</f>
        <v>512</v>
      </c>
      <c r="E237" s="10">
        <f t="shared" si="9"/>
        <v>272439.24834884837</v>
      </c>
      <c r="F237" s="14">
        <f>'F) Population'!K230</f>
        <v>63871.227364185106</v>
      </c>
      <c r="G237" s="10">
        <f>'G) Solidarité'!I227</f>
        <v>241212.16843051524</v>
      </c>
      <c r="H237" s="14">
        <f t="shared" si="10"/>
        <v>305083.39579470037</v>
      </c>
      <c r="I237" s="55">
        <f t="shared" si="11"/>
        <v>-32644.147445851995</v>
      </c>
    </row>
    <row r="238" spans="1:9" x14ac:dyDescent="0.25">
      <c r="A238" s="49">
        <f>'A) Base RI'!A229</f>
        <v>5761</v>
      </c>
      <c r="B238" s="32" t="str">
        <f>'A) Base RI'!B229</f>
        <v>Romainmôtier-Envy</v>
      </c>
      <c r="C238" s="31">
        <f>'D) Ecrêtage'!C228</f>
        <v>12913.984792368126</v>
      </c>
      <c r="D238" s="14">
        <f>'A) Base RI'!V229</f>
        <v>551</v>
      </c>
      <c r="E238" s="10">
        <f t="shared" si="9"/>
        <v>242943.1318651046</v>
      </c>
      <c r="F238" s="14">
        <f>'F) Population'!K231</f>
        <v>68736.418511066397</v>
      </c>
      <c r="G238" s="10">
        <f>'G) Solidarité'!I228</f>
        <v>361069.68459192256</v>
      </c>
      <c r="H238" s="14">
        <f t="shared" si="10"/>
        <v>429806.10310298897</v>
      </c>
      <c r="I238" s="55">
        <f t="shared" si="11"/>
        <v>-186862.97123788437</v>
      </c>
    </row>
    <row r="239" spans="1:9" x14ac:dyDescent="0.25">
      <c r="A239" s="49">
        <f>'A) Base RI'!A230</f>
        <v>5762</v>
      </c>
      <c r="B239" s="32" t="str">
        <f>'A) Base RI'!B230</f>
        <v>Sergey</v>
      </c>
      <c r="C239" s="31">
        <f>'D) Ecrêtage'!C229</f>
        <v>3849.6283333333336</v>
      </c>
      <c r="D239" s="14">
        <f>'A) Base RI'!V230</f>
        <v>141</v>
      </c>
      <c r="E239" s="10">
        <f t="shared" si="9"/>
        <v>72420.773204669487</v>
      </c>
      <c r="F239" s="14">
        <f>'F) Population'!K232</f>
        <v>17589.537223340038</v>
      </c>
      <c r="G239" s="10">
        <f>'G) Solidarité'!I229</f>
        <v>72427.338597160968</v>
      </c>
      <c r="H239" s="14">
        <f t="shared" si="10"/>
        <v>90016.875820501009</v>
      </c>
      <c r="I239" s="55">
        <f t="shared" si="11"/>
        <v>-17596.102615831522</v>
      </c>
    </row>
    <row r="240" spans="1:9" x14ac:dyDescent="0.25">
      <c r="A240" s="49">
        <f>'A) Base RI'!A231</f>
        <v>5763</v>
      </c>
      <c r="B240" s="32" t="str">
        <f>'A) Base RI'!B231</f>
        <v>Valeyres-sous-Rances</v>
      </c>
      <c r="C240" s="31">
        <f>'D) Ecrêtage'!C230</f>
        <v>22663.97352941176</v>
      </c>
      <c r="D240" s="14">
        <f>'A) Base RI'!V231</f>
        <v>614</v>
      </c>
      <c r="E240" s="10">
        <f t="shared" si="9"/>
        <v>426363.88367106306</v>
      </c>
      <c r="F240" s="14">
        <f>'F) Population'!K233</f>
        <v>76595.573440643857</v>
      </c>
      <c r="G240" s="10">
        <f>'G) Solidarité'!I230</f>
        <v>130655.10679602939</v>
      </c>
      <c r="H240" s="14">
        <f t="shared" si="10"/>
        <v>207250.68023667324</v>
      </c>
      <c r="I240" s="55">
        <f t="shared" si="11"/>
        <v>219113.20343438981</v>
      </c>
    </row>
    <row r="241" spans="1:9" x14ac:dyDescent="0.25">
      <c r="A241" s="49">
        <f>'A) Base RI'!A232</f>
        <v>5764</v>
      </c>
      <c r="B241" s="32" t="str">
        <f>'A) Base RI'!B232</f>
        <v>Vallorbe</v>
      </c>
      <c r="C241" s="31">
        <f>'D) Ecrêtage'!C231</f>
        <v>83682.382797202779</v>
      </c>
      <c r="D241" s="14">
        <f>'A) Base RI'!V232</f>
        <v>3924</v>
      </c>
      <c r="E241" s="10">
        <f t="shared" si="9"/>
        <v>1574267.0047669255</v>
      </c>
      <c r="F241" s="14">
        <f>'F) Population'!K234</f>
        <v>1284410.4627766598</v>
      </c>
      <c r="G241" s="10">
        <f>'G) Solidarité'!I231</f>
        <v>2172908.2500863587</v>
      </c>
      <c r="H241" s="14">
        <f t="shared" si="10"/>
        <v>3457318.7128630187</v>
      </c>
      <c r="I241" s="55">
        <f t="shared" si="11"/>
        <v>-1883051.7080960933</v>
      </c>
    </row>
    <row r="242" spans="1:9" x14ac:dyDescent="0.25">
      <c r="A242" s="49">
        <f>'A) Base RI'!A233</f>
        <v>5765</v>
      </c>
      <c r="B242" s="32" t="str">
        <f>'A) Base RI'!B233</f>
        <v>Vaulion</v>
      </c>
      <c r="C242" s="31">
        <f>'D) Ecrêtage'!C232</f>
        <v>10279.479012345679</v>
      </c>
      <c r="D242" s="14">
        <f>'A) Base RI'!V233</f>
        <v>492</v>
      </c>
      <c r="E242" s="10">
        <f t="shared" si="9"/>
        <v>193381.73811980456</v>
      </c>
      <c r="F242" s="14">
        <f>'F) Population'!K235</f>
        <v>61376.257545271626</v>
      </c>
      <c r="G242" s="10">
        <f>'G) Solidarité'!I232</f>
        <v>355232.31470219273</v>
      </c>
      <c r="H242" s="14">
        <f t="shared" si="10"/>
        <v>416608.57224746433</v>
      </c>
      <c r="I242" s="55">
        <f t="shared" si="11"/>
        <v>-223226.83412765976</v>
      </c>
    </row>
    <row r="243" spans="1:9" x14ac:dyDescent="0.25">
      <c r="A243" s="49">
        <f>'A) Base RI'!A234</f>
        <v>5766</v>
      </c>
      <c r="B243" s="32" t="str">
        <f>'A) Base RI'!B234</f>
        <v>Vuiteboeuf</v>
      </c>
      <c r="C243" s="31">
        <f>'D) Ecrêtage'!C233</f>
        <v>15554.101904761903</v>
      </c>
      <c r="D243" s="14">
        <f>'A) Base RI'!V234</f>
        <v>591</v>
      </c>
      <c r="E243" s="10">
        <f t="shared" si="9"/>
        <v>292610.08827616158</v>
      </c>
      <c r="F243" s="14">
        <f>'F) Population'!K236</f>
        <v>73726.358148893356</v>
      </c>
      <c r="G243" s="10">
        <f>'G) Solidarité'!I233</f>
        <v>293751.01879050094</v>
      </c>
      <c r="H243" s="14">
        <f t="shared" si="10"/>
        <v>367477.37693939428</v>
      </c>
      <c r="I243" s="55">
        <f t="shared" si="11"/>
        <v>-74867.288663232699</v>
      </c>
    </row>
    <row r="244" spans="1:9" x14ac:dyDescent="0.25">
      <c r="A244" s="49">
        <f>'A) Base RI'!A235</f>
        <v>5785</v>
      </c>
      <c r="B244" s="32" t="str">
        <f>'A) Base RI'!B235</f>
        <v>Corcelles-le-Jorat</v>
      </c>
      <c r="C244" s="31">
        <f>'D) Ecrêtage'!C234</f>
        <v>14579.940909090908</v>
      </c>
      <c r="D244" s="14">
        <f>'A) Base RI'!V235</f>
        <v>489</v>
      </c>
      <c r="E244" s="10">
        <f t="shared" si="9"/>
        <v>274283.77559775393</v>
      </c>
      <c r="F244" s="14">
        <f>'F) Population'!K237</f>
        <v>61002.012072434605</v>
      </c>
      <c r="G244" s="10">
        <f>'G) Solidarité'!I234</f>
        <v>215657.09713220678</v>
      </c>
      <c r="H244" s="14">
        <f t="shared" si="10"/>
        <v>276659.10920464137</v>
      </c>
      <c r="I244" s="55">
        <f t="shared" si="11"/>
        <v>-2375.3336068874341</v>
      </c>
    </row>
    <row r="245" spans="1:9" x14ac:dyDescent="0.25">
      <c r="A245" s="49">
        <f>'A) Base RI'!A236</f>
        <v>5788</v>
      </c>
      <c r="B245" s="32" t="str">
        <f>'A) Base RI'!B236</f>
        <v>Essertes</v>
      </c>
      <c r="C245" s="31">
        <f>'D) Ecrêtage'!C235</f>
        <v>13314.951048951047</v>
      </c>
      <c r="D245" s="14">
        <f>'A) Base RI'!V236</f>
        <v>397</v>
      </c>
      <c r="E245" s="10">
        <f t="shared" si="9"/>
        <v>250486.27208965019</v>
      </c>
      <c r="F245" s="14">
        <f>'F) Population'!K238</f>
        <v>49525.150905432594</v>
      </c>
      <c r="G245" s="10">
        <f>'G) Solidarité'!I235</f>
        <v>120762.37981118984</v>
      </c>
      <c r="H245" s="14">
        <f t="shared" si="10"/>
        <v>170287.53071662242</v>
      </c>
      <c r="I245" s="55">
        <f t="shared" si="11"/>
        <v>80198.741373027762</v>
      </c>
    </row>
    <row r="246" spans="1:9" x14ac:dyDescent="0.25">
      <c r="A246" s="49">
        <f>'A) Base RI'!A237</f>
        <v>5790</v>
      </c>
      <c r="B246" s="32" t="str">
        <f>'A) Base RI'!B237</f>
        <v>Maracon</v>
      </c>
      <c r="C246" s="31">
        <f>'D) Ecrêtage'!C236</f>
        <v>15172.050604026846</v>
      </c>
      <c r="D246" s="14">
        <f>'A) Base RI'!V237</f>
        <v>547</v>
      </c>
      <c r="E246" s="10">
        <f t="shared" si="9"/>
        <v>285422.78389056528</v>
      </c>
      <c r="F246" s="14">
        <f>'F) Population'!K239</f>
        <v>68237.424547283692</v>
      </c>
      <c r="G246" s="10">
        <f>'G) Solidarité'!I236</f>
        <v>251054.09265004666</v>
      </c>
      <c r="H246" s="14">
        <f t="shared" si="10"/>
        <v>319291.51719733037</v>
      </c>
      <c r="I246" s="55">
        <f t="shared" si="11"/>
        <v>-33868.733306765091</v>
      </c>
    </row>
    <row r="247" spans="1:9" x14ac:dyDescent="0.25">
      <c r="A247" s="49">
        <f>'A) Base RI'!A238</f>
        <v>5792</v>
      </c>
      <c r="B247" s="32" t="str">
        <f>'A) Base RI'!B238</f>
        <v>Montpreveyres</v>
      </c>
      <c r="C247" s="31">
        <f>'D) Ecrêtage'!C237</f>
        <v>20145.836291390729</v>
      </c>
      <c r="D247" s="14">
        <f>'A) Base RI'!V238</f>
        <v>662</v>
      </c>
      <c r="E247" s="10">
        <f t="shared" si="9"/>
        <v>378991.66224545694</v>
      </c>
      <c r="F247" s="14">
        <f>'F) Population'!K240</f>
        <v>82583.501006036211</v>
      </c>
      <c r="G247" s="10">
        <f>'G) Solidarité'!I237</f>
        <v>271398.60586024629</v>
      </c>
      <c r="H247" s="14">
        <f t="shared" si="10"/>
        <v>353982.10686628253</v>
      </c>
      <c r="I247" s="55">
        <f t="shared" si="11"/>
        <v>25009.555379174417</v>
      </c>
    </row>
    <row r="248" spans="1:9" x14ac:dyDescent="0.25">
      <c r="A248" s="49">
        <f>'A) Base RI'!A239</f>
        <v>5798</v>
      </c>
      <c r="B248" s="32" t="str">
        <f>'A) Base RI'!B239</f>
        <v>Ropraz</v>
      </c>
      <c r="C248" s="31">
        <f>'D) Ecrêtage'!C238</f>
        <v>17444.805161290325</v>
      </c>
      <c r="D248" s="14">
        <f>'A) Base RI'!V239</f>
        <v>534</v>
      </c>
      <c r="E248" s="10">
        <f t="shared" si="9"/>
        <v>328178.76656979125</v>
      </c>
      <c r="F248" s="14">
        <f>'F) Population'!K241</f>
        <v>66615.694164989938</v>
      </c>
      <c r="G248" s="10">
        <f>'G) Solidarité'!I238</f>
        <v>202004.69926404377</v>
      </c>
      <c r="H248" s="14">
        <f t="shared" si="10"/>
        <v>268620.39342903369</v>
      </c>
      <c r="I248" s="55">
        <f t="shared" si="11"/>
        <v>59558.373140757554</v>
      </c>
    </row>
    <row r="249" spans="1:9" x14ac:dyDescent="0.25">
      <c r="A249" s="49">
        <f>'A) Base RI'!A240</f>
        <v>5799</v>
      </c>
      <c r="B249" s="32" t="str">
        <f>'A) Base RI'!B240</f>
        <v>Servion</v>
      </c>
      <c r="C249" s="31">
        <f>'D) Ecrêtage'!C239</f>
        <v>71744.263478260895</v>
      </c>
      <c r="D249" s="14">
        <f>'A) Base RI'!V240</f>
        <v>2107</v>
      </c>
      <c r="E249" s="10">
        <f t="shared" si="9"/>
        <v>1349682.2509086854</v>
      </c>
      <c r="F249" s="14">
        <f>'F) Population'!K242</f>
        <v>511418.91348088533</v>
      </c>
      <c r="G249" s="10">
        <f>'G) Solidarité'!I239</f>
        <v>576376.92398158042</v>
      </c>
      <c r="H249" s="14">
        <f t="shared" si="10"/>
        <v>1087795.8374624657</v>
      </c>
      <c r="I249" s="55">
        <f t="shared" si="11"/>
        <v>261886.41344621964</v>
      </c>
    </row>
    <row r="250" spans="1:9" x14ac:dyDescent="0.25">
      <c r="A250" s="49">
        <f>'A) Base RI'!A241</f>
        <v>5803</v>
      </c>
      <c r="B250" s="32" t="str">
        <f>'A) Base RI'!B241</f>
        <v>Vulliens</v>
      </c>
      <c r="C250" s="31">
        <f>'D) Ecrêtage'!C240</f>
        <v>17996.188026315795</v>
      </c>
      <c r="D250" s="14">
        <f>'A) Base RI'!V241</f>
        <v>631</v>
      </c>
      <c r="E250" s="10">
        <f t="shared" si="9"/>
        <v>338551.60518155771</v>
      </c>
      <c r="F250" s="14">
        <f>'F) Population'!K243</f>
        <v>78716.297786720315</v>
      </c>
      <c r="G250" s="10">
        <f>'G) Solidarité'!I240</f>
        <v>289976.11564101285</v>
      </c>
      <c r="H250" s="14">
        <f t="shared" si="10"/>
        <v>368692.41342773318</v>
      </c>
      <c r="I250" s="55">
        <f t="shared" si="11"/>
        <v>-30140.808246175468</v>
      </c>
    </row>
    <row r="251" spans="1:9" x14ac:dyDescent="0.25">
      <c r="A251" s="49">
        <f>'A) Base RI'!A242</f>
        <v>5804</v>
      </c>
      <c r="B251" s="32" t="str">
        <f>'A) Base RI'!B242</f>
        <v>Jorat-Menthue</v>
      </c>
      <c r="C251" s="31">
        <f>'D) Ecrêtage'!C241</f>
        <v>46854.424539007086</v>
      </c>
      <c r="D251" s="14">
        <f>'A) Base RI'!V242</f>
        <v>1603</v>
      </c>
      <c r="E251" s="10">
        <f t="shared" si="9"/>
        <v>881444.48226163816</v>
      </c>
      <c r="F251" s="14">
        <f>'F) Population'!K244</f>
        <v>335373.84305835009</v>
      </c>
      <c r="G251" s="10">
        <f>'G) Solidarité'!I241</f>
        <v>611313.3793515357</v>
      </c>
      <c r="H251" s="14">
        <f t="shared" si="10"/>
        <v>946687.22240988584</v>
      </c>
      <c r="I251" s="55">
        <f t="shared" si="11"/>
        <v>-65242.740148247685</v>
      </c>
    </row>
    <row r="252" spans="1:9" x14ac:dyDescent="0.25">
      <c r="A252" s="49">
        <f>'A) Base RI'!A243</f>
        <v>5805</v>
      </c>
      <c r="B252" s="32" t="str">
        <f>'A) Base RI'!B243</f>
        <v>Oron</v>
      </c>
      <c r="C252" s="31">
        <f>'D) Ecrêtage'!C242</f>
        <v>162115.58504611329</v>
      </c>
      <c r="D252" s="14">
        <f>'A) Base RI'!V243</f>
        <v>5703</v>
      </c>
      <c r="E252" s="10">
        <f t="shared" si="9"/>
        <v>3049784.2910982869</v>
      </c>
      <c r="F252" s="14">
        <f>'F) Population'!K245</f>
        <v>2242279.2756539234</v>
      </c>
      <c r="G252" s="10">
        <f>'G) Solidarité'!I242</f>
        <v>2170439.2019744697</v>
      </c>
      <c r="H252" s="14">
        <f t="shared" si="10"/>
        <v>4412718.4776283931</v>
      </c>
      <c r="I252" s="55">
        <f t="shared" si="11"/>
        <v>-1362934.1865301062</v>
      </c>
    </row>
    <row r="253" spans="1:9" x14ac:dyDescent="0.25">
      <c r="A253" s="49">
        <f>'A) Base RI'!A244</f>
        <v>5806</v>
      </c>
      <c r="B253" s="32" t="str">
        <f>'A) Base RI'!B244</f>
        <v>Jorat-Mézières</v>
      </c>
      <c r="C253" s="31">
        <f>'D) Ecrêtage'!C243</f>
        <v>102077.74465753423</v>
      </c>
      <c r="D253" s="14">
        <f>'A) Base RI'!V244</f>
        <v>3095</v>
      </c>
      <c r="E253" s="10">
        <f t="shared" si="9"/>
        <v>1920328.030391016</v>
      </c>
      <c r="F253" s="14">
        <f>'F) Population'!K246</f>
        <v>870744.46680080472</v>
      </c>
      <c r="G253" s="10">
        <f>'G) Solidarité'!I243</f>
        <v>1018123.3258522023</v>
      </c>
      <c r="H253" s="14">
        <f t="shared" si="10"/>
        <v>1888867.792653007</v>
      </c>
      <c r="I253" s="55">
        <f t="shared" si="11"/>
        <v>31460.237738009077</v>
      </c>
    </row>
    <row r="254" spans="1:9" x14ac:dyDescent="0.25">
      <c r="A254" s="49">
        <f>'A) Base RI'!A245</f>
        <v>5812</v>
      </c>
      <c r="B254" s="32" t="str">
        <f>'A) Base RI'!B245</f>
        <v>Champtauroz</v>
      </c>
      <c r="C254" s="31">
        <f>'D) Ecrêtage'!C244</f>
        <v>3349.1505194805191</v>
      </c>
      <c r="D254" s="14">
        <f>'A) Base RI'!V245</f>
        <v>169</v>
      </c>
      <c r="E254" s="10">
        <f t="shared" si="9"/>
        <v>63005.581110107079</v>
      </c>
      <c r="F254" s="14">
        <f>'F) Population'!K247</f>
        <v>21082.494969818912</v>
      </c>
      <c r="G254" s="10">
        <f>'G) Solidarité'!I244</f>
        <v>114575.55420841367</v>
      </c>
      <c r="H254" s="14">
        <f t="shared" si="10"/>
        <v>135658.04917823258</v>
      </c>
      <c r="I254" s="55">
        <f t="shared" si="11"/>
        <v>-72652.468068125512</v>
      </c>
    </row>
    <row r="255" spans="1:9" x14ac:dyDescent="0.25">
      <c r="A255" s="49">
        <f>'A) Base RI'!A246</f>
        <v>5813</v>
      </c>
      <c r="B255" s="32" t="str">
        <f>'A) Base RI'!B246</f>
        <v>Chevroux</v>
      </c>
      <c r="C255" s="31">
        <f>'D) Ecrêtage'!C245</f>
        <v>15276.905328467155</v>
      </c>
      <c r="D255" s="14">
        <f>'A) Base RI'!V246</f>
        <v>506</v>
      </c>
      <c r="E255" s="10">
        <f t="shared" si="9"/>
        <v>287395.35359356162</v>
      </c>
      <c r="F255" s="14">
        <f>'F) Population'!K248</f>
        <v>63122.736418511064</v>
      </c>
      <c r="G255" s="10">
        <f>'G) Solidarité'!I245</f>
        <v>173040.60869065169</v>
      </c>
      <c r="H255" s="14">
        <f t="shared" si="10"/>
        <v>236163.34510916274</v>
      </c>
      <c r="I255" s="55">
        <f t="shared" si="11"/>
        <v>51232.008484398888</v>
      </c>
    </row>
    <row r="256" spans="1:9" x14ac:dyDescent="0.25">
      <c r="A256" s="49">
        <f>'A) Base RI'!A247</f>
        <v>5816</v>
      </c>
      <c r="B256" s="32" t="str">
        <f>'A) Base RI'!B247</f>
        <v>Corcelles-près-Payerne</v>
      </c>
      <c r="C256" s="31">
        <f>'D) Ecrêtage'!C246</f>
        <v>65651.255161626686</v>
      </c>
      <c r="D256" s="14">
        <f>'A) Base RI'!V247</f>
        <v>2722</v>
      </c>
      <c r="E256" s="10">
        <f t="shared" si="9"/>
        <v>1235058.1014518857</v>
      </c>
      <c r="F256" s="14">
        <f>'F) Population'!K249</f>
        <v>726235.81488933589</v>
      </c>
      <c r="G256" s="10">
        <f>'G) Solidarité'!I246</f>
        <v>1240884.6984508648</v>
      </c>
      <c r="H256" s="14">
        <f t="shared" si="10"/>
        <v>1967120.5133402008</v>
      </c>
      <c r="I256" s="55">
        <f t="shared" si="11"/>
        <v>-732062.41188831511</v>
      </c>
    </row>
    <row r="257" spans="1:9" x14ac:dyDescent="0.25">
      <c r="A257" s="49">
        <f>'A) Base RI'!A248</f>
        <v>5817</v>
      </c>
      <c r="B257" s="32" t="str">
        <f>'A) Base RI'!B248</f>
        <v>Grandcour</v>
      </c>
      <c r="C257" s="31">
        <f>'D) Ecrêtage'!C247</f>
        <v>24623.103809523807</v>
      </c>
      <c r="D257" s="14">
        <f>'A) Base RI'!V248</f>
        <v>987</v>
      </c>
      <c r="E257" s="10">
        <f t="shared" si="9"/>
        <v>463219.83895013854</v>
      </c>
      <c r="F257" s="14">
        <f>'F) Population'!K250</f>
        <v>123126.76056338027</v>
      </c>
      <c r="G257" s="10">
        <f>'G) Solidarité'!I247</f>
        <v>500368.22236078011</v>
      </c>
      <c r="H257" s="14">
        <f t="shared" si="10"/>
        <v>623494.98292416043</v>
      </c>
      <c r="I257" s="55">
        <f t="shared" si="11"/>
        <v>-160275.14397402189</v>
      </c>
    </row>
    <row r="258" spans="1:9" x14ac:dyDescent="0.25">
      <c r="A258" s="49">
        <f>'A) Base RI'!A249</f>
        <v>5819</v>
      </c>
      <c r="B258" s="32" t="str">
        <f>'A) Base RI'!B249</f>
        <v>Henniez</v>
      </c>
      <c r="C258" s="31">
        <f>'D) Ecrêtage'!C248</f>
        <v>10073.647101449274</v>
      </c>
      <c r="D258" s="14">
        <f>'A) Base RI'!V249</f>
        <v>407</v>
      </c>
      <c r="E258" s="10">
        <f t="shared" si="9"/>
        <v>189509.54453471501</v>
      </c>
      <c r="F258" s="14">
        <f>'F) Population'!K251</f>
        <v>50772.635814889334</v>
      </c>
      <c r="G258" s="10">
        <f>'G) Solidarité'!I248</f>
        <v>183361.93618525029</v>
      </c>
      <c r="H258" s="14">
        <f t="shared" si="10"/>
        <v>234134.57200013963</v>
      </c>
      <c r="I258" s="55">
        <f t="shared" si="11"/>
        <v>-44625.027465424617</v>
      </c>
    </row>
    <row r="259" spans="1:9" x14ac:dyDescent="0.25">
      <c r="A259" s="49">
        <f>'A) Base RI'!A250</f>
        <v>5821</v>
      </c>
      <c r="B259" s="32" t="str">
        <f>'A) Base RI'!B250</f>
        <v>Missy</v>
      </c>
      <c r="C259" s="31">
        <f>'D) Ecrêtage'!C249</f>
        <v>8044.6855555555558</v>
      </c>
      <c r="D259" s="14">
        <f>'A) Base RI'!V250</f>
        <v>366</v>
      </c>
      <c r="E259" s="10">
        <f t="shared" si="9"/>
        <v>151339.89509509434</v>
      </c>
      <c r="F259" s="14">
        <f>'F) Population'!K252</f>
        <v>45657.947686116699</v>
      </c>
      <c r="G259" s="10">
        <f>'G) Solidarité'!I249</f>
        <v>200554.84597509165</v>
      </c>
      <c r="H259" s="14">
        <f t="shared" si="10"/>
        <v>246212.79366120836</v>
      </c>
      <c r="I259" s="55">
        <f t="shared" si="11"/>
        <v>-94872.898566114018</v>
      </c>
    </row>
    <row r="260" spans="1:9" x14ac:dyDescent="0.25">
      <c r="A260" s="49">
        <f>'A) Base RI'!A251</f>
        <v>5822</v>
      </c>
      <c r="B260" s="32" t="str">
        <f>'A) Base RI'!B251</f>
        <v>Payerne</v>
      </c>
      <c r="C260" s="31">
        <f>'D) Ecrêtage'!C250</f>
        <v>239984.44424657538</v>
      </c>
      <c r="D260" s="14">
        <f>'A) Base RI'!V251</f>
        <v>10258</v>
      </c>
      <c r="E260" s="10">
        <f t="shared" si="9"/>
        <v>4514684.9265785962</v>
      </c>
      <c r="F260" s="14">
        <f>'F) Population'!K253</f>
        <v>5283647.4849094562</v>
      </c>
      <c r="G260" s="10">
        <f>'G) Solidarité'!I250</f>
        <v>5469099.9968089918</v>
      </c>
      <c r="H260" s="14">
        <f t="shared" si="10"/>
        <v>10752747.481718447</v>
      </c>
      <c r="I260" s="55">
        <f t="shared" si="11"/>
        <v>-6238062.5551398508</v>
      </c>
    </row>
    <row r="261" spans="1:9" x14ac:dyDescent="0.25">
      <c r="A261" s="49">
        <f>'A) Base RI'!A252</f>
        <v>5827</v>
      </c>
      <c r="B261" s="32" t="str">
        <f>'A) Base RI'!B252</f>
        <v>Trey</v>
      </c>
      <c r="C261" s="31">
        <f>'D) Ecrêtage'!C251</f>
        <v>7747.4438461538457</v>
      </c>
      <c r="D261" s="14">
        <f>'A) Base RI'!V252</f>
        <v>321</v>
      </c>
      <c r="E261" s="10">
        <f t="shared" si="9"/>
        <v>145748.06321949349</v>
      </c>
      <c r="F261" s="14">
        <f>'F) Population'!K254</f>
        <v>40044.265593561366</v>
      </c>
      <c r="G261" s="10">
        <f>'G) Solidarité'!I251</f>
        <v>189609.46613709687</v>
      </c>
      <c r="H261" s="14">
        <f t="shared" si="10"/>
        <v>229653.73173065824</v>
      </c>
      <c r="I261" s="55">
        <f t="shared" si="11"/>
        <v>-83905.668511164753</v>
      </c>
    </row>
    <row r="262" spans="1:9" x14ac:dyDescent="0.25">
      <c r="A262" s="49">
        <f>'A) Base RI'!A253</f>
        <v>5828</v>
      </c>
      <c r="B262" s="32" t="str">
        <f>'A) Base RI'!B253</f>
        <v>Treytorrens (Payerne)</v>
      </c>
      <c r="C262" s="31">
        <f>'D) Ecrêtage'!C252</f>
        <v>2899.2203232323236</v>
      </c>
      <c r="D262" s="14">
        <f>'A) Base RI'!V253</f>
        <v>110</v>
      </c>
      <c r="E262" s="10">
        <f t="shared" si="9"/>
        <v>54541.311347158626</v>
      </c>
      <c r="F262" s="14">
        <f>'F) Population'!K255</f>
        <v>13722.334004024144</v>
      </c>
      <c r="G262" s="10">
        <f>'G) Solidarité'!I252</f>
        <v>66041.582161465107</v>
      </c>
      <c r="H262" s="14">
        <f t="shared" si="10"/>
        <v>79763.916165489252</v>
      </c>
      <c r="I262" s="55">
        <f t="shared" si="11"/>
        <v>-25222.604818330627</v>
      </c>
    </row>
    <row r="263" spans="1:9" x14ac:dyDescent="0.25">
      <c r="A263" s="49">
        <f>'A) Base RI'!A254</f>
        <v>5830</v>
      </c>
      <c r="B263" s="32" t="str">
        <f>'A) Base RI'!B254</f>
        <v>Villarzel</v>
      </c>
      <c r="C263" s="31">
        <f>'D) Ecrêtage'!C253</f>
        <v>12409.986933333334</v>
      </c>
      <c r="D263" s="14">
        <f>'A) Base RI'!V254</f>
        <v>500</v>
      </c>
      <c r="E263" s="10">
        <f t="shared" si="9"/>
        <v>233461.71924956699</v>
      </c>
      <c r="F263" s="14">
        <f>'F) Population'!K256</f>
        <v>62374.245472837021</v>
      </c>
      <c r="G263" s="10">
        <f>'G) Solidarité'!I253</f>
        <v>265363.71807755076</v>
      </c>
      <c r="H263" s="14">
        <f t="shared" si="10"/>
        <v>327737.96355038777</v>
      </c>
      <c r="I263" s="55">
        <f t="shared" si="11"/>
        <v>-94276.244300820777</v>
      </c>
    </row>
    <row r="264" spans="1:9" x14ac:dyDescent="0.25">
      <c r="A264" s="49">
        <f>'A) Base RI'!A255</f>
        <v>5831</v>
      </c>
      <c r="B264" s="32" t="str">
        <f>'A) Base RI'!B255</f>
        <v>Valbroye</v>
      </c>
      <c r="C264" s="31">
        <f>'D) Ecrêtage'!C254</f>
        <v>81049.404018912537</v>
      </c>
      <c r="D264" s="14">
        <f>'A) Base RI'!V255</f>
        <v>3349</v>
      </c>
      <c r="E264" s="10">
        <f t="shared" si="9"/>
        <v>1524734.3375989872</v>
      </c>
      <c r="F264" s="14">
        <f>'F) Population'!K257</f>
        <v>997488.93360160955</v>
      </c>
      <c r="G264" s="10">
        <f>'G) Solidarité'!I254</f>
        <v>1611692.6247336112</v>
      </c>
      <c r="H264" s="14">
        <f t="shared" si="10"/>
        <v>2609181.5583352209</v>
      </c>
      <c r="I264" s="55">
        <f t="shared" si="11"/>
        <v>-1084447.2207362338</v>
      </c>
    </row>
    <row r="265" spans="1:9" x14ac:dyDescent="0.25">
      <c r="A265" s="49">
        <f>'A) Base RI'!A256</f>
        <v>5841</v>
      </c>
      <c r="B265" s="32" t="str">
        <f>'A) Base RI'!B256</f>
        <v>Château-d'Oex</v>
      </c>
      <c r="C265" s="31">
        <f>'D) Ecrêtage'!C255</f>
        <v>110857.63779141105</v>
      </c>
      <c r="D265" s="14">
        <f>'A) Base RI'!V256</f>
        <v>3549</v>
      </c>
      <c r="E265" s="10">
        <f t="shared" si="9"/>
        <v>2085498.9493350685</v>
      </c>
      <c r="F265" s="14">
        <f>'F) Population'!K258</f>
        <v>1097287.7263581487</v>
      </c>
      <c r="G265" s="10">
        <f>'G) Solidarité'!I255</f>
        <v>1619613.4573485446</v>
      </c>
      <c r="H265" s="14">
        <f t="shared" si="10"/>
        <v>2716901.1837066934</v>
      </c>
      <c r="I265" s="55">
        <f t="shared" si="11"/>
        <v>-631402.23437162489</v>
      </c>
    </row>
    <row r="266" spans="1:9" x14ac:dyDescent="0.25">
      <c r="A266" s="49">
        <f>'A) Base RI'!A257</f>
        <v>5842</v>
      </c>
      <c r="B266" s="32" t="str">
        <f>'A) Base RI'!B257</f>
        <v>Rossinière</v>
      </c>
      <c r="C266" s="31">
        <f>'D) Ecrêtage'!C256</f>
        <v>14944.680411522633</v>
      </c>
      <c r="D266" s="14">
        <f>'A) Base RI'!V257</f>
        <v>534</v>
      </c>
      <c r="E266" s="10">
        <f t="shared" si="9"/>
        <v>281145.40339586395</v>
      </c>
      <c r="F266" s="14">
        <f>'F) Population'!K259</f>
        <v>66615.694164989938</v>
      </c>
      <c r="G266" s="10">
        <f>'G) Solidarité'!I256</f>
        <v>286226.83472746715</v>
      </c>
      <c r="H266" s="14">
        <f t="shared" si="10"/>
        <v>352842.52889245708</v>
      </c>
      <c r="I266" s="55">
        <f t="shared" si="11"/>
        <v>-71697.125496593129</v>
      </c>
    </row>
    <row r="267" spans="1:9" x14ac:dyDescent="0.25">
      <c r="A267" s="49">
        <f>'A) Base RI'!A258</f>
        <v>5843</v>
      </c>
      <c r="B267" s="32" t="str">
        <f>'A) Base RI'!B258</f>
        <v>Rougemont</v>
      </c>
      <c r="C267" s="31">
        <f>'D) Ecrêtage'!C257</f>
        <v>97088.109459459462</v>
      </c>
      <c r="D267" s="14">
        <f>'A) Base RI'!V258</f>
        <v>862</v>
      </c>
      <c r="E267" s="10">
        <f t="shared" si="9"/>
        <v>1826460.9845972941</v>
      </c>
      <c r="F267" s="14">
        <f>'F) Population'!K260</f>
        <v>107533.19919517102</v>
      </c>
      <c r="G267" s="10">
        <f>'G) Solidarité'!I257</f>
        <v>0</v>
      </c>
      <c r="H267" s="14">
        <f t="shared" si="10"/>
        <v>107533.19919517102</v>
      </c>
      <c r="I267" s="55">
        <f t="shared" si="11"/>
        <v>1718927.7854021231</v>
      </c>
    </row>
    <row r="268" spans="1:9" x14ac:dyDescent="0.25">
      <c r="A268" s="49">
        <f>'A) Base RI'!A259</f>
        <v>5851</v>
      </c>
      <c r="B268" s="32" t="str">
        <f>'A) Base RI'!B259</f>
        <v>Allaman</v>
      </c>
      <c r="C268" s="31">
        <f>'D) Ecrêtage'!C258</f>
        <v>24875.935818181821</v>
      </c>
      <c r="D268" s="14">
        <f>'A) Base RI'!V259</f>
        <v>430</v>
      </c>
      <c r="E268" s="10">
        <f t="shared" si="9"/>
        <v>467976.21748137416</v>
      </c>
      <c r="F268" s="14">
        <f>'F) Population'!K261</f>
        <v>53641.851106639835</v>
      </c>
      <c r="G268" s="10">
        <f>'G) Solidarité'!I258</f>
        <v>0</v>
      </c>
      <c r="H268" s="14">
        <f t="shared" si="10"/>
        <v>53641.851106639835</v>
      </c>
      <c r="I268" s="55">
        <f t="shared" si="11"/>
        <v>414334.36637473432</v>
      </c>
    </row>
    <row r="269" spans="1:9" x14ac:dyDescent="0.25">
      <c r="A269" s="49">
        <f>'A) Base RI'!A260</f>
        <v>5852</v>
      </c>
      <c r="B269" s="32" t="str">
        <f>'A) Base RI'!B260</f>
        <v>Bursinel</v>
      </c>
      <c r="C269" s="31">
        <f>'D) Ecrêtage'!C259</f>
        <v>34636.657688172039</v>
      </c>
      <c r="D269" s="14">
        <f>'A) Base RI'!V260</f>
        <v>515</v>
      </c>
      <c r="E269" s="10">
        <f t="shared" si="9"/>
        <v>651598.88534768834</v>
      </c>
      <c r="F269" s="14">
        <f>'F) Population'!K262</f>
        <v>64245.472837022127</v>
      </c>
      <c r="G269" s="10">
        <f>'G) Solidarité'!I259</f>
        <v>0</v>
      </c>
      <c r="H269" s="14">
        <f t="shared" si="10"/>
        <v>64245.472837022127</v>
      </c>
      <c r="I269" s="55">
        <f t="shared" si="11"/>
        <v>587353.41251066618</v>
      </c>
    </row>
    <row r="270" spans="1:9" x14ac:dyDescent="0.25">
      <c r="A270" s="49">
        <f>'A) Base RI'!A261</f>
        <v>5853</v>
      </c>
      <c r="B270" s="32" t="str">
        <f>'A) Base RI'!B261</f>
        <v>Bursins</v>
      </c>
      <c r="C270" s="31">
        <f>'D) Ecrêtage'!C260</f>
        <v>44486.311690140843</v>
      </c>
      <c r="D270" s="14">
        <f>'A) Base RI'!V261</f>
        <v>773</v>
      </c>
      <c r="E270" s="10">
        <f t="shared" si="9"/>
        <v>836894.58063456183</v>
      </c>
      <c r="F270" s="14">
        <f>'F) Population'!K263</f>
        <v>96430.583501006025</v>
      </c>
      <c r="G270" s="10">
        <f>'G) Solidarité'!I260</f>
        <v>0</v>
      </c>
      <c r="H270" s="14">
        <f t="shared" si="10"/>
        <v>96430.583501006025</v>
      </c>
      <c r="I270" s="55">
        <f t="shared" si="11"/>
        <v>740463.99713355582</v>
      </c>
    </row>
    <row r="271" spans="1:9" x14ac:dyDescent="0.25">
      <c r="A271" s="49">
        <f>'A) Base RI'!A262</f>
        <v>5854</v>
      </c>
      <c r="B271" s="32" t="str">
        <f>'A) Base RI'!B262</f>
        <v>Burtigny</v>
      </c>
      <c r="C271" s="31">
        <f>'D) Ecrêtage'!C261</f>
        <v>15255.967208333332</v>
      </c>
      <c r="D271" s="14">
        <f>'A) Base RI'!V262</f>
        <v>416</v>
      </c>
      <c r="E271" s="10">
        <f t="shared" si="9"/>
        <v>287001.45716558344</v>
      </c>
      <c r="F271" s="14">
        <f>'F) Population'!K264</f>
        <v>51895.372233400398</v>
      </c>
      <c r="G271" s="10">
        <f>'G) Solidarité'!I261</f>
        <v>125065.31683886879</v>
      </c>
      <c r="H271" s="14">
        <f t="shared" si="10"/>
        <v>176960.68907226919</v>
      </c>
      <c r="I271" s="55">
        <f t="shared" si="11"/>
        <v>110040.76809331425</v>
      </c>
    </row>
    <row r="272" spans="1:9" x14ac:dyDescent="0.25">
      <c r="A272" s="49">
        <f>'A) Base RI'!A263</f>
        <v>5855</v>
      </c>
      <c r="B272" s="32" t="str">
        <f>'A) Base RI'!B263</f>
        <v>Dully</v>
      </c>
      <c r="C272" s="31">
        <f>'D) Ecrêtage'!C262</f>
        <v>93684.152857142864</v>
      </c>
      <c r="D272" s="14">
        <f>'A) Base RI'!V263</f>
        <v>634</v>
      </c>
      <c r="E272" s="10">
        <f t="shared" ref="E272:E323" si="12">C272*E$15</f>
        <v>1762424.3691764355</v>
      </c>
      <c r="F272" s="14">
        <f>'F) Population'!K265</f>
        <v>79090.543259557337</v>
      </c>
      <c r="G272" s="10">
        <f>'G) Solidarité'!I262</f>
        <v>0</v>
      </c>
      <c r="H272" s="14">
        <f t="shared" ref="H272:H323" si="13">F272+G272</f>
        <v>79090.543259557337</v>
      </c>
      <c r="I272" s="55">
        <f t="shared" ref="I272:I323" si="14">E272-H272</f>
        <v>1683333.8259168782</v>
      </c>
    </row>
    <row r="273" spans="1:9" x14ac:dyDescent="0.25">
      <c r="A273" s="49">
        <f>'A) Base RI'!A264</f>
        <v>5856</v>
      </c>
      <c r="B273" s="32" t="str">
        <f>'A) Base RI'!B264</f>
        <v>Essertines-sur-Rolle</v>
      </c>
      <c r="C273" s="31">
        <f>'D) Ecrêtage'!C263</f>
        <v>42220.114424522842</v>
      </c>
      <c r="D273" s="14">
        <f>'A) Base RI'!V264</f>
        <v>753</v>
      </c>
      <c r="E273" s="10">
        <f t="shared" si="12"/>
        <v>794261.95639152103</v>
      </c>
      <c r="F273" s="14">
        <f>'F) Population'!K266</f>
        <v>93935.613682092546</v>
      </c>
      <c r="G273" s="10">
        <f>'G) Solidarité'!I263</f>
        <v>0</v>
      </c>
      <c r="H273" s="14">
        <f t="shared" si="13"/>
        <v>93935.613682092546</v>
      </c>
      <c r="I273" s="55">
        <f t="shared" si="14"/>
        <v>700326.34270942851</v>
      </c>
    </row>
    <row r="274" spans="1:9" x14ac:dyDescent="0.25">
      <c r="A274" s="49">
        <f>'A) Base RI'!A265</f>
        <v>5857</v>
      </c>
      <c r="B274" s="32" t="str">
        <f>'A) Base RI'!B265</f>
        <v>Gilly</v>
      </c>
      <c r="C274" s="31">
        <f>'D) Ecrêtage'!C264</f>
        <v>88866.553953488372</v>
      </c>
      <c r="D274" s="14">
        <f>'A) Base RI'!V265</f>
        <v>1438</v>
      </c>
      <c r="E274" s="10">
        <f t="shared" si="12"/>
        <v>1671793.7400916468</v>
      </c>
      <c r="F274" s="14">
        <f>'F) Population'!K267</f>
        <v>277740.04024144867</v>
      </c>
      <c r="G274" s="10">
        <f>'G) Solidarité'!I264</f>
        <v>0</v>
      </c>
      <c r="H274" s="14">
        <f t="shared" si="13"/>
        <v>277740.04024144867</v>
      </c>
      <c r="I274" s="55">
        <f t="shared" si="14"/>
        <v>1394053.6998501981</v>
      </c>
    </row>
    <row r="275" spans="1:9" x14ac:dyDescent="0.25">
      <c r="A275" s="49">
        <f>'A) Base RI'!A266</f>
        <v>5858</v>
      </c>
      <c r="B275" s="32" t="str">
        <f>'A) Base RI'!B266</f>
        <v>Luins</v>
      </c>
      <c r="C275" s="31">
        <f>'D) Ecrêtage'!C265</f>
        <v>38253.397207977199</v>
      </c>
      <c r="D275" s="14">
        <f>'A) Base RI'!V266</f>
        <v>630</v>
      </c>
      <c r="E275" s="10">
        <f t="shared" si="12"/>
        <v>719638.45951545634</v>
      </c>
      <c r="F275" s="14">
        <f>'F) Population'!K268</f>
        <v>78591.549295774646</v>
      </c>
      <c r="G275" s="10">
        <f>'G) Solidarité'!I265</f>
        <v>0</v>
      </c>
      <c r="H275" s="14">
        <f t="shared" si="13"/>
        <v>78591.549295774646</v>
      </c>
      <c r="I275" s="55">
        <f t="shared" si="14"/>
        <v>641046.91021968168</v>
      </c>
    </row>
    <row r="276" spans="1:9" x14ac:dyDescent="0.25">
      <c r="A276" s="49">
        <f>'A) Base RI'!A267</f>
        <v>5859</v>
      </c>
      <c r="B276" s="32" t="str">
        <f>'A) Base RI'!B267</f>
        <v>Mont-sur-Rolle</v>
      </c>
      <c r="C276" s="31">
        <f>'D) Ecrêtage'!C266</f>
        <v>160910.93779527559</v>
      </c>
      <c r="D276" s="14">
        <f>'A) Base RI'!V267</f>
        <v>2739</v>
      </c>
      <c r="E276" s="10">
        <f t="shared" si="12"/>
        <v>3027121.977287591</v>
      </c>
      <c r="F276" s="14">
        <f>'F) Population'!K269</f>
        <v>732173.84305835003</v>
      </c>
      <c r="G276" s="10">
        <f>'G) Solidarité'!I266</f>
        <v>0</v>
      </c>
      <c r="H276" s="14">
        <f t="shared" si="13"/>
        <v>732173.84305835003</v>
      </c>
      <c r="I276" s="55">
        <f t="shared" si="14"/>
        <v>2294948.1342292409</v>
      </c>
    </row>
    <row r="277" spans="1:9" x14ac:dyDescent="0.25">
      <c r="A277" s="49">
        <f>'A) Base RI'!A268</f>
        <v>5860</v>
      </c>
      <c r="B277" s="32" t="str">
        <f>'A) Base RI'!B268</f>
        <v>Perroy</v>
      </c>
      <c r="C277" s="31">
        <f>'D) Ecrêtage'!C267</f>
        <v>124242.10120973046</v>
      </c>
      <c r="D277" s="14">
        <f>'A) Base RI'!V268</f>
        <v>1514</v>
      </c>
      <c r="E277" s="10">
        <f t="shared" si="12"/>
        <v>2337292.916376295</v>
      </c>
      <c r="F277" s="14">
        <f>'F) Population'!K270</f>
        <v>304286.51911468816</v>
      </c>
      <c r="G277" s="10">
        <f>'G) Solidarité'!I267</f>
        <v>0</v>
      </c>
      <c r="H277" s="14">
        <f t="shared" si="13"/>
        <v>304286.51911468816</v>
      </c>
      <c r="I277" s="55">
        <f t="shared" si="14"/>
        <v>2033006.397261607</v>
      </c>
    </row>
    <row r="278" spans="1:9" x14ac:dyDescent="0.25">
      <c r="A278" s="49">
        <f>'A) Base RI'!A269</f>
        <v>5861</v>
      </c>
      <c r="B278" s="32" t="str">
        <f>'A) Base RI'!B269</f>
        <v>Rolle</v>
      </c>
      <c r="C278" s="31">
        <f>'D) Ecrêtage'!C268</f>
        <v>638128.58403361356</v>
      </c>
      <c r="D278" s="14">
        <f>'A) Base RI'!V269</f>
        <v>6291</v>
      </c>
      <c r="E278" s="10">
        <f t="shared" si="12"/>
        <v>12004734.342678588</v>
      </c>
      <c r="F278" s="14">
        <f>'F) Population'!K271</f>
        <v>2594369.4164989935</v>
      </c>
      <c r="G278" s="10">
        <f>'G) Solidarité'!I268</f>
        <v>0</v>
      </c>
      <c r="H278" s="14">
        <f t="shared" si="13"/>
        <v>2594369.4164989935</v>
      </c>
      <c r="I278" s="55">
        <f t="shared" si="14"/>
        <v>9410364.9261795953</v>
      </c>
    </row>
    <row r="279" spans="1:9" x14ac:dyDescent="0.25">
      <c r="A279" s="49">
        <f>'A) Base RI'!A270</f>
        <v>5862</v>
      </c>
      <c r="B279" s="32" t="str">
        <f>'A) Base RI'!B270</f>
        <v>Tartegnin</v>
      </c>
      <c r="C279" s="31">
        <f>'D) Ecrêtage'!C269</f>
        <v>7891.022278481013</v>
      </c>
      <c r="D279" s="14">
        <f>'A) Base RI'!V270</f>
        <v>241</v>
      </c>
      <c r="E279" s="10">
        <f t="shared" si="12"/>
        <v>148449.11905769285</v>
      </c>
      <c r="F279" s="14">
        <f>'F) Population'!K272</f>
        <v>30064.386317907443</v>
      </c>
      <c r="G279" s="10">
        <f>'G) Solidarité'!I269</f>
        <v>94281.284118549695</v>
      </c>
      <c r="H279" s="14">
        <f t="shared" si="13"/>
        <v>124345.67043645713</v>
      </c>
      <c r="I279" s="55">
        <f t="shared" si="14"/>
        <v>24103.448621235715</v>
      </c>
    </row>
    <row r="280" spans="1:9" x14ac:dyDescent="0.25">
      <c r="A280" s="49">
        <f>'A) Base RI'!A271</f>
        <v>5863</v>
      </c>
      <c r="B280" s="32" t="str">
        <f>'A) Base RI'!B271</f>
        <v>Vinzel</v>
      </c>
      <c r="C280" s="31">
        <f>'D) Ecrêtage'!C270</f>
        <v>21424.128507462683</v>
      </c>
      <c r="D280" s="14">
        <f>'A) Base RI'!V271</f>
        <v>369</v>
      </c>
      <c r="E280" s="10">
        <f t="shared" si="12"/>
        <v>403039.41508119163</v>
      </c>
      <c r="F280" s="14">
        <f>'F) Population'!K273</f>
        <v>46032.19315895372</v>
      </c>
      <c r="G280" s="10">
        <f>'G) Solidarité'!I270</f>
        <v>0</v>
      </c>
      <c r="H280" s="14">
        <f t="shared" si="13"/>
        <v>46032.19315895372</v>
      </c>
      <c r="I280" s="55">
        <f t="shared" si="14"/>
        <v>357007.22192223789</v>
      </c>
    </row>
    <row r="281" spans="1:9" x14ac:dyDescent="0.25">
      <c r="A281" s="49">
        <f>'A) Base RI'!A272</f>
        <v>5871</v>
      </c>
      <c r="B281" s="32" t="str">
        <f>'A) Base RI'!B272</f>
        <v>L'Abbaye</v>
      </c>
      <c r="C281" s="31">
        <f>'D) Ecrêtage'!C271</f>
        <v>53269.472631578945</v>
      </c>
      <c r="D281" s="14">
        <f>'A) Base RI'!V272</f>
        <v>1521</v>
      </c>
      <c r="E281" s="10">
        <f t="shared" si="12"/>
        <v>1002126.9749029262</v>
      </c>
      <c r="F281" s="14">
        <f>'F) Population'!K274</f>
        <v>306731.58953722334</v>
      </c>
      <c r="G281" s="10">
        <f>'G) Solidarité'!I271</f>
        <v>470637.84756254364</v>
      </c>
      <c r="H281" s="14">
        <f t="shared" si="13"/>
        <v>777369.43709976692</v>
      </c>
      <c r="I281" s="55">
        <f t="shared" si="14"/>
        <v>224757.53780315933</v>
      </c>
    </row>
    <row r="282" spans="1:9" x14ac:dyDescent="0.25">
      <c r="A282" s="49">
        <f>'A) Base RI'!A273</f>
        <v>5872</v>
      </c>
      <c r="B282" s="32" t="str">
        <f>'A) Base RI'!B273</f>
        <v>Le Chenit</v>
      </c>
      <c r="C282" s="31">
        <f>'D) Ecrêtage'!C272</f>
        <v>228048.33794871799</v>
      </c>
      <c r="D282" s="14">
        <f>'A) Base RI'!V273</f>
        <v>4569</v>
      </c>
      <c r="E282" s="10">
        <f t="shared" si="12"/>
        <v>4290138.0424913559</v>
      </c>
      <c r="F282" s="14">
        <f>'F) Population'!K275</f>
        <v>1606261.5694164988</v>
      </c>
      <c r="G282" s="10">
        <f>'G) Solidarité'!I272</f>
        <v>0</v>
      </c>
      <c r="H282" s="14">
        <f t="shared" si="13"/>
        <v>1606261.5694164988</v>
      </c>
      <c r="I282" s="55">
        <f t="shared" si="14"/>
        <v>2683876.4730748571</v>
      </c>
    </row>
    <row r="283" spans="1:9" x14ac:dyDescent="0.25">
      <c r="A283" s="49">
        <f>'A) Base RI'!A274</f>
        <v>5873</v>
      </c>
      <c r="B283" s="32" t="str">
        <f>'A) Base RI'!B274</f>
        <v>Le Lieu</v>
      </c>
      <c r="C283" s="31">
        <f>'D) Ecrêtage'!C273</f>
        <v>31475.129392857143</v>
      </c>
      <c r="D283" s="14">
        <f>'A) Base RI'!V274</f>
        <v>881</v>
      </c>
      <c r="E283" s="10">
        <f t="shared" si="12"/>
        <v>592122.92979306669</v>
      </c>
      <c r="F283" s="14">
        <f>'F) Population'!K276</f>
        <v>109903.42052313882</v>
      </c>
      <c r="G283" s="10">
        <f>'G) Solidarité'!I273</f>
        <v>219114.87160822979</v>
      </c>
      <c r="H283" s="14">
        <f t="shared" si="13"/>
        <v>329018.29213136859</v>
      </c>
      <c r="I283" s="55">
        <f t="shared" si="14"/>
        <v>263104.6376616981</v>
      </c>
    </row>
    <row r="284" spans="1:9" x14ac:dyDescent="0.25">
      <c r="A284" s="49">
        <f>'A) Base RI'!A275</f>
        <v>5881</v>
      </c>
      <c r="B284" s="32" t="str">
        <f>'A) Base RI'!B275</f>
        <v>Blonay</v>
      </c>
      <c r="C284" s="31">
        <f>'D) Ecrêtage'!C274</f>
        <v>371401.9382481752</v>
      </c>
      <c r="D284" s="14">
        <f>'A) Base RI'!V275</f>
        <v>6291</v>
      </c>
      <c r="E284" s="10">
        <f t="shared" si="12"/>
        <v>6986964.2491839929</v>
      </c>
      <c r="F284" s="14">
        <f>'F) Population'!K277</f>
        <v>2594369.4164989935</v>
      </c>
      <c r="G284" s="10">
        <f>'G) Solidarité'!I274</f>
        <v>0</v>
      </c>
      <c r="H284" s="14">
        <f t="shared" si="13"/>
        <v>2594369.4164989935</v>
      </c>
      <c r="I284" s="55">
        <f t="shared" si="14"/>
        <v>4392594.8326849993</v>
      </c>
    </row>
    <row r="285" spans="1:9" x14ac:dyDescent="0.25">
      <c r="A285" s="49">
        <f>'A) Base RI'!A276</f>
        <v>5882</v>
      </c>
      <c r="B285" s="32" t="str">
        <f>'A) Base RI'!B276</f>
        <v>Chardonne</v>
      </c>
      <c r="C285" s="31">
        <f>'D) Ecrêtage'!C275</f>
        <v>186952.68588235296</v>
      </c>
      <c r="D285" s="14">
        <f>'A) Base RI'!V276</f>
        <v>3078</v>
      </c>
      <c r="E285" s="10">
        <f t="shared" si="12"/>
        <v>3517029.9291116935</v>
      </c>
      <c r="F285" s="14">
        <f>'F) Population'!K278</f>
        <v>862261.56941649888</v>
      </c>
      <c r="G285" s="10">
        <f>'G) Solidarité'!I275</f>
        <v>0</v>
      </c>
      <c r="H285" s="14">
        <f t="shared" si="13"/>
        <v>862261.56941649888</v>
      </c>
      <c r="I285" s="55">
        <f t="shared" si="14"/>
        <v>2654768.3596951948</v>
      </c>
    </row>
    <row r="286" spans="1:9" x14ac:dyDescent="0.25">
      <c r="A286" s="49">
        <f>'A) Base RI'!A277</f>
        <v>5883</v>
      </c>
      <c r="B286" s="32" t="str">
        <f>'A) Base RI'!B277</f>
        <v>Corseaux</v>
      </c>
      <c r="C286" s="31">
        <f>'D) Ecrêtage'!C276</f>
        <v>193095.30118518518</v>
      </c>
      <c r="D286" s="14">
        <f>'A) Base RI'!V277</f>
        <v>2330</v>
      </c>
      <c r="E286" s="10">
        <f t="shared" si="12"/>
        <v>3632587.3053596891</v>
      </c>
      <c r="F286" s="14">
        <f>'F) Population'!K279</f>
        <v>589311.87122736417</v>
      </c>
      <c r="G286" s="10">
        <f>'G) Solidarité'!I276</f>
        <v>0</v>
      </c>
      <c r="H286" s="14">
        <f t="shared" si="13"/>
        <v>589311.87122736417</v>
      </c>
      <c r="I286" s="55">
        <f t="shared" si="14"/>
        <v>3043275.434132325</v>
      </c>
    </row>
    <row r="287" spans="1:9" x14ac:dyDescent="0.25">
      <c r="A287" s="49">
        <f>'A) Base RI'!A278</f>
        <v>5884</v>
      </c>
      <c r="B287" s="32" t="str">
        <f>'A) Base RI'!B278</f>
        <v>Corsier-sur-Vevey</v>
      </c>
      <c r="C287" s="31">
        <f>'D) Ecrêtage'!C277</f>
        <v>148896.79012919901</v>
      </c>
      <c r="D287" s="14">
        <f>'A) Base RI'!V278</f>
        <v>3390</v>
      </c>
      <c r="E287" s="10">
        <f t="shared" si="12"/>
        <v>2801106.9472550792</v>
      </c>
      <c r="F287" s="14">
        <f>'F) Population'!K280</f>
        <v>1017947.6861167001</v>
      </c>
      <c r="G287" s="10">
        <f>'G) Solidarité'!I277</f>
        <v>253840.82435428246</v>
      </c>
      <c r="H287" s="14">
        <f t="shared" si="13"/>
        <v>1271788.5104709826</v>
      </c>
      <c r="I287" s="55">
        <f t="shared" si="14"/>
        <v>1529318.4367840965</v>
      </c>
    </row>
    <row r="288" spans="1:9" x14ac:dyDescent="0.25">
      <c r="A288" s="49">
        <f>'A) Base RI'!A279</f>
        <v>5885</v>
      </c>
      <c r="B288" s="32" t="str">
        <f>'A) Base RI'!B279</f>
        <v>Jongny</v>
      </c>
      <c r="C288" s="31">
        <f>'D) Ecrêtage'!C278</f>
        <v>97076.940527577928</v>
      </c>
      <c r="D288" s="14">
        <f>'A) Base RI'!V279</f>
        <v>1805</v>
      </c>
      <c r="E288" s="10">
        <f t="shared" si="12"/>
        <v>1826250.8701102079</v>
      </c>
      <c r="F288" s="14">
        <f>'F) Population'!K281</f>
        <v>405931.58953722334</v>
      </c>
      <c r="G288" s="10">
        <f>'G) Solidarité'!I278</f>
        <v>0</v>
      </c>
      <c r="H288" s="14">
        <f t="shared" si="13"/>
        <v>405931.58953722334</v>
      </c>
      <c r="I288" s="55">
        <f t="shared" si="14"/>
        <v>1420319.2805729846</v>
      </c>
    </row>
    <row r="289" spans="1:9" x14ac:dyDescent="0.25">
      <c r="A289" s="49">
        <f>'A) Base RI'!A280</f>
        <v>5886</v>
      </c>
      <c r="B289" s="32" t="str">
        <f>'A) Base RI'!B280</f>
        <v>Montreux</v>
      </c>
      <c r="C289" s="31">
        <f>'D) Ecrêtage'!C279</f>
        <v>1223405.0430769229</v>
      </c>
      <c r="D289" s="14">
        <f>'A) Base RI'!V280</f>
        <v>26012</v>
      </c>
      <c r="E289" s="10">
        <f t="shared" si="12"/>
        <v>23015193.023947179</v>
      </c>
      <c r="F289" s="14">
        <f>'F) Population'!K282</f>
        <v>21294667.203219313</v>
      </c>
      <c r="G289" s="10">
        <f>'G) Solidarité'!I279</f>
        <v>611936.27433164651</v>
      </c>
      <c r="H289" s="14">
        <f t="shared" si="13"/>
        <v>21906603.477550961</v>
      </c>
      <c r="I289" s="55">
        <f t="shared" si="14"/>
        <v>1108589.5463962182</v>
      </c>
    </row>
    <row r="290" spans="1:9" x14ac:dyDescent="0.25">
      <c r="A290" s="49">
        <f>'A) Base RI'!A281</f>
        <v>5888</v>
      </c>
      <c r="B290" s="32" t="str">
        <f>'A) Base RI'!B281</f>
        <v>Saint-Légier-La Chiésaz</v>
      </c>
      <c r="C290" s="31">
        <f>'D) Ecrêtage'!C280</f>
        <v>334017.18953771284</v>
      </c>
      <c r="D290" s="14">
        <f>'A) Base RI'!V281</f>
        <v>5634</v>
      </c>
      <c r="E290" s="10">
        <f t="shared" si="12"/>
        <v>6283667.1583373994</v>
      </c>
      <c r="F290" s="14">
        <f>'F) Population'!K283</f>
        <v>2200962.5754527161</v>
      </c>
      <c r="G290" s="10">
        <f>'G) Solidarité'!I280</f>
        <v>0</v>
      </c>
      <c r="H290" s="14">
        <f t="shared" si="13"/>
        <v>2200962.5754527161</v>
      </c>
      <c r="I290" s="55">
        <f t="shared" si="14"/>
        <v>4082704.5828846833</v>
      </c>
    </row>
    <row r="291" spans="1:9" x14ac:dyDescent="0.25">
      <c r="A291" s="49">
        <f>'A) Base RI'!A282</f>
        <v>5889</v>
      </c>
      <c r="B291" s="32" t="str">
        <f>'A) Base RI'!B282</f>
        <v>La Tour-de-Peilz</v>
      </c>
      <c r="C291" s="31">
        <f>'D) Ecrêtage'!C281</f>
        <v>740535.59942708339</v>
      </c>
      <c r="D291" s="14">
        <f>'A) Base RI'!V282</f>
        <v>12222</v>
      </c>
      <c r="E291" s="10">
        <f t="shared" si="12"/>
        <v>13931256.748013193</v>
      </c>
      <c r="F291" s="14">
        <f>'F) Population'!K284</f>
        <v>6982921.5291750496</v>
      </c>
      <c r="G291" s="10">
        <f>'G) Solidarité'!I281</f>
        <v>0</v>
      </c>
      <c r="H291" s="14">
        <f t="shared" si="13"/>
        <v>6982921.5291750496</v>
      </c>
      <c r="I291" s="55">
        <f t="shared" si="14"/>
        <v>6948335.2188381432</v>
      </c>
    </row>
    <row r="292" spans="1:9" x14ac:dyDescent="0.25">
      <c r="A292" s="49">
        <f>'A) Base RI'!A283</f>
        <v>5890</v>
      </c>
      <c r="B292" s="32" t="str">
        <f>'A) Base RI'!B283</f>
        <v>Vevey</v>
      </c>
      <c r="C292" s="31">
        <f>'D) Ecrêtage'!C282</f>
        <v>969776.79771812086</v>
      </c>
      <c r="D292" s="14">
        <f>'A) Base RI'!V283</f>
        <v>19721</v>
      </c>
      <c r="E292" s="10">
        <f t="shared" si="12"/>
        <v>18243835.364200443</v>
      </c>
      <c r="F292" s="14">
        <f>'F) Population'!K285</f>
        <v>14702408.048289737</v>
      </c>
      <c r="G292" s="10">
        <f>'G) Solidarité'!I282</f>
        <v>0</v>
      </c>
      <c r="H292" s="14">
        <f t="shared" si="13"/>
        <v>14702408.048289737</v>
      </c>
      <c r="I292" s="55">
        <f t="shared" si="14"/>
        <v>3541427.3159107063</v>
      </c>
    </row>
    <row r="293" spans="1:9" x14ac:dyDescent="0.25">
      <c r="A293" s="49">
        <f>'A) Base RI'!A284</f>
        <v>5891</v>
      </c>
      <c r="B293" s="32" t="str">
        <f>'A) Base RI'!B284</f>
        <v>Veytaux</v>
      </c>
      <c r="C293" s="31">
        <f>'D) Ecrêtage'!C283</f>
        <v>39123.353381294961</v>
      </c>
      <c r="D293" s="14">
        <f>'A) Base RI'!V284</f>
        <v>952</v>
      </c>
      <c r="E293" s="10">
        <f t="shared" si="12"/>
        <v>736004.42871313589</v>
      </c>
      <c r="F293" s="14">
        <f>'F) Population'!K286</f>
        <v>118760.56338028169</v>
      </c>
      <c r="G293" s="10">
        <f>'G) Solidarité'!I283</f>
        <v>134714.41506509689</v>
      </c>
      <c r="H293" s="14">
        <f t="shared" si="13"/>
        <v>253474.9784453786</v>
      </c>
      <c r="I293" s="55">
        <f t="shared" si="14"/>
        <v>482529.45026775729</v>
      </c>
    </row>
    <row r="294" spans="1:9" x14ac:dyDescent="0.25">
      <c r="A294" s="49">
        <f>'A) Base RI'!A285</f>
        <v>5902</v>
      </c>
      <c r="B294" s="32" t="str">
        <f>'A) Base RI'!B285</f>
        <v>Belmont-sur-Yverdon</v>
      </c>
      <c r="C294" s="31">
        <f>'D) Ecrêtage'!C284</f>
        <v>12109.15</v>
      </c>
      <c r="D294" s="14">
        <f>'A) Base RI'!V285</f>
        <v>415</v>
      </c>
      <c r="E294" s="10">
        <f t="shared" si="12"/>
        <v>227802.25255979001</v>
      </c>
      <c r="F294" s="14">
        <f>'F) Population'!K287</f>
        <v>51770.623742454722</v>
      </c>
      <c r="G294" s="10">
        <f>'G) Solidarité'!I284</f>
        <v>156436.51878960981</v>
      </c>
      <c r="H294" s="14">
        <f t="shared" si="13"/>
        <v>208207.14253206452</v>
      </c>
      <c r="I294" s="55">
        <f t="shared" si="14"/>
        <v>19595.110027725488</v>
      </c>
    </row>
    <row r="295" spans="1:9" x14ac:dyDescent="0.25">
      <c r="A295" s="49">
        <f>'A) Base RI'!A286</f>
        <v>5903</v>
      </c>
      <c r="B295" s="32" t="str">
        <f>'A) Base RI'!B286</f>
        <v>Bioley-Magnoux</v>
      </c>
      <c r="C295" s="31">
        <f>'D) Ecrêtage'!C285</f>
        <v>6059.1993849206356</v>
      </c>
      <c r="D295" s="14">
        <f>'A) Base RI'!V286</f>
        <v>234</v>
      </c>
      <c r="E295" s="10">
        <f t="shared" si="12"/>
        <v>113988.12208898354</v>
      </c>
      <c r="F295" s="14">
        <f>'F) Population'!K288</f>
        <v>29191.146881287725</v>
      </c>
      <c r="G295" s="10">
        <f>'G) Solidarité'!I285</f>
        <v>109246.09103919841</v>
      </c>
      <c r="H295" s="14">
        <f t="shared" si="13"/>
        <v>138437.23792048614</v>
      </c>
      <c r="I295" s="55">
        <f t="shared" si="14"/>
        <v>-24449.115831502597</v>
      </c>
    </row>
    <row r="296" spans="1:9" x14ac:dyDescent="0.25">
      <c r="A296" s="49">
        <f>'A) Base RI'!A287</f>
        <v>5904</v>
      </c>
      <c r="B296" s="32" t="str">
        <f>'A) Base RI'!B287</f>
        <v>Chamblon</v>
      </c>
      <c r="C296" s="31">
        <f>'D) Ecrêtage'!C286</f>
        <v>22178.215151515149</v>
      </c>
      <c r="D296" s="14">
        <f>'A) Base RI'!V287</f>
        <v>561</v>
      </c>
      <c r="E296" s="10">
        <f t="shared" si="12"/>
        <v>417225.59958963393</v>
      </c>
      <c r="F296" s="14">
        <f>'F) Population'!K289</f>
        <v>69983.903420523129</v>
      </c>
      <c r="G296" s="10">
        <f>'G) Solidarité'!I286</f>
        <v>86853.821347490186</v>
      </c>
      <c r="H296" s="14">
        <f t="shared" si="13"/>
        <v>156837.72476801332</v>
      </c>
      <c r="I296" s="55">
        <f t="shared" si="14"/>
        <v>260387.87482162061</v>
      </c>
    </row>
    <row r="297" spans="1:9" x14ac:dyDescent="0.25">
      <c r="A297" s="49">
        <f>'A) Base RI'!A288</f>
        <v>5905</v>
      </c>
      <c r="B297" s="32" t="str">
        <f>'A) Base RI'!B288</f>
        <v>Champvent</v>
      </c>
      <c r="C297" s="31">
        <f>'D) Ecrêtage'!C287</f>
        <v>23236.229714285717</v>
      </c>
      <c r="D297" s="14">
        <f>'A) Base RI'!V288</f>
        <v>712</v>
      </c>
      <c r="E297" s="10">
        <f t="shared" si="12"/>
        <v>437129.39966149669</v>
      </c>
      <c r="F297" s="14">
        <f>'F) Population'!K290</f>
        <v>88820.925553319918</v>
      </c>
      <c r="G297" s="10">
        <f>'G) Solidarité'!I287</f>
        <v>220192.24889815095</v>
      </c>
      <c r="H297" s="14">
        <f t="shared" si="13"/>
        <v>309013.17445147084</v>
      </c>
      <c r="I297" s="55">
        <f t="shared" si="14"/>
        <v>128116.22521002585</v>
      </c>
    </row>
    <row r="298" spans="1:9" x14ac:dyDescent="0.25">
      <c r="A298" s="49">
        <f>'A) Base RI'!A289</f>
        <v>5907</v>
      </c>
      <c r="B298" s="32" t="str">
        <f>'A) Base RI'!B289</f>
        <v>Chavannes-le-Chêne</v>
      </c>
      <c r="C298" s="31">
        <f>'D) Ecrêtage'!C288</f>
        <v>7818.3477333333331</v>
      </c>
      <c r="D298" s="14">
        <f>'A) Base RI'!V289</f>
        <v>325</v>
      </c>
      <c r="E298" s="10">
        <f t="shared" si="12"/>
        <v>147081.93596982959</v>
      </c>
      <c r="F298" s="14">
        <f>'F) Population'!K291</f>
        <v>40543.259557344063</v>
      </c>
      <c r="G298" s="10">
        <f>'G) Solidarité'!I288</f>
        <v>178065.50580484563</v>
      </c>
      <c r="H298" s="14">
        <f t="shared" si="13"/>
        <v>218608.76536218968</v>
      </c>
      <c r="I298" s="55">
        <f t="shared" si="14"/>
        <v>-71526.829392360087</v>
      </c>
    </row>
    <row r="299" spans="1:9" x14ac:dyDescent="0.25">
      <c r="A299" s="49">
        <f>'A) Base RI'!A290</f>
        <v>5908</v>
      </c>
      <c r="B299" s="32" t="str">
        <f>'A) Base RI'!B290</f>
        <v>Chêne-Pâquier</v>
      </c>
      <c r="C299" s="31">
        <f>'D) Ecrêtage'!C289</f>
        <v>4413.8781012658228</v>
      </c>
      <c r="D299" s="14">
        <f>'A) Base RI'!V290</f>
        <v>153</v>
      </c>
      <c r="E299" s="10">
        <f t="shared" si="12"/>
        <v>83035.669224733647</v>
      </c>
      <c r="F299" s="14">
        <f>'F) Population'!K292</f>
        <v>19086.519114688126</v>
      </c>
      <c r="G299" s="10">
        <f>'G) Solidarité'!I289</f>
        <v>74716.807441549085</v>
      </c>
      <c r="H299" s="14">
        <f t="shared" si="13"/>
        <v>93803.326556237211</v>
      </c>
      <c r="I299" s="55">
        <f t="shared" si="14"/>
        <v>-10767.657331503564</v>
      </c>
    </row>
    <row r="300" spans="1:9" x14ac:dyDescent="0.25">
      <c r="A300" s="49">
        <f>'A) Base RI'!A291</f>
        <v>5909</v>
      </c>
      <c r="B300" s="32" t="str">
        <f>'A) Base RI'!B291</f>
        <v>Cheseaux-Noréaz</v>
      </c>
      <c r="C300" s="31">
        <f>'D) Ecrêtage'!C290</f>
        <v>36898.573134328355</v>
      </c>
      <c r="D300" s="14">
        <f>'A) Base RI'!V291</f>
        <v>728</v>
      </c>
      <c r="E300" s="10">
        <f t="shared" si="12"/>
        <v>694150.95826231828</v>
      </c>
      <c r="F300" s="14">
        <f>'F) Population'!K293</f>
        <v>90816.901408450693</v>
      </c>
      <c r="G300" s="10">
        <f>'G) Solidarité'!I290</f>
        <v>0</v>
      </c>
      <c r="H300" s="14">
        <f t="shared" si="13"/>
        <v>90816.901408450693</v>
      </c>
      <c r="I300" s="55">
        <f t="shared" si="14"/>
        <v>603334.0568538676</v>
      </c>
    </row>
    <row r="301" spans="1:9" x14ac:dyDescent="0.25">
      <c r="A301" s="49">
        <f>'A) Base RI'!A292</f>
        <v>5910</v>
      </c>
      <c r="B301" s="32" t="str">
        <f>'A) Base RI'!B292</f>
        <v>Cronay</v>
      </c>
      <c r="C301" s="31">
        <f>'D) Ecrêtage'!C291</f>
        <v>10600.416103896103</v>
      </c>
      <c r="D301" s="14">
        <f>'A) Base RI'!V292</f>
        <v>403</v>
      </c>
      <c r="E301" s="10">
        <f t="shared" si="12"/>
        <v>199419.33715732364</v>
      </c>
      <c r="F301" s="14">
        <f>'F) Population'!K294</f>
        <v>50273.641851106637</v>
      </c>
      <c r="G301" s="10">
        <f>'G) Solidarité'!I291</f>
        <v>211271.50684169348</v>
      </c>
      <c r="H301" s="14">
        <f t="shared" si="13"/>
        <v>261545.14869280011</v>
      </c>
      <c r="I301" s="55">
        <f t="shared" si="14"/>
        <v>-62125.811535476474</v>
      </c>
    </row>
    <row r="302" spans="1:9" x14ac:dyDescent="0.25">
      <c r="A302" s="49">
        <f>'A) Base RI'!A293</f>
        <v>5911</v>
      </c>
      <c r="B302" s="32" t="str">
        <f>'A) Base RI'!B293</f>
        <v>Cuarny</v>
      </c>
      <c r="C302" s="31">
        <f>'D) Ecrêtage'!C292</f>
        <v>7504.0945454545454</v>
      </c>
      <c r="D302" s="14">
        <f>'A) Base RI'!V293</f>
        <v>245</v>
      </c>
      <c r="E302" s="10">
        <f t="shared" si="12"/>
        <v>141170.07724540361</v>
      </c>
      <c r="F302" s="14">
        <f>'F) Population'!K295</f>
        <v>30563.380281690137</v>
      </c>
      <c r="G302" s="10">
        <f>'G) Solidarité'!I292</f>
        <v>103327.95429049656</v>
      </c>
      <c r="H302" s="14">
        <f t="shared" si="13"/>
        <v>133891.33457218669</v>
      </c>
      <c r="I302" s="55">
        <f t="shared" si="14"/>
        <v>7278.7426732169115</v>
      </c>
    </row>
    <row r="303" spans="1:9" x14ac:dyDescent="0.25">
      <c r="A303" s="49">
        <f>'A) Base RI'!A294</f>
        <v>5912</v>
      </c>
      <c r="B303" s="32" t="str">
        <f>'A) Base RI'!B294</f>
        <v>Démoret</v>
      </c>
      <c r="C303" s="31">
        <f>'D) Ecrêtage'!C293</f>
        <v>4722.5551851851851</v>
      </c>
      <c r="D303" s="14">
        <f>'A) Base RI'!V294</f>
        <v>164</v>
      </c>
      <c r="E303" s="10">
        <f t="shared" si="12"/>
        <v>88842.628014608912</v>
      </c>
      <c r="F303" s="14">
        <f>'F) Population'!K296</f>
        <v>20458.752515090542</v>
      </c>
      <c r="G303" s="10">
        <f>'G) Solidarité'!I293</f>
        <v>84422.172764340576</v>
      </c>
      <c r="H303" s="14">
        <f t="shared" si="13"/>
        <v>104880.92527943112</v>
      </c>
      <c r="I303" s="55">
        <f t="shared" si="14"/>
        <v>-16038.297264822206</v>
      </c>
    </row>
    <row r="304" spans="1:9" x14ac:dyDescent="0.25">
      <c r="A304" s="49">
        <f>'A) Base RI'!A295</f>
        <v>5913</v>
      </c>
      <c r="B304" s="32" t="str">
        <f>'A) Base RI'!B295</f>
        <v>Donneloye</v>
      </c>
      <c r="C304" s="31">
        <f>'D) Ecrêtage'!C294</f>
        <v>23893.322465753423</v>
      </c>
      <c r="D304" s="14">
        <f>'A) Base RI'!V295</f>
        <v>891</v>
      </c>
      <c r="E304" s="10">
        <f t="shared" si="12"/>
        <v>449490.89563149074</v>
      </c>
      <c r="F304" s="14">
        <f>'F) Population'!K297</f>
        <v>111150.90543259557</v>
      </c>
      <c r="G304" s="10">
        <f>'G) Solidarité'!I294</f>
        <v>410107.08277069329</v>
      </c>
      <c r="H304" s="14">
        <f t="shared" si="13"/>
        <v>521257.98820328887</v>
      </c>
      <c r="I304" s="55">
        <f t="shared" si="14"/>
        <v>-71767.09257179813</v>
      </c>
    </row>
    <row r="305" spans="1:9" x14ac:dyDescent="0.25">
      <c r="A305" s="49">
        <f>'A) Base RI'!A296</f>
        <v>5914</v>
      </c>
      <c r="B305" s="32" t="str">
        <f>'A) Base RI'!B296</f>
        <v>Ependes</v>
      </c>
      <c r="C305" s="31">
        <f>'D) Ecrêtage'!C295</f>
        <v>9829.5133333333324</v>
      </c>
      <c r="D305" s="14">
        <f>'A) Base RI'!V296</f>
        <v>381</v>
      </c>
      <c r="E305" s="10">
        <f t="shared" si="12"/>
        <v>184916.80084067199</v>
      </c>
      <c r="F305" s="14">
        <f>'F) Population'!K298</f>
        <v>47529.175050301805</v>
      </c>
      <c r="G305" s="10">
        <f>'G) Solidarité'!I295</f>
        <v>186143.34766073848</v>
      </c>
      <c r="H305" s="14">
        <f t="shared" si="13"/>
        <v>233672.52271104028</v>
      </c>
      <c r="I305" s="55">
        <f t="shared" si="14"/>
        <v>-48755.721870368288</v>
      </c>
    </row>
    <row r="306" spans="1:9" x14ac:dyDescent="0.25">
      <c r="A306" s="49">
        <f>'A) Base RI'!A297</f>
        <v>5919</v>
      </c>
      <c r="B306" s="32" t="str">
        <f>'A) Base RI'!B297</f>
        <v>Mathod</v>
      </c>
      <c r="C306" s="31">
        <f>'D) Ecrêtage'!C296</f>
        <v>18684.885972222222</v>
      </c>
      <c r="D306" s="14">
        <f>'A) Base RI'!V297</f>
        <v>655</v>
      </c>
      <c r="E306" s="10">
        <f t="shared" si="12"/>
        <v>351507.67091786332</v>
      </c>
      <c r="F306" s="14">
        <f>'F) Population'!K299</f>
        <v>81710.2615694165</v>
      </c>
      <c r="G306" s="10">
        <f>'G) Solidarité'!I296</f>
        <v>270067.01278461935</v>
      </c>
      <c r="H306" s="14">
        <f t="shared" si="13"/>
        <v>351777.27435403585</v>
      </c>
      <c r="I306" s="55">
        <f t="shared" si="14"/>
        <v>-269.60343617253238</v>
      </c>
    </row>
    <row r="307" spans="1:9" x14ac:dyDescent="0.25">
      <c r="A307" s="49">
        <f>'A) Base RI'!A298</f>
        <v>5921</v>
      </c>
      <c r="B307" s="32" t="str">
        <f>'A) Base RI'!B298</f>
        <v>Molondin</v>
      </c>
      <c r="C307" s="31">
        <f>'D) Ecrêtage'!C297</f>
        <v>5874.9966666666678</v>
      </c>
      <c r="D307" s="14">
        <f>'A) Base RI'!V298</f>
        <v>239</v>
      </c>
      <c r="E307" s="10">
        <f t="shared" si="12"/>
        <v>110522.82566884751</v>
      </c>
      <c r="F307" s="14">
        <f>'F) Population'!K300</f>
        <v>29814.889336016095</v>
      </c>
      <c r="G307" s="10">
        <f>'G) Solidarité'!I297</f>
        <v>149444.87142560055</v>
      </c>
      <c r="H307" s="14">
        <f t="shared" si="13"/>
        <v>179259.76076161664</v>
      </c>
      <c r="I307" s="55">
        <f t="shared" si="14"/>
        <v>-68736.935092769127</v>
      </c>
    </row>
    <row r="308" spans="1:9" x14ac:dyDescent="0.25">
      <c r="A308" s="49">
        <f>'A) Base RI'!A299</f>
        <v>5922</v>
      </c>
      <c r="B308" s="32" t="str">
        <f>'A) Base RI'!B299</f>
        <v>Montagny-près-Yverdon</v>
      </c>
      <c r="C308" s="31">
        <f>'D) Ecrêtage'!C298</f>
        <v>39614.024961240313</v>
      </c>
      <c r="D308" s="14">
        <f>'A) Base RI'!V299</f>
        <v>775</v>
      </c>
      <c r="E308" s="10">
        <f t="shared" si="12"/>
        <v>745235.14194888098</v>
      </c>
      <c r="F308" s="14">
        <f>'F) Population'!K301</f>
        <v>96680.080482897378</v>
      </c>
      <c r="G308" s="10">
        <f>'G) Solidarité'!I298</f>
        <v>0</v>
      </c>
      <c r="H308" s="14">
        <f t="shared" si="13"/>
        <v>96680.080482897378</v>
      </c>
      <c r="I308" s="55">
        <f t="shared" si="14"/>
        <v>648555.06146598363</v>
      </c>
    </row>
    <row r="309" spans="1:9" x14ac:dyDescent="0.25">
      <c r="A309" s="49">
        <f>'A) Base RI'!A300</f>
        <v>5923</v>
      </c>
      <c r="B309" s="32" t="str">
        <f>'A) Base RI'!B300</f>
        <v>Oppens</v>
      </c>
      <c r="C309" s="31">
        <f>'D) Ecrêtage'!C299</f>
        <v>5094.8359259259259</v>
      </c>
      <c r="D309" s="14">
        <f>'A) Base RI'!V300</f>
        <v>201</v>
      </c>
      <c r="E309" s="10">
        <f t="shared" si="12"/>
        <v>95846.124653544583</v>
      </c>
      <c r="F309" s="14">
        <f>'F) Population'!K302</f>
        <v>25074.44668008048</v>
      </c>
      <c r="G309" s="10">
        <f>'G) Solidarité'!I299</f>
        <v>121646.78306636329</v>
      </c>
      <c r="H309" s="14">
        <f t="shared" si="13"/>
        <v>146721.22974644377</v>
      </c>
      <c r="I309" s="55">
        <f t="shared" si="14"/>
        <v>-50875.10509289919</v>
      </c>
    </row>
    <row r="310" spans="1:9" x14ac:dyDescent="0.25">
      <c r="A310" s="49">
        <f>'A) Base RI'!A301</f>
        <v>5924</v>
      </c>
      <c r="B310" s="32" t="str">
        <f>'A) Base RI'!B301</f>
        <v>Orges</v>
      </c>
      <c r="C310" s="31">
        <f>'D) Ecrêtage'!C300</f>
        <v>13110.169864864867</v>
      </c>
      <c r="D310" s="14">
        <f>'A) Base RI'!V301</f>
        <v>367</v>
      </c>
      <c r="E310" s="10">
        <f t="shared" si="12"/>
        <v>246633.8452044689</v>
      </c>
      <c r="F310" s="14">
        <f>'F) Population'!K303</f>
        <v>45782.696177062367</v>
      </c>
      <c r="G310" s="10">
        <f>'G) Solidarité'!I300</f>
        <v>102039.47418507356</v>
      </c>
      <c r="H310" s="14">
        <f t="shared" si="13"/>
        <v>147822.17036213592</v>
      </c>
      <c r="I310" s="55">
        <f t="shared" si="14"/>
        <v>98811.674842332985</v>
      </c>
    </row>
    <row r="311" spans="1:9" x14ac:dyDescent="0.25">
      <c r="A311" s="49">
        <f>'A) Base RI'!A302</f>
        <v>5925</v>
      </c>
      <c r="B311" s="32" t="str">
        <f>'A) Base RI'!B302</f>
        <v>Orzens</v>
      </c>
      <c r="C311" s="31">
        <f>'D) Ecrêtage'!C301</f>
        <v>5230.5868354430377</v>
      </c>
      <c r="D311" s="14">
        <f>'A) Base RI'!V302</f>
        <v>202</v>
      </c>
      <c r="E311" s="10">
        <f t="shared" si="12"/>
        <v>98399.925950500881</v>
      </c>
      <c r="F311" s="14">
        <f>'F) Population'!K304</f>
        <v>25199.195171026156</v>
      </c>
      <c r="G311" s="10">
        <f>'G) Solidarité'!I301</f>
        <v>113535.32252794525</v>
      </c>
      <c r="H311" s="14">
        <f t="shared" si="13"/>
        <v>138734.51769897141</v>
      </c>
      <c r="I311" s="55">
        <f t="shared" si="14"/>
        <v>-40334.591748470528</v>
      </c>
    </row>
    <row r="312" spans="1:9" x14ac:dyDescent="0.25">
      <c r="A312" s="49">
        <f>'A) Base RI'!A303</f>
        <v>5926</v>
      </c>
      <c r="B312" s="32" t="str">
        <f>'A) Base RI'!B303</f>
        <v>Pomy</v>
      </c>
      <c r="C312" s="31">
        <f>'D) Ecrêtage'!C302</f>
        <v>27875.103943661972</v>
      </c>
      <c r="D312" s="14">
        <f>'A) Base RI'!V303</f>
        <v>838</v>
      </c>
      <c r="E312" s="10">
        <f t="shared" si="12"/>
        <v>524397.78751642222</v>
      </c>
      <c r="F312" s="14">
        <f>'F) Population'!K305</f>
        <v>104539.23541247484</v>
      </c>
      <c r="G312" s="10">
        <f>'G) Solidarité'!I302</f>
        <v>256000.87254735685</v>
      </c>
      <c r="H312" s="14">
        <f t="shared" si="13"/>
        <v>360540.10795983172</v>
      </c>
      <c r="I312" s="55">
        <f t="shared" si="14"/>
        <v>163857.6795565905</v>
      </c>
    </row>
    <row r="313" spans="1:9" x14ac:dyDescent="0.25">
      <c r="A313" s="49">
        <f>'A) Base RI'!A304</f>
        <v>5928</v>
      </c>
      <c r="B313" s="32" t="str">
        <f>'A) Base RI'!B304</f>
        <v>Rovray</v>
      </c>
      <c r="C313" s="31">
        <f>'D) Ecrêtage'!C303</f>
        <v>5459.4606993006983</v>
      </c>
      <c r="D313" s="14">
        <f>'A) Base RI'!V304</f>
        <v>206</v>
      </c>
      <c r="E313" s="10">
        <f t="shared" si="12"/>
        <v>102705.59412199416</v>
      </c>
      <c r="F313" s="14">
        <f>'F) Population'!K306</f>
        <v>25698.18913480885</v>
      </c>
      <c r="G313" s="10">
        <f>'G) Solidarité'!I303</f>
        <v>92282.569731877244</v>
      </c>
      <c r="H313" s="14">
        <f t="shared" si="13"/>
        <v>117980.7588666861</v>
      </c>
      <c r="I313" s="55">
        <f t="shared" si="14"/>
        <v>-15275.164744691938</v>
      </c>
    </row>
    <row r="314" spans="1:9" x14ac:dyDescent="0.25">
      <c r="A314" s="49">
        <f>'A) Base RI'!A305</f>
        <v>5929</v>
      </c>
      <c r="B314" s="32" t="str">
        <f>'A) Base RI'!B305</f>
        <v>Suchy</v>
      </c>
      <c r="C314" s="31">
        <f>'D) Ecrêtage'!C304</f>
        <v>20266.988392857143</v>
      </c>
      <c r="D314" s="14">
        <f>'A) Base RI'!V305</f>
        <v>656</v>
      </c>
      <c r="E314" s="10">
        <f t="shared" si="12"/>
        <v>381270.82483047748</v>
      </c>
      <c r="F314" s="14">
        <f>'F) Population'!K307</f>
        <v>81835.010060362169</v>
      </c>
      <c r="G314" s="10">
        <f>'G) Solidarité'!I304</f>
        <v>225233.92623960291</v>
      </c>
      <c r="H314" s="14">
        <f t="shared" si="13"/>
        <v>307068.93629996508</v>
      </c>
      <c r="I314" s="55">
        <f t="shared" si="14"/>
        <v>74201.888530512399</v>
      </c>
    </row>
    <row r="315" spans="1:9" x14ac:dyDescent="0.25">
      <c r="A315" s="49">
        <f>'A) Base RI'!A306</f>
        <v>5930</v>
      </c>
      <c r="B315" s="32" t="str">
        <f>'A) Base RI'!B306</f>
        <v>Suscévaz</v>
      </c>
      <c r="C315" s="31">
        <f>'D) Ecrêtage'!C305</f>
        <v>6661.8138888888889</v>
      </c>
      <c r="D315" s="14">
        <f>'A) Base RI'!V306</f>
        <v>215</v>
      </c>
      <c r="E315" s="10">
        <f t="shared" si="12"/>
        <v>125324.75111985429</v>
      </c>
      <c r="F315" s="14">
        <f>'F) Population'!K308</f>
        <v>26820.925553319918</v>
      </c>
      <c r="G315" s="10">
        <f>'G) Solidarité'!I305</f>
        <v>77694.894381051505</v>
      </c>
      <c r="H315" s="14">
        <f t="shared" si="13"/>
        <v>104515.81993437142</v>
      </c>
      <c r="I315" s="55">
        <f t="shared" si="14"/>
        <v>20808.93118548287</v>
      </c>
    </row>
    <row r="316" spans="1:9" x14ac:dyDescent="0.25">
      <c r="A316" s="49">
        <f>'A) Base RI'!A307</f>
        <v>5931</v>
      </c>
      <c r="B316" s="32" t="str">
        <f>'A) Base RI'!B307</f>
        <v>Treycovagnes</v>
      </c>
      <c r="C316" s="31">
        <f>'D) Ecrêtage'!C306</f>
        <v>15271.093466666664</v>
      </c>
      <c r="D316" s="14">
        <f>'A) Base RI'!V307</f>
        <v>490</v>
      </c>
      <c r="E316" s="10">
        <f t="shared" si="12"/>
        <v>287286.01848666166</v>
      </c>
      <c r="F316" s="14">
        <f>'F) Population'!K309</f>
        <v>61126.760563380274</v>
      </c>
      <c r="G316" s="10">
        <f>'G) Solidarité'!I306</f>
        <v>190149.00112340692</v>
      </c>
      <c r="H316" s="14">
        <f t="shared" si="13"/>
        <v>251275.76168678718</v>
      </c>
      <c r="I316" s="55">
        <f t="shared" si="14"/>
        <v>36010.256799874478</v>
      </c>
    </row>
    <row r="317" spans="1:9" x14ac:dyDescent="0.25">
      <c r="A317" s="49">
        <f>'A) Base RI'!A308</f>
        <v>5932</v>
      </c>
      <c r="B317" s="32" t="str">
        <f>'A) Base RI'!B308</f>
        <v>Ursins</v>
      </c>
      <c r="C317" s="31">
        <f>'D) Ecrêtage'!C307</f>
        <v>7703.3244000000022</v>
      </c>
      <c r="D317" s="14">
        <f>'A) Base RI'!V308</f>
        <v>228</v>
      </c>
      <c r="E317" s="10">
        <f t="shared" si="12"/>
        <v>144918.0702624704</v>
      </c>
      <c r="F317" s="14">
        <f>'F) Population'!K310</f>
        <v>28442.655935613679</v>
      </c>
      <c r="G317" s="10">
        <f>'G) Solidarité'!I307</f>
        <v>75041.678560936445</v>
      </c>
      <c r="H317" s="14">
        <f t="shared" si="13"/>
        <v>103484.33449655012</v>
      </c>
      <c r="I317" s="55">
        <f t="shared" si="14"/>
        <v>41433.735765920283</v>
      </c>
    </row>
    <row r="318" spans="1:9" x14ac:dyDescent="0.25">
      <c r="A318" s="49">
        <f>'A) Base RI'!A309</f>
        <v>5933</v>
      </c>
      <c r="B318" s="32" t="str">
        <f>'A) Base RI'!B309</f>
        <v>Valeyres-sous-Montagny</v>
      </c>
      <c r="C318" s="31">
        <f>'D) Ecrêtage'!C308</f>
        <v>19607.073049645387</v>
      </c>
      <c r="D318" s="14">
        <f>'A) Base RI'!V309</f>
        <v>697</v>
      </c>
      <c r="E318" s="10">
        <f t="shared" si="12"/>
        <v>368856.2291171198</v>
      </c>
      <c r="F318" s="14">
        <f>'F) Population'!K311</f>
        <v>86949.698189134797</v>
      </c>
      <c r="G318" s="10">
        <f>'G) Solidarité'!I308</f>
        <v>281016.32049148384</v>
      </c>
      <c r="H318" s="14">
        <f t="shared" si="13"/>
        <v>367966.01868061861</v>
      </c>
      <c r="I318" s="55">
        <f t="shared" si="14"/>
        <v>890.210436501191</v>
      </c>
    </row>
    <row r="319" spans="1:9" x14ac:dyDescent="0.25">
      <c r="A319" s="49">
        <f>'A) Base RI'!A310</f>
        <v>5934</v>
      </c>
      <c r="B319" s="32" t="str">
        <f>'A) Base RI'!B310</f>
        <v>Valeyres-sous-Ursins</v>
      </c>
      <c r="C319" s="31">
        <f>'D) Ecrêtage'!C309</f>
        <v>7018.283636363637</v>
      </c>
      <c r="D319" s="14">
        <f>'A) Base RI'!V310</f>
        <v>247</v>
      </c>
      <c r="E319" s="10">
        <f t="shared" si="12"/>
        <v>132030.80492579172</v>
      </c>
      <c r="F319" s="14">
        <f>'F) Population'!K312</f>
        <v>30812.877263581486</v>
      </c>
      <c r="G319" s="10">
        <f>'G) Solidarité'!I309</f>
        <v>117136.0979304925</v>
      </c>
      <c r="H319" s="14">
        <f t="shared" si="13"/>
        <v>147948.97519407398</v>
      </c>
      <c r="I319" s="55">
        <f t="shared" si="14"/>
        <v>-15918.170268282265</v>
      </c>
    </row>
    <row r="320" spans="1:9" x14ac:dyDescent="0.25">
      <c r="A320" s="49">
        <f>'A) Base RI'!A311</f>
        <v>5935</v>
      </c>
      <c r="B320" s="32" t="str">
        <f>'A) Base RI'!B311</f>
        <v>Villars-Epeney</v>
      </c>
      <c r="C320" s="31">
        <f>'D) Ecrêtage'!C310</f>
        <v>3448.2304999999997</v>
      </c>
      <c r="D320" s="14">
        <f>'A) Base RI'!V311</f>
        <v>95</v>
      </c>
      <c r="E320" s="10">
        <f t="shared" si="12"/>
        <v>64869.513982845281</v>
      </c>
      <c r="F320" s="14">
        <f>'F) Population'!K313</f>
        <v>11851.106639839034</v>
      </c>
      <c r="G320" s="10">
        <f>'G) Solidarité'!I310</f>
        <v>16579.091833861083</v>
      </c>
      <c r="H320" s="14">
        <f t="shared" si="13"/>
        <v>28430.198473700118</v>
      </c>
      <c r="I320" s="55">
        <f t="shared" si="14"/>
        <v>36439.315509145163</v>
      </c>
    </row>
    <row r="321" spans="1:9" x14ac:dyDescent="0.25">
      <c r="A321" s="49">
        <f>'A) Base RI'!A312</f>
        <v>5937</v>
      </c>
      <c r="B321" s="32" t="str">
        <f>'A) Base RI'!B312</f>
        <v>Vugelles-La Mothe</v>
      </c>
      <c r="C321" s="31">
        <f>'D) Ecrêtage'!C311</f>
        <v>3471.6885918367348</v>
      </c>
      <c r="D321" s="14">
        <f>'A) Base RI'!V312</f>
        <v>140</v>
      </c>
      <c r="E321" s="10">
        <f t="shared" si="12"/>
        <v>65310.817142948399</v>
      </c>
      <c r="F321" s="14">
        <f>'F) Population'!K314</f>
        <v>17464.788732394365</v>
      </c>
      <c r="G321" s="10">
        <f>'G) Solidarité'!I311</f>
        <v>64786.025984722321</v>
      </c>
      <c r="H321" s="14">
        <f t="shared" si="13"/>
        <v>82250.814717116678</v>
      </c>
      <c r="I321" s="55">
        <f t="shared" si="14"/>
        <v>-16939.997574168279</v>
      </c>
    </row>
    <row r="322" spans="1:9" x14ac:dyDescent="0.25">
      <c r="A322" s="49">
        <f>'A) Base RI'!A313</f>
        <v>5938</v>
      </c>
      <c r="B322" s="32" t="str">
        <f>'A) Base RI'!B313</f>
        <v>Yverdon-les-Bains</v>
      </c>
      <c r="C322" s="31">
        <f>'D) Ecrêtage'!C312</f>
        <v>762770.29813333345</v>
      </c>
      <c r="D322" s="14">
        <f>'A) Base RI'!V313</f>
        <v>29710</v>
      </c>
      <c r="E322" s="10">
        <f t="shared" si="12"/>
        <v>14349544.939196885</v>
      </c>
      <c r="F322" s="14">
        <f>'F) Population'!K315</f>
        <v>25169754.527162977</v>
      </c>
      <c r="G322" s="10">
        <f>'G) Solidarité'!I312</f>
        <v>15197536.299469693</v>
      </c>
      <c r="H322" s="14">
        <f t="shared" si="13"/>
        <v>40367290.826632671</v>
      </c>
      <c r="I322" s="55">
        <f t="shared" si="14"/>
        <v>-26017745.887435786</v>
      </c>
    </row>
    <row r="323" spans="1:9" x14ac:dyDescent="0.25">
      <c r="A323" s="49">
        <f>'A) Base RI'!A314</f>
        <v>5939</v>
      </c>
      <c r="B323" s="32" t="str">
        <f>'A) Base RI'!B314</f>
        <v>Yvonand</v>
      </c>
      <c r="C323" s="31">
        <f>'D) Ecrêtage'!C313</f>
        <v>105336.86867132869</v>
      </c>
      <c r="D323" s="14">
        <f>'A) Base RI'!V314</f>
        <v>3512</v>
      </c>
      <c r="E323" s="10">
        <f t="shared" si="12"/>
        <v>1981639.9962774804</v>
      </c>
      <c r="F323" s="14">
        <f>'F) Population'!K316</f>
        <v>1078824.949698189</v>
      </c>
      <c r="G323" s="10">
        <f>'G) Solidarité'!I313</f>
        <v>1322744.1148376164</v>
      </c>
      <c r="H323" s="14">
        <f t="shared" si="13"/>
        <v>2401569.0645358055</v>
      </c>
      <c r="I323" s="55">
        <f t="shared" si="14"/>
        <v>-419929.0682583251</v>
      </c>
    </row>
    <row r="324" spans="1:9" x14ac:dyDescent="0.25">
      <c r="A324" s="30"/>
      <c r="B324" s="118">
        <f>COUNTA(B16:B323)</f>
        <v>308</v>
      </c>
      <c r="C324" s="119">
        <f>SUM(C16:C323)</f>
        <v>39896757.238841556</v>
      </c>
      <c r="D324" s="11">
        <f>SUM(D16:D323)</f>
        <v>823881</v>
      </c>
      <c r="E324" s="11">
        <f>SUM(E16:E323)</f>
        <v>750554016.49490011</v>
      </c>
      <c r="F324" s="11">
        <f>SUM(F16:F323)</f>
        <v>437249822.93762583</v>
      </c>
      <c r="G324" s="11">
        <f>SUM(G16:G323)</f>
        <v>140510435.10695809</v>
      </c>
      <c r="H324" s="11">
        <f>F324+G324</f>
        <v>577760258.04458392</v>
      </c>
      <c r="I324" s="37">
        <f>E324-H324</f>
        <v>172793758.45031619</v>
      </c>
    </row>
    <row r="325" spans="1:9" x14ac:dyDescent="0.25">
      <c r="C325" s="71"/>
      <c r="D325" s="71"/>
      <c r="E325" s="36"/>
      <c r="H325" s="36"/>
      <c r="I325" s="6"/>
    </row>
    <row r="326" spans="1:9" x14ac:dyDescent="0.25">
      <c r="C326" s="5"/>
      <c r="D326" s="5"/>
      <c r="E326" s="6"/>
      <c r="F326" s="6"/>
      <c r="G326" s="6"/>
      <c r="H326" s="6"/>
      <c r="I326" s="6"/>
    </row>
    <row r="327" spans="1:9" x14ac:dyDescent="0.25">
      <c r="G327" s="12"/>
    </row>
    <row r="329" spans="1:9" x14ac:dyDescent="0.25">
      <c r="F329" s="12"/>
    </row>
    <row r="330" spans="1:9" x14ac:dyDescent="0.25">
      <c r="F330" s="12"/>
    </row>
    <row r="332" spans="1:9" x14ac:dyDescent="0.25">
      <c r="F332" s="107"/>
      <c r="G332" s="107"/>
      <c r="H332" s="107"/>
      <c r="I332" s="107"/>
    </row>
    <row r="333" spans="1:9" x14ac:dyDescent="0.25">
      <c r="E333" s="107"/>
      <c r="F333" s="107"/>
      <c r="G333" s="107"/>
      <c r="H333" s="107"/>
      <c r="I333" s="107"/>
    </row>
    <row r="334" spans="1:9" x14ac:dyDescent="0.25">
      <c r="E334" s="115"/>
      <c r="F334" s="115"/>
      <c r="G334" s="115"/>
      <c r="H334" s="115"/>
      <c r="I334" s="115"/>
    </row>
    <row r="341" spans="3:3" x14ac:dyDescent="0.25">
      <c r="C341" s="48"/>
    </row>
    <row r="342" spans="3:3" x14ac:dyDescent="0.25">
      <c r="C342" s="48"/>
    </row>
    <row r="343" spans="3:3" x14ac:dyDescent="0.25">
      <c r="C343" s="48"/>
    </row>
  </sheetData>
  <mergeCells count="4">
    <mergeCell ref="D14:D15"/>
    <mergeCell ref="C14:C15"/>
    <mergeCell ref="B14:B15"/>
    <mergeCell ref="A14:A15"/>
  </mergeCells>
  <phoneticPr fontId="21" type="noConversion"/>
  <pageMargins left="0.25" right="0.25" top="0.75" bottom="0.75" header="0.3" footer="0.3"/>
  <pageSetup paperSize="9" orientation="landscape" horizontalDpi="4294967292" verticalDpi="4294967292"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Feuil12">
    <tabColor rgb="FF00B050"/>
  </sheetPr>
  <dimension ref="A1:AP320"/>
  <sheetViews>
    <sheetView topLeftCell="G1" zoomScaleNormal="100" workbookViewId="0">
      <pane ySplit="5" topLeftCell="A292" activePane="bottomLeft" state="frozen"/>
      <selection pane="bottomLeft" activeCell="T314" sqref="T314"/>
    </sheetView>
  </sheetViews>
  <sheetFormatPr baseColWidth="10" defaultColWidth="10.75" defaultRowHeight="15" x14ac:dyDescent="0.25"/>
  <cols>
    <col min="1" max="1" width="7.25" style="13" customWidth="1"/>
    <col min="2" max="2" width="22.125" style="13" bestFit="1" customWidth="1"/>
    <col min="3" max="3" width="14.25" style="6" bestFit="1" customWidth="1"/>
    <col min="4" max="4" width="16.25" style="6" customWidth="1"/>
    <col min="5" max="5" width="17.75" style="6" customWidth="1"/>
    <col min="6" max="6" width="15.125" style="6" customWidth="1"/>
    <col min="7" max="7" width="13.125" style="6" bestFit="1" customWidth="1"/>
    <col min="8" max="8" width="12.25" style="6" bestFit="1" customWidth="1"/>
    <col min="9" max="9" width="13.125" style="6" bestFit="1" customWidth="1"/>
    <col min="10" max="10" width="16.875" style="6" bestFit="1" customWidth="1"/>
    <col min="11" max="11" width="13.25" style="6" bestFit="1" customWidth="1"/>
    <col min="12" max="12" width="13.125" style="6" customWidth="1"/>
    <col min="13" max="13" width="15.25" style="6" customWidth="1"/>
    <col min="14" max="14" width="17.875" style="6" customWidth="1"/>
    <col min="15" max="15" width="10.75" style="6" bestFit="1" customWidth="1"/>
    <col min="16" max="16" width="11.375" style="6" customWidth="1"/>
    <col min="17" max="17" width="11.875" style="6" customWidth="1"/>
    <col min="18" max="18" width="12.5" style="6" customWidth="1"/>
    <col min="19" max="19" width="12.875" style="6" customWidth="1"/>
    <col min="20" max="20" width="10" style="15" customWidth="1"/>
    <col min="21" max="21" width="2.5" style="13" customWidth="1"/>
    <col min="22" max="22" width="10.875" style="400" bestFit="1" customWidth="1"/>
    <col min="23" max="23" width="11.75" style="400" bestFit="1" customWidth="1"/>
    <col min="24" max="24" width="11.125" style="400" bestFit="1" customWidth="1"/>
    <col min="25" max="26" width="10.625" style="400" bestFit="1" customWidth="1"/>
    <col min="27" max="27" width="12.75" style="400" bestFit="1" customWidth="1"/>
    <col min="28" max="42" width="10.75" style="400"/>
    <col min="43" max="16384" width="10.75" style="13"/>
  </cols>
  <sheetData>
    <row r="1" spans="1:32" s="43" customFormat="1" ht="20.25" customHeight="1" x14ac:dyDescent="0.25">
      <c r="A1" s="51" t="s">
        <v>137</v>
      </c>
      <c r="B1" s="42"/>
      <c r="C1" s="44"/>
      <c r="D1" s="44"/>
      <c r="E1" s="44"/>
      <c r="F1" s="44"/>
      <c r="G1" s="44"/>
      <c r="H1" s="44"/>
      <c r="I1" s="44"/>
      <c r="J1" s="44"/>
      <c r="K1" s="44"/>
      <c r="L1" s="44"/>
      <c r="M1" s="44"/>
      <c r="N1" s="44"/>
      <c r="O1" s="281"/>
      <c r="P1" s="44"/>
      <c r="Q1" s="281"/>
      <c r="R1" s="44"/>
      <c r="S1" s="44"/>
      <c r="T1" s="134"/>
      <c r="U1" s="13"/>
    </row>
    <row r="2" spans="1:32" s="43" customFormat="1" ht="20.25" customHeight="1" x14ac:dyDescent="0.25">
      <c r="A2" s="200" t="str">
        <f>Paramètres!B5</f>
        <v>décompte provisoire 2021</v>
      </c>
      <c r="B2" s="42"/>
      <c r="C2" s="44"/>
      <c r="D2" s="44"/>
      <c r="E2" s="44"/>
      <c r="F2" s="44"/>
      <c r="G2" s="44"/>
      <c r="H2" s="44"/>
      <c r="I2" s="44"/>
      <c r="J2" s="44"/>
      <c r="K2" s="44"/>
      <c r="L2" s="44"/>
      <c r="M2" s="44"/>
      <c r="N2" s="44"/>
      <c r="O2" s="281"/>
      <c r="P2" s="44"/>
      <c r="Q2" s="281"/>
      <c r="R2" s="44"/>
      <c r="S2" s="44"/>
      <c r="T2" s="134"/>
      <c r="U2" s="400"/>
    </row>
    <row r="4" spans="1:32" ht="60" customHeight="1" x14ac:dyDescent="0.25">
      <c r="A4" s="581" t="s">
        <v>46</v>
      </c>
      <c r="B4" s="581" t="s">
        <v>94</v>
      </c>
      <c r="C4" s="578" t="s">
        <v>511</v>
      </c>
      <c r="D4" s="456" t="s">
        <v>554</v>
      </c>
      <c r="E4" s="496" t="s">
        <v>553</v>
      </c>
      <c r="F4" s="578" t="s">
        <v>526</v>
      </c>
      <c r="G4" s="578" t="s">
        <v>322</v>
      </c>
      <c r="H4" s="578" t="s">
        <v>323</v>
      </c>
      <c r="I4" s="578" t="s">
        <v>295</v>
      </c>
      <c r="J4" s="578" t="s">
        <v>44</v>
      </c>
      <c r="K4" s="277" t="s">
        <v>296</v>
      </c>
      <c r="L4" s="277" t="s">
        <v>208</v>
      </c>
      <c r="M4" s="456" t="s">
        <v>554</v>
      </c>
      <c r="N4" s="456" t="s">
        <v>555</v>
      </c>
      <c r="O4" s="578" t="s">
        <v>527</v>
      </c>
      <c r="P4" s="578" t="s">
        <v>45</v>
      </c>
      <c r="Q4" s="277" t="s">
        <v>209</v>
      </c>
      <c r="R4" s="277" t="s">
        <v>208</v>
      </c>
      <c r="S4" s="282" t="s">
        <v>357</v>
      </c>
      <c r="T4" s="316" t="s">
        <v>498</v>
      </c>
    </row>
    <row r="5" spans="1:32" x14ac:dyDescent="0.25">
      <c r="A5" s="582"/>
      <c r="B5" s="583"/>
      <c r="C5" s="579"/>
      <c r="D5" s="485" t="s">
        <v>439</v>
      </c>
      <c r="E5" s="485" t="s">
        <v>439</v>
      </c>
      <c r="F5" s="579"/>
      <c r="G5" s="579"/>
      <c r="H5" s="580"/>
      <c r="I5" s="579"/>
      <c r="J5" s="580"/>
      <c r="K5" s="279">
        <f>Paramètres!B37</f>
        <v>8</v>
      </c>
      <c r="L5" s="423" t="e">
        <f>+Paramètres!C37</f>
        <v>#DIV/0!</v>
      </c>
      <c r="M5" s="485" t="s">
        <v>439</v>
      </c>
      <c r="N5" s="485" t="s">
        <v>439</v>
      </c>
      <c r="O5" s="579"/>
      <c r="P5" s="579"/>
      <c r="Q5" s="287">
        <f>Paramètres!B38</f>
        <v>1</v>
      </c>
      <c r="R5" s="423" t="e">
        <f>+Paramètres!C38</f>
        <v>#DIV/0!</v>
      </c>
      <c r="S5" s="283" t="s">
        <v>439</v>
      </c>
      <c r="T5" s="318" t="s">
        <v>440</v>
      </c>
    </row>
    <row r="6" spans="1:32" x14ac:dyDescent="0.25">
      <c r="A6" s="46">
        <f>+'A) Base RI'!A7</f>
        <v>5401</v>
      </c>
      <c r="B6" s="458" t="str">
        <f>+'A) Base RI'!B7</f>
        <v>Aigle</v>
      </c>
      <c r="C6" s="297">
        <f>+'D) Ecrêtage'!C6</f>
        <v>280991.46517676767</v>
      </c>
      <c r="D6" s="430"/>
      <c r="E6" s="430"/>
      <c r="F6" s="429"/>
      <c r="G6" s="429"/>
      <c r="H6" s="428"/>
      <c r="I6" s="297">
        <f>SUM(F6:H6)</f>
        <v>0</v>
      </c>
      <c r="J6" s="278">
        <f t="shared" ref="J6:J69" si="0">+C6*$K$5</f>
        <v>2247931.7214141414</v>
      </c>
      <c r="K6" s="54">
        <f>IF(I6&gt;J6,I6-J6,0)</f>
        <v>0</v>
      </c>
      <c r="L6" s="295" t="e">
        <f>-K6*L$5</f>
        <v>#DIV/0!</v>
      </c>
      <c r="M6" s="10"/>
      <c r="N6" s="10"/>
      <c r="O6" s="433"/>
      <c r="P6" s="54">
        <f t="shared" ref="P6:P69" si="1">C6*Q$5</f>
        <v>280991.46517676767</v>
      </c>
      <c r="Q6" s="69">
        <f>IF(O6&gt;P6,O6-P6,0)</f>
        <v>0</v>
      </c>
      <c r="R6" s="128" t="e">
        <f>-Q6*R$5</f>
        <v>#DIV/0!</v>
      </c>
      <c r="S6" s="129" t="e">
        <f>R6+L6</f>
        <v>#DIV/0!</v>
      </c>
      <c r="T6" s="427" t="e">
        <f t="shared" ref="T6:T69" si="2">+S6/C6</f>
        <v>#DIV/0!</v>
      </c>
      <c r="U6" s="124"/>
      <c r="V6" s="493"/>
      <c r="W6" s="493"/>
      <c r="X6" s="493"/>
      <c r="Y6" s="493"/>
      <c r="Z6" s="493"/>
      <c r="AA6" s="493"/>
      <c r="AB6" s="413"/>
      <c r="AC6" s="413"/>
      <c r="AD6" s="413"/>
      <c r="AE6" s="413"/>
      <c r="AF6" s="413"/>
    </row>
    <row r="7" spans="1:32" x14ac:dyDescent="0.25">
      <c r="A7" s="49">
        <f>+'A) Base RI'!A8</f>
        <v>5402</v>
      </c>
      <c r="B7" s="458" t="str">
        <f>+'A) Base RI'!B8</f>
        <v>Bex</v>
      </c>
      <c r="C7" s="298">
        <f>+'D) Ecrêtage'!C7</f>
        <v>192706.98084507044</v>
      </c>
      <c r="D7" s="430"/>
      <c r="E7" s="430"/>
      <c r="F7" s="430"/>
      <c r="G7" s="430"/>
      <c r="H7" s="428"/>
      <c r="I7" s="298">
        <f t="shared" ref="I7:I69" si="3">SUM(F7:H7)</f>
        <v>0</v>
      </c>
      <c r="J7" s="278">
        <f t="shared" si="0"/>
        <v>1541655.8467605636</v>
      </c>
      <c r="K7" s="10">
        <f t="shared" ref="K7:K69" si="4">IF(I7&gt;J7,I7-J7,0)</f>
        <v>0</v>
      </c>
      <c r="L7" s="295" t="e">
        <f t="shared" ref="L7:L69" si="5">-K7*L$5</f>
        <v>#DIV/0!</v>
      </c>
      <c r="M7" s="10"/>
      <c r="N7" s="10"/>
      <c r="O7" s="432"/>
      <c r="P7" s="10">
        <f t="shared" si="1"/>
        <v>192706.98084507044</v>
      </c>
      <c r="Q7" s="14">
        <f t="shared" ref="Q7:Q69" si="6">IF(O7&gt;P7,O7-P7,0)</f>
        <v>0</v>
      </c>
      <c r="R7" s="2" t="e">
        <f t="shared" ref="R7:R69" si="7">-Q7*R$5</f>
        <v>#DIV/0!</v>
      </c>
      <c r="S7" s="130" t="e">
        <f t="shared" ref="S7:S69" si="8">R7+L7</f>
        <v>#DIV/0!</v>
      </c>
      <c r="T7" s="427" t="e">
        <f t="shared" si="2"/>
        <v>#DIV/0!</v>
      </c>
      <c r="U7" s="124"/>
      <c r="V7" s="493"/>
      <c r="W7" s="493"/>
      <c r="X7" s="493"/>
      <c r="Y7" s="493"/>
      <c r="Z7" s="493"/>
      <c r="AA7" s="493"/>
      <c r="AB7" s="413"/>
      <c r="AC7" s="413"/>
      <c r="AD7" s="413"/>
      <c r="AE7" s="413"/>
      <c r="AF7" s="413"/>
    </row>
    <row r="8" spans="1:32" x14ac:dyDescent="0.25">
      <c r="A8" s="49">
        <f>+'A) Base RI'!A9</f>
        <v>5403</v>
      </c>
      <c r="B8" s="458" t="str">
        <f>+'A) Base RI'!B9</f>
        <v>Chessel</v>
      </c>
      <c r="C8" s="298">
        <f>+'D) Ecrêtage'!C8</f>
        <v>12090.332702702703</v>
      </c>
      <c r="D8" s="430"/>
      <c r="E8" s="430"/>
      <c r="F8" s="430"/>
      <c r="G8" s="430"/>
      <c r="H8" s="428"/>
      <c r="I8" s="298">
        <f t="shared" si="3"/>
        <v>0</v>
      </c>
      <c r="J8" s="278">
        <f t="shared" si="0"/>
        <v>96722.661621621621</v>
      </c>
      <c r="K8" s="10">
        <f t="shared" si="4"/>
        <v>0</v>
      </c>
      <c r="L8" s="295" t="e">
        <f t="shared" si="5"/>
        <v>#DIV/0!</v>
      </c>
      <c r="M8" s="10"/>
      <c r="N8" s="10"/>
      <c r="O8" s="432"/>
      <c r="P8" s="10">
        <f t="shared" si="1"/>
        <v>12090.332702702703</v>
      </c>
      <c r="Q8" s="14">
        <f t="shared" si="6"/>
        <v>0</v>
      </c>
      <c r="R8" s="2" t="e">
        <f t="shared" si="7"/>
        <v>#DIV/0!</v>
      </c>
      <c r="S8" s="130" t="e">
        <f t="shared" si="8"/>
        <v>#DIV/0!</v>
      </c>
      <c r="T8" s="427" t="e">
        <f t="shared" si="2"/>
        <v>#DIV/0!</v>
      </c>
      <c r="U8" s="126"/>
      <c r="V8" s="493"/>
      <c r="W8" s="493"/>
      <c r="X8" s="493"/>
      <c r="Y8" s="493"/>
      <c r="Z8" s="493"/>
      <c r="AA8" s="493"/>
      <c r="AB8" s="413"/>
      <c r="AC8" s="413"/>
      <c r="AD8" s="413"/>
      <c r="AE8" s="413"/>
      <c r="AF8" s="413"/>
    </row>
    <row r="9" spans="1:32" x14ac:dyDescent="0.25">
      <c r="A9" s="49">
        <f>+'A) Base RI'!A10</f>
        <v>5404</v>
      </c>
      <c r="B9" s="458" t="str">
        <f>+'A) Base RI'!B10</f>
        <v>Corbeyrier</v>
      </c>
      <c r="C9" s="298">
        <f>+'D) Ecrêtage'!C9</f>
        <v>11581.118783783784</v>
      </c>
      <c r="D9" s="430"/>
      <c r="E9" s="430"/>
      <c r="F9" s="430"/>
      <c r="G9" s="430"/>
      <c r="H9" s="428"/>
      <c r="I9" s="298">
        <f t="shared" si="3"/>
        <v>0</v>
      </c>
      <c r="J9" s="278">
        <f t="shared" si="0"/>
        <v>92648.950270270274</v>
      </c>
      <c r="K9" s="10">
        <f t="shared" si="4"/>
        <v>0</v>
      </c>
      <c r="L9" s="295" t="e">
        <f t="shared" si="5"/>
        <v>#DIV/0!</v>
      </c>
      <c r="M9" s="10"/>
      <c r="N9" s="10"/>
      <c r="O9" s="432"/>
      <c r="P9" s="10">
        <f t="shared" si="1"/>
        <v>11581.118783783784</v>
      </c>
      <c r="Q9" s="14">
        <f t="shared" si="6"/>
        <v>0</v>
      </c>
      <c r="R9" s="2" t="e">
        <f t="shared" si="7"/>
        <v>#DIV/0!</v>
      </c>
      <c r="S9" s="130" t="e">
        <f t="shared" si="8"/>
        <v>#DIV/0!</v>
      </c>
      <c r="T9" s="427" t="e">
        <f t="shared" si="2"/>
        <v>#DIV/0!</v>
      </c>
      <c r="U9" s="126"/>
      <c r="V9" s="493"/>
      <c r="W9" s="493"/>
      <c r="X9" s="493"/>
      <c r="Y9" s="493"/>
      <c r="Z9" s="493"/>
      <c r="AA9" s="493"/>
      <c r="AB9" s="413"/>
      <c r="AC9" s="413"/>
      <c r="AD9" s="413"/>
      <c r="AE9" s="413"/>
      <c r="AF9" s="413"/>
    </row>
    <row r="10" spans="1:32" x14ac:dyDescent="0.25">
      <c r="A10" s="49">
        <f>+'A) Base RI'!A11</f>
        <v>5405</v>
      </c>
      <c r="B10" s="458" t="str">
        <f>+'A) Base RI'!B11</f>
        <v>Gryon</v>
      </c>
      <c r="C10" s="298">
        <f>+'D) Ecrêtage'!C10</f>
        <v>78111.135102040818</v>
      </c>
      <c r="D10" s="430"/>
      <c r="E10" s="430"/>
      <c r="F10" s="430"/>
      <c r="G10" s="430"/>
      <c r="H10" s="428"/>
      <c r="I10" s="298">
        <f t="shared" si="3"/>
        <v>0</v>
      </c>
      <c r="J10" s="278">
        <f t="shared" si="0"/>
        <v>624889.08081632655</v>
      </c>
      <c r="K10" s="10">
        <f t="shared" si="4"/>
        <v>0</v>
      </c>
      <c r="L10" s="295" t="e">
        <f t="shared" si="5"/>
        <v>#DIV/0!</v>
      </c>
      <c r="M10" s="10"/>
      <c r="N10" s="10"/>
      <c r="O10" s="432"/>
      <c r="P10" s="10">
        <f t="shared" si="1"/>
        <v>78111.135102040818</v>
      </c>
      <c r="Q10" s="14">
        <f t="shared" si="6"/>
        <v>0</v>
      </c>
      <c r="R10" s="2" t="e">
        <f t="shared" si="7"/>
        <v>#DIV/0!</v>
      </c>
      <c r="S10" s="130" t="e">
        <f t="shared" si="8"/>
        <v>#DIV/0!</v>
      </c>
      <c r="T10" s="427" t="e">
        <f t="shared" si="2"/>
        <v>#DIV/0!</v>
      </c>
      <c r="U10" s="126"/>
      <c r="V10" s="493"/>
      <c r="W10" s="493"/>
      <c r="X10" s="493"/>
      <c r="Y10" s="493"/>
      <c r="Z10" s="493"/>
      <c r="AA10" s="493"/>
      <c r="AB10" s="413"/>
      <c r="AC10" s="413"/>
      <c r="AD10" s="413"/>
      <c r="AE10" s="413"/>
      <c r="AF10" s="413"/>
    </row>
    <row r="11" spans="1:32" x14ac:dyDescent="0.25">
      <c r="A11" s="49">
        <f>+'A) Base RI'!A12</f>
        <v>5406</v>
      </c>
      <c r="B11" s="458" t="str">
        <f>+'A) Base RI'!B12</f>
        <v>Lavey-Morcles</v>
      </c>
      <c r="C11" s="298">
        <f>+'D) Ecrêtage'!C11</f>
        <v>21513.822183969878</v>
      </c>
      <c r="D11" s="430"/>
      <c r="E11" s="430"/>
      <c r="F11" s="430"/>
      <c r="G11" s="430"/>
      <c r="H11" s="428"/>
      <c r="I11" s="298">
        <f t="shared" si="3"/>
        <v>0</v>
      </c>
      <c r="J11" s="278">
        <f t="shared" si="0"/>
        <v>172110.57747175902</v>
      </c>
      <c r="K11" s="10">
        <f t="shared" si="4"/>
        <v>0</v>
      </c>
      <c r="L11" s="295" t="e">
        <f t="shared" si="5"/>
        <v>#DIV/0!</v>
      </c>
      <c r="M11" s="10"/>
      <c r="N11" s="10"/>
      <c r="O11" s="432"/>
      <c r="P11" s="10">
        <f t="shared" si="1"/>
        <v>21513.822183969878</v>
      </c>
      <c r="Q11" s="14">
        <f t="shared" si="6"/>
        <v>0</v>
      </c>
      <c r="R11" s="2" t="e">
        <f t="shared" si="7"/>
        <v>#DIV/0!</v>
      </c>
      <c r="S11" s="130" t="e">
        <f t="shared" si="8"/>
        <v>#DIV/0!</v>
      </c>
      <c r="T11" s="427" t="e">
        <f t="shared" si="2"/>
        <v>#DIV/0!</v>
      </c>
      <c r="U11" s="126"/>
      <c r="V11" s="493"/>
      <c r="W11" s="493"/>
      <c r="X11" s="493"/>
      <c r="Y11" s="493"/>
      <c r="Z11" s="493"/>
      <c r="AA11" s="493"/>
      <c r="AB11" s="413"/>
      <c r="AC11" s="413"/>
      <c r="AD11" s="413"/>
      <c r="AE11" s="413"/>
      <c r="AF11" s="413"/>
    </row>
    <row r="12" spans="1:32" x14ac:dyDescent="0.25">
      <c r="A12" s="49">
        <f>+'A) Base RI'!A13</f>
        <v>5407</v>
      </c>
      <c r="B12" s="458" t="str">
        <f>+'A) Base RI'!B13</f>
        <v>Leysin</v>
      </c>
      <c r="C12" s="298">
        <f>+'D) Ecrêtage'!C12</f>
        <v>90687.443803418792</v>
      </c>
      <c r="D12" s="430"/>
      <c r="E12" s="430"/>
      <c r="F12" s="430"/>
      <c r="G12" s="430"/>
      <c r="H12" s="428"/>
      <c r="I12" s="298">
        <f t="shared" si="3"/>
        <v>0</v>
      </c>
      <c r="J12" s="278">
        <f t="shared" si="0"/>
        <v>725499.55042735033</v>
      </c>
      <c r="K12" s="10">
        <f t="shared" si="4"/>
        <v>0</v>
      </c>
      <c r="L12" s="295" t="e">
        <f t="shared" si="5"/>
        <v>#DIV/0!</v>
      </c>
      <c r="M12" s="10"/>
      <c r="N12" s="10"/>
      <c r="O12" s="432"/>
      <c r="P12" s="10">
        <f t="shared" si="1"/>
        <v>90687.443803418792</v>
      </c>
      <c r="Q12" s="14">
        <f t="shared" si="6"/>
        <v>0</v>
      </c>
      <c r="R12" s="2" t="e">
        <f t="shared" si="7"/>
        <v>#DIV/0!</v>
      </c>
      <c r="S12" s="130" t="e">
        <f t="shared" si="8"/>
        <v>#DIV/0!</v>
      </c>
      <c r="T12" s="427" t="e">
        <f t="shared" si="2"/>
        <v>#DIV/0!</v>
      </c>
      <c r="U12" s="126"/>
      <c r="V12" s="493"/>
      <c r="W12" s="493"/>
      <c r="X12" s="493"/>
      <c r="Y12" s="493"/>
      <c r="Z12" s="493"/>
      <c r="AA12" s="493"/>
      <c r="AB12" s="413"/>
      <c r="AC12" s="413"/>
      <c r="AD12" s="413"/>
      <c r="AE12" s="413"/>
      <c r="AF12" s="413"/>
    </row>
    <row r="13" spans="1:32" x14ac:dyDescent="0.25">
      <c r="A13" s="49">
        <f>+'A) Base RI'!A14</f>
        <v>5408</v>
      </c>
      <c r="B13" s="458" t="str">
        <f>+'A) Base RI'!B14</f>
        <v>Noville</v>
      </c>
      <c r="C13" s="298">
        <f>+'D) Ecrêtage'!C13</f>
        <v>41389.442632696395</v>
      </c>
      <c r="D13" s="430"/>
      <c r="E13" s="430"/>
      <c r="F13" s="430"/>
      <c r="G13" s="430"/>
      <c r="H13" s="428"/>
      <c r="I13" s="298">
        <f t="shared" si="3"/>
        <v>0</v>
      </c>
      <c r="J13" s="278">
        <f t="shared" si="0"/>
        <v>331115.54106157116</v>
      </c>
      <c r="K13" s="10">
        <f t="shared" si="4"/>
        <v>0</v>
      </c>
      <c r="L13" s="295" t="e">
        <f t="shared" si="5"/>
        <v>#DIV/0!</v>
      </c>
      <c r="M13" s="10"/>
      <c r="N13" s="10"/>
      <c r="O13" s="432"/>
      <c r="P13" s="10">
        <f t="shared" si="1"/>
        <v>41389.442632696395</v>
      </c>
      <c r="Q13" s="14">
        <f t="shared" si="6"/>
        <v>0</v>
      </c>
      <c r="R13" s="2" t="e">
        <f t="shared" si="7"/>
        <v>#DIV/0!</v>
      </c>
      <c r="S13" s="130" t="e">
        <f t="shared" si="8"/>
        <v>#DIV/0!</v>
      </c>
      <c r="T13" s="427" t="e">
        <f t="shared" si="2"/>
        <v>#DIV/0!</v>
      </c>
      <c r="U13" s="126"/>
      <c r="V13" s="493"/>
      <c r="W13" s="493"/>
      <c r="X13" s="493"/>
      <c r="Y13" s="493"/>
      <c r="Z13" s="493"/>
      <c r="AA13" s="493"/>
      <c r="AB13" s="413"/>
      <c r="AC13" s="413"/>
      <c r="AD13" s="413"/>
      <c r="AE13" s="413"/>
      <c r="AF13" s="413"/>
    </row>
    <row r="14" spans="1:32" x14ac:dyDescent="0.25">
      <c r="A14" s="49">
        <f>+'A) Base RI'!A15</f>
        <v>5409</v>
      </c>
      <c r="B14" s="458" t="str">
        <f>+'A) Base RI'!B15</f>
        <v>Ollon</v>
      </c>
      <c r="C14" s="298">
        <f>+'D) Ecrêtage'!C14</f>
        <v>428262.96074660635</v>
      </c>
      <c r="D14" s="430"/>
      <c r="E14" s="430"/>
      <c r="F14" s="430"/>
      <c r="G14" s="430"/>
      <c r="H14" s="428"/>
      <c r="I14" s="298">
        <f t="shared" si="3"/>
        <v>0</v>
      </c>
      <c r="J14" s="278">
        <f t="shared" si="0"/>
        <v>3426103.6859728508</v>
      </c>
      <c r="K14" s="10">
        <f t="shared" si="4"/>
        <v>0</v>
      </c>
      <c r="L14" s="295" t="e">
        <f t="shared" si="5"/>
        <v>#DIV/0!</v>
      </c>
      <c r="M14" s="10"/>
      <c r="N14" s="10"/>
      <c r="O14" s="432"/>
      <c r="P14" s="10">
        <f t="shared" si="1"/>
        <v>428262.96074660635</v>
      </c>
      <c r="Q14" s="14">
        <f t="shared" si="6"/>
        <v>0</v>
      </c>
      <c r="R14" s="2" t="e">
        <f t="shared" si="7"/>
        <v>#DIV/0!</v>
      </c>
      <c r="S14" s="130" t="e">
        <f t="shared" si="8"/>
        <v>#DIV/0!</v>
      </c>
      <c r="T14" s="427" t="e">
        <f t="shared" si="2"/>
        <v>#DIV/0!</v>
      </c>
      <c r="U14" s="126"/>
      <c r="V14" s="493"/>
      <c r="W14" s="493"/>
      <c r="X14" s="493"/>
      <c r="Y14" s="493"/>
      <c r="Z14" s="493"/>
      <c r="AA14" s="493"/>
      <c r="AB14" s="413"/>
      <c r="AC14" s="413"/>
      <c r="AD14" s="413"/>
      <c r="AE14" s="413"/>
      <c r="AF14" s="413"/>
    </row>
    <row r="15" spans="1:32" x14ac:dyDescent="0.25">
      <c r="A15" s="49">
        <f>+'A) Base RI'!A16</f>
        <v>5410</v>
      </c>
      <c r="B15" s="458" t="str">
        <f>+'A) Base RI'!B16</f>
        <v>Ormont-Dessous</v>
      </c>
      <c r="C15" s="298">
        <f>+'D) Ecrêtage'!C15</f>
        <v>38607.205194805196</v>
      </c>
      <c r="D15" s="430"/>
      <c r="E15" s="430"/>
      <c r="F15" s="430"/>
      <c r="G15" s="430"/>
      <c r="H15" s="428"/>
      <c r="I15" s="298">
        <f t="shared" si="3"/>
        <v>0</v>
      </c>
      <c r="J15" s="278">
        <f t="shared" si="0"/>
        <v>308857.64155844157</v>
      </c>
      <c r="K15" s="10">
        <f t="shared" si="4"/>
        <v>0</v>
      </c>
      <c r="L15" s="295" t="e">
        <f t="shared" si="5"/>
        <v>#DIV/0!</v>
      </c>
      <c r="M15" s="10"/>
      <c r="N15" s="10"/>
      <c r="O15" s="432"/>
      <c r="P15" s="10">
        <f t="shared" si="1"/>
        <v>38607.205194805196</v>
      </c>
      <c r="Q15" s="14">
        <f t="shared" si="6"/>
        <v>0</v>
      </c>
      <c r="R15" s="2" t="e">
        <f t="shared" si="7"/>
        <v>#DIV/0!</v>
      </c>
      <c r="S15" s="130" t="e">
        <f t="shared" si="8"/>
        <v>#DIV/0!</v>
      </c>
      <c r="T15" s="427" t="e">
        <f t="shared" si="2"/>
        <v>#DIV/0!</v>
      </c>
      <c r="U15" s="126"/>
      <c r="V15" s="493"/>
      <c r="W15" s="493"/>
      <c r="X15" s="493"/>
      <c r="Y15" s="493"/>
      <c r="Z15" s="493"/>
      <c r="AA15" s="493"/>
      <c r="AB15" s="413"/>
      <c r="AC15" s="413"/>
      <c r="AD15" s="413"/>
      <c r="AE15" s="413"/>
      <c r="AF15" s="413"/>
    </row>
    <row r="16" spans="1:32" x14ac:dyDescent="0.25">
      <c r="A16" s="49">
        <f>+'A) Base RI'!A17</f>
        <v>5411</v>
      </c>
      <c r="B16" s="458" t="str">
        <f>+'A) Base RI'!B17</f>
        <v>Ormont-Dessus</v>
      </c>
      <c r="C16" s="298">
        <f>+'D) Ecrêtage'!C16</f>
        <v>77411.411228070181</v>
      </c>
      <c r="D16" s="430"/>
      <c r="E16" s="430"/>
      <c r="F16" s="430"/>
      <c r="G16" s="430"/>
      <c r="H16" s="428"/>
      <c r="I16" s="298">
        <f t="shared" si="3"/>
        <v>0</v>
      </c>
      <c r="J16" s="278">
        <f t="shared" si="0"/>
        <v>619291.28982456145</v>
      </c>
      <c r="K16" s="10">
        <f t="shared" si="4"/>
        <v>0</v>
      </c>
      <c r="L16" s="295" t="e">
        <f t="shared" si="5"/>
        <v>#DIV/0!</v>
      </c>
      <c r="M16" s="10"/>
      <c r="N16" s="10"/>
      <c r="O16" s="432"/>
      <c r="P16" s="10">
        <f t="shared" si="1"/>
        <v>77411.411228070181</v>
      </c>
      <c r="Q16" s="14">
        <f t="shared" si="6"/>
        <v>0</v>
      </c>
      <c r="R16" s="2" t="e">
        <f t="shared" si="7"/>
        <v>#DIV/0!</v>
      </c>
      <c r="S16" s="130" t="e">
        <f t="shared" si="8"/>
        <v>#DIV/0!</v>
      </c>
      <c r="T16" s="427" t="e">
        <f t="shared" si="2"/>
        <v>#DIV/0!</v>
      </c>
      <c r="U16" s="126"/>
      <c r="V16" s="493"/>
      <c r="W16" s="493"/>
      <c r="X16" s="493"/>
      <c r="Y16" s="493"/>
      <c r="Z16" s="493"/>
      <c r="AA16" s="493"/>
      <c r="AB16" s="413"/>
      <c r="AC16" s="413"/>
      <c r="AD16" s="413"/>
      <c r="AE16" s="413"/>
      <c r="AF16" s="413"/>
    </row>
    <row r="17" spans="1:32" x14ac:dyDescent="0.25">
      <c r="A17" s="49">
        <f>+'A) Base RI'!A18</f>
        <v>5412</v>
      </c>
      <c r="B17" s="458" t="str">
        <f>+'A) Base RI'!B18</f>
        <v>Rennaz</v>
      </c>
      <c r="C17" s="298">
        <f>+'D) Ecrêtage'!C17</f>
        <v>28875.999420289856</v>
      </c>
      <c r="D17" s="430"/>
      <c r="E17" s="430"/>
      <c r="F17" s="430"/>
      <c r="G17" s="430"/>
      <c r="H17" s="428"/>
      <c r="I17" s="298">
        <f t="shared" si="3"/>
        <v>0</v>
      </c>
      <c r="J17" s="278">
        <f t="shared" si="0"/>
        <v>231007.99536231885</v>
      </c>
      <c r="K17" s="10">
        <f t="shared" si="4"/>
        <v>0</v>
      </c>
      <c r="L17" s="295" t="e">
        <f t="shared" si="5"/>
        <v>#DIV/0!</v>
      </c>
      <c r="M17" s="10"/>
      <c r="N17" s="10"/>
      <c r="O17" s="432"/>
      <c r="P17" s="10">
        <f t="shared" si="1"/>
        <v>28875.999420289856</v>
      </c>
      <c r="Q17" s="14">
        <f t="shared" si="6"/>
        <v>0</v>
      </c>
      <c r="R17" s="2" t="e">
        <f t="shared" si="7"/>
        <v>#DIV/0!</v>
      </c>
      <c r="S17" s="130" t="e">
        <f t="shared" si="8"/>
        <v>#DIV/0!</v>
      </c>
      <c r="T17" s="427" t="e">
        <f t="shared" si="2"/>
        <v>#DIV/0!</v>
      </c>
      <c r="U17" s="126"/>
      <c r="V17" s="493"/>
      <c r="W17" s="493"/>
      <c r="X17" s="493"/>
      <c r="Y17" s="493"/>
      <c r="Z17" s="493"/>
      <c r="AA17" s="493"/>
      <c r="AB17" s="413"/>
      <c r="AC17" s="413"/>
      <c r="AD17" s="413"/>
      <c r="AE17" s="413"/>
      <c r="AF17" s="413"/>
    </row>
    <row r="18" spans="1:32" x14ac:dyDescent="0.25">
      <c r="A18" s="49">
        <f>+'A) Base RI'!A19</f>
        <v>5413</v>
      </c>
      <c r="B18" s="458" t="str">
        <f>+'A) Base RI'!B19</f>
        <v>Roche</v>
      </c>
      <c r="C18" s="298">
        <f>+'D) Ecrêtage'!C18</f>
        <v>43148.541249999987</v>
      </c>
      <c r="D18" s="430"/>
      <c r="E18" s="430"/>
      <c r="F18" s="430"/>
      <c r="G18" s="430"/>
      <c r="H18" s="428"/>
      <c r="I18" s="298">
        <f t="shared" si="3"/>
        <v>0</v>
      </c>
      <c r="J18" s="278">
        <f t="shared" si="0"/>
        <v>345188.3299999999</v>
      </c>
      <c r="K18" s="10">
        <f t="shared" si="4"/>
        <v>0</v>
      </c>
      <c r="L18" s="295" t="e">
        <f t="shared" si="5"/>
        <v>#DIV/0!</v>
      </c>
      <c r="M18" s="10"/>
      <c r="N18" s="10"/>
      <c r="O18" s="432"/>
      <c r="P18" s="10">
        <f t="shared" si="1"/>
        <v>43148.541249999987</v>
      </c>
      <c r="Q18" s="14">
        <f t="shared" si="6"/>
        <v>0</v>
      </c>
      <c r="R18" s="2" t="e">
        <f t="shared" si="7"/>
        <v>#DIV/0!</v>
      </c>
      <c r="S18" s="130" t="e">
        <f t="shared" si="8"/>
        <v>#DIV/0!</v>
      </c>
      <c r="T18" s="427" t="e">
        <f t="shared" si="2"/>
        <v>#DIV/0!</v>
      </c>
      <c r="U18" s="126"/>
      <c r="V18" s="493"/>
      <c r="W18" s="493"/>
      <c r="X18" s="493"/>
      <c r="Y18" s="493"/>
      <c r="Z18" s="493"/>
      <c r="AA18" s="493"/>
      <c r="AB18" s="413"/>
      <c r="AC18" s="413"/>
      <c r="AD18" s="413"/>
      <c r="AE18" s="413"/>
      <c r="AF18" s="413"/>
    </row>
    <row r="19" spans="1:32" x14ac:dyDescent="0.25">
      <c r="A19" s="49">
        <f>+'A) Base RI'!A20</f>
        <v>5414</v>
      </c>
      <c r="B19" s="458" t="str">
        <f>+'A) Base RI'!B20</f>
        <v>Villeneuve</v>
      </c>
      <c r="C19" s="298">
        <f>+'D) Ecrêtage'!C19</f>
        <v>185712.20711111111</v>
      </c>
      <c r="D19" s="430"/>
      <c r="E19" s="430"/>
      <c r="F19" s="430"/>
      <c r="G19" s="430"/>
      <c r="H19" s="428"/>
      <c r="I19" s="298">
        <f t="shared" si="3"/>
        <v>0</v>
      </c>
      <c r="J19" s="278">
        <f t="shared" si="0"/>
        <v>1485697.6568888889</v>
      </c>
      <c r="K19" s="10">
        <f t="shared" si="4"/>
        <v>0</v>
      </c>
      <c r="L19" s="295" t="e">
        <f t="shared" si="5"/>
        <v>#DIV/0!</v>
      </c>
      <c r="M19" s="10"/>
      <c r="N19" s="10"/>
      <c r="O19" s="432"/>
      <c r="P19" s="10">
        <f t="shared" si="1"/>
        <v>185712.20711111111</v>
      </c>
      <c r="Q19" s="14">
        <f t="shared" si="6"/>
        <v>0</v>
      </c>
      <c r="R19" s="2" t="e">
        <f t="shared" si="7"/>
        <v>#DIV/0!</v>
      </c>
      <c r="S19" s="130" t="e">
        <f t="shared" si="8"/>
        <v>#DIV/0!</v>
      </c>
      <c r="T19" s="427" t="e">
        <f t="shared" si="2"/>
        <v>#DIV/0!</v>
      </c>
      <c r="U19" s="126"/>
      <c r="V19" s="493"/>
      <c r="W19" s="493"/>
      <c r="X19" s="493"/>
      <c r="Y19" s="493"/>
      <c r="Z19" s="493"/>
      <c r="AA19" s="493"/>
      <c r="AB19" s="413"/>
      <c r="AC19" s="413"/>
      <c r="AD19" s="413"/>
      <c r="AE19" s="413"/>
      <c r="AF19" s="413"/>
    </row>
    <row r="20" spans="1:32" x14ac:dyDescent="0.25">
      <c r="A20" s="49">
        <f>+'A) Base RI'!A21</f>
        <v>5415</v>
      </c>
      <c r="B20" s="458" t="str">
        <f>+'A) Base RI'!B21</f>
        <v>Yvorne</v>
      </c>
      <c r="C20" s="298">
        <f>+'D) Ecrêtage'!C20</f>
        <v>35910.274638694631</v>
      </c>
      <c r="D20" s="430"/>
      <c r="E20" s="430"/>
      <c r="F20" s="430"/>
      <c r="G20" s="430"/>
      <c r="H20" s="428"/>
      <c r="I20" s="298">
        <f t="shared" si="3"/>
        <v>0</v>
      </c>
      <c r="J20" s="278">
        <f t="shared" si="0"/>
        <v>287282.19710955705</v>
      </c>
      <c r="K20" s="10">
        <f t="shared" si="4"/>
        <v>0</v>
      </c>
      <c r="L20" s="295" t="e">
        <f t="shared" si="5"/>
        <v>#DIV/0!</v>
      </c>
      <c r="M20" s="10"/>
      <c r="N20" s="10"/>
      <c r="O20" s="432"/>
      <c r="P20" s="10">
        <f t="shared" si="1"/>
        <v>35910.274638694631</v>
      </c>
      <c r="Q20" s="14">
        <f t="shared" si="6"/>
        <v>0</v>
      </c>
      <c r="R20" s="2" t="e">
        <f t="shared" si="7"/>
        <v>#DIV/0!</v>
      </c>
      <c r="S20" s="130" t="e">
        <f t="shared" si="8"/>
        <v>#DIV/0!</v>
      </c>
      <c r="T20" s="427" t="e">
        <f t="shared" si="2"/>
        <v>#DIV/0!</v>
      </c>
      <c r="U20" s="126"/>
      <c r="V20" s="493"/>
      <c r="W20" s="493"/>
      <c r="X20" s="493"/>
      <c r="Y20" s="493"/>
      <c r="Z20" s="493"/>
      <c r="AA20" s="493"/>
      <c r="AB20" s="413"/>
      <c r="AC20" s="413"/>
      <c r="AD20" s="413"/>
      <c r="AE20" s="413"/>
      <c r="AF20" s="413"/>
    </row>
    <row r="21" spans="1:32" x14ac:dyDescent="0.25">
      <c r="A21" s="49">
        <f>+'A) Base RI'!A22</f>
        <v>5421</v>
      </c>
      <c r="B21" s="458" t="str">
        <f>+'A) Base RI'!B22</f>
        <v>Apples</v>
      </c>
      <c r="C21" s="298">
        <f>+'D) Ecrêtage'!C21</f>
        <v>68531.648243243253</v>
      </c>
      <c r="D21" s="430"/>
      <c r="E21" s="430"/>
      <c r="F21" s="430"/>
      <c r="G21" s="430"/>
      <c r="H21" s="428"/>
      <c r="I21" s="298">
        <f t="shared" si="3"/>
        <v>0</v>
      </c>
      <c r="J21" s="278">
        <f t="shared" si="0"/>
        <v>548253.18594594602</v>
      </c>
      <c r="K21" s="10">
        <f t="shared" si="4"/>
        <v>0</v>
      </c>
      <c r="L21" s="295" t="e">
        <f t="shared" si="5"/>
        <v>#DIV/0!</v>
      </c>
      <c r="M21" s="10"/>
      <c r="N21" s="10"/>
      <c r="O21" s="432"/>
      <c r="P21" s="10">
        <f t="shared" si="1"/>
        <v>68531.648243243253</v>
      </c>
      <c r="Q21" s="14">
        <f t="shared" si="6"/>
        <v>0</v>
      </c>
      <c r="R21" s="2" t="e">
        <f t="shared" si="7"/>
        <v>#DIV/0!</v>
      </c>
      <c r="S21" s="130" t="e">
        <f t="shared" si="8"/>
        <v>#DIV/0!</v>
      </c>
      <c r="T21" s="427" t="e">
        <f t="shared" si="2"/>
        <v>#DIV/0!</v>
      </c>
      <c r="U21" s="126"/>
      <c r="V21" s="493"/>
      <c r="W21" s="493"/>
      <c r="X21" s="493"/>
      <c r="Y21" s="493"/>
      <c r="Z21" s="493"/>
      <c r="AA21" s="493"/>
      <c r="AB21" s="413"/>
      <c r="AC21" s="413"/>
      <c r="AD21" s="413"/>
      <c r="AE21" s="413"/>
      <c r="AF21" s="413"/>
    </row>
    <row r="22" spans="1:32" x14ac:dyDescent="0.25">
      <c r="A22" s="49">
        <f>+'A) Base RI'!A23</f>
        <v>5422</v>
      </c>
      <c r="B22" s="458" t="str">
        <f>+'A) Base RI'!B23</f>
        <v>Aubonne</v>
      </c>
      <c r="C22" s="298">
        <f>+'D) Ecrêtage'!C22</f>
        <v>364706.48499999999</v>
      </c>
      <c r="D22" s="430"/>
      <c r="E22" s="430"/>
      <c r="F22" s="430"/>
      <c r="G22" s="430"/>
      <c r="H22" s="428"/>
      <c r="I22" s="298">
        <f t="shared" si="3"/>
        <v>0</v>
      </c>
      <c r="J22" s="278">
        <f t="shared" si="0"/>
        <v>2917651.88</v>
      </c>
      <c r="K22" s="10">
        <f t="shared" si="4"/>
        <v>0</v>
      </c>
      <c r="L22" s="295" t="e">
        <f t="shared" si="5"/>
        <v>#DIV/0!</v>
      </c>
      <c r="M22" s="10"/>
      <c r="N22" s="10"/>
      <c r="O22" s="432"/>
      <c r="P22" s="10">
        <f t="shared" si="1"/>
        <v>364706.48499999999</v>
      </c>
      <c r="Q22" s="14">
        <f t="shared" si="6"/>
        <v>0</v>
      </c>
      <c r="R22" s="2" t="e">
        <f t="shared" si="7"/>
        <v>#DIV/0!</v>
      </c>
      <c r="S22" s="130" t="e">
        <f t="shared" si="8"/>
        <v>#DIV/0!</v>
      </c>
      <c r="T22" s="427" t="e">
        <f t="shared" si="2"/>
        <v>#DIV/0!</v>
      </c>
      <c r="U22" s="126"/>
      <c r="V22" s="493"/>
      <c r="W22" s="493"/>
      <c r="X22" s="493"/>
      <c r="Y22" s="493"/>
      <c r="Z22" s="493"/>
      <c r="AA22" s="493"/>
      <c r="AB22" s="413"/>
      <c r="AC22" s="413"/>
      <c r="AD22" s="413"/>
      <c r="AE22" s="413"/>
      <c r="AF22" s="413"/>
    </row>
    <row r="23" spans="1:32" x14ac:dyDescent="0.25">
      <c r="A23" s="49">
        <f>+'A) Base RI'!A24</f>
        <v>5423</v>
      </c>
      <c r="B23" s="458" t="str">
        <f>+'A) Base RI'!B24</f>
        <v>Ballens</v>
      </c>
      <c r="C23" s="298">
        <f>+'D) Ecrêtage'!C23</f>
        <v>16194.440273972601</v>
      </c>
      <c r="D23" s="430"/>
      <c r="E23" s="430"/>
      <c r="F23" s="430"/>
      <c r="G23" s="430"/>
      <c r="H23" s="428"/>
      <c r="I23" s="298">
        <f t="shared" si="3"/>
        <v>0</v>
      </c>
      <c r="J23" s="278">
        <f t="shared" si="0"/>
        <v>129555.52219178081</v>
      </c>
      <c r="K23" s="10">
        <f t="shared" si="4"/>
        <v>0</v>
      </c>
      <c r="L23" s="295" t="e">
        <f t="shared" si="5"/>
        <v>#DIV/0!</v>
      </c>
      <c r="M23" s="10"/>
      <c r="N23" s="10"/>
      <c r="O23" s="432"/>
      <c r="P23" s="10">
        <f t="shared" si="1"/>
        <v>16194.440273972601</v>
      </c>
      <c r="Q23" s="14">
        <f t="shared" si="6"/>
        <v>0</v>
      </c>
      <c r="R23" s="2" t="e">
        <f t="shared" si="7"/>
        <v>#DIV/0!</v>
      </c>
      <c r="S23" s="130" t="e">
        <f t="shared" si="8"/>
        <v>#DIV/0!</v>
      </c>
      <c r="T23" s="427" t="e">
        <f t="shared" si="2"/>
        <v>#DIV/0!</v>
      </c>
      <c r="U23" s="126"/>
      <c r="V23" s="493"/>
      <c r="W23" s="493"/>
      <c r="X23" s="493"/>
      <c r="Y23" s="493"/>
      <c r="Z23" s="493"/>
      <c r="AA23" s="493"/>
      <c r="AB23" s="413"/>
      <c r="AC23" s="413"/>
      <c r="AD23" s="413"/>
      <c r="AE23" s="413"/>
      <c r="AF23" s="413"/>
    </row>
    <row r="24" spans="1:32" x14ac:dyDescent="0.25">
      <c r="A24" s="49">
        <f>+'A) Base RI'!A25</f>
        <v>5424</v>
      </c>
      <c r="B24" s="458" t="str">
        <f>+'A) Base RI'!B25</f>
        <v>Berolle</v>
      </c>
      <c r="C24" s="298">
        <f>+'D) Ecrêtage'!C24</f>
        <v>8301.8684768211915</v>
      </c>
      <c r="D24" s="430"/>
      <c r="E24" s="430"/>
      <c r="F24" s="430"/>
      <c r="G24" s="430"/>
      <c r="H24" s="428"/>
      <c r="I24" s="298">
        <f t="shared" si="3"/>
        <v>0</v>
      </c>
      <c r="J24" s="278">
        <f t="shared" si="0"/>
        <v>66414.947814569532</v>
      </c>
      <c r="K24" s="10">
        <f t="shared" si="4"/>
        <v>0</v>
      </c>
      <c r="L24" s="295" t="e">
        <f t="shared" si="5"/>
        <v>#DIV/0!</v>
      </c>
      <c r="M24" s="10"/>
      <c r="N24" s="10"/>
      <c r="O24" s="432"/>
      <c r="P24" s="10">
        <f t="shared" si="1"/>
        <v>8301.8684768211915</v>
      </c>
      <c r="Q24" s="14">
        <f t="shared" si="6"/>
        <v>0</v>
      </c>
      <c r="R24" s="2" t="e">
        <f t="shared" si="7"/>
        <v>#DIV/0!</v>
      </c>
      <c r="S24" s="130" t="e">
        <f t="shared" si="8"/>
        <v>#DIV/0!</v>
      </c>
      <c r="T24" s="427" t="e">
        <f t="shared" si="2"/>
        <v>#DIV/0!</v>
      </c>
      <c r="U24" s="126"/>
      <c r="V24" s="493"/>
      <c r="W24" s="493"/>
      <c r="X24" s="493"/>
      <c r="Y24" s="493"/>
      <c r="Z24" s="493"/>
      <c r="AA24" s="493"/>
      <c r="AB24" s="413"/>
      <c r="AC24" s="413"/>
      <c r="AD24" s="413"/>
      <c r="AE24" s="413"/>
      <c r="AF24" s="413"/>
    </row>
    <row r="25" spans="1:32" x14ac:dyDescent="0.25">
      <c r="A25" s="49">
        <f>+'A) Base RI'!A26</f>
        <v>5425</v>
      </c>
      <c r="B25" s="458" t="str">
        <f>+'A) Base RI'!B26</f>
        <v>Bière</v>
      </c>
      <c r="C25" s="298">
        <f>+'D) Ecrêtage'!C25</f>
        <v>44230.498130934531</v>
      </c>
      <c r="D25" s="430"/>
      <c r="E25" s="430"/>
      <c r="F25" s="430"/>
      <c r="G25" s="430"/>
      <c r="H25" s="428"/>
      <c r="I25" s="298">
        <f t="shared" si="3"/>
        <v>0</v>
      </c>
      <c r="J25" s="278">
        <f t="shared" si="0"/>
        <v>353843.98504747625</v>
      </c>
      <c r="K25" s="10">
        <f t="shared" si="4"/>
        <v>0</v>
      </c>
      <c r="L25" s="295" t="e">
        <f t="shared" si="5"/>
        <v>#DIV/0!</v>
      </c>
      <c r="M25" s="10"/>
      <c r="N25" s="10"/>
      <c r="O25" s="432"/>
      <c r="P25" s="10">
        <f t="shared" si="1"/>
        <v>44230.498130934531</v>
      </c>
      <c r="Q25" s="14">
        <f t="shared" si="6"/>
        <v>0</v>
      </c>
      <c r="R25" s="2" t="e">
        <f t="shared" si="7"/>
        <v>#DIV/0!</v>
      </c>
      <c r="S25" s="130" t="e">
        <f t="shared" si="8"/>
        <v>#DIV/0!</v>
      </c>
      <c r="T25" s="427" t="e">
        <f t="shared" si="2"/>
        <v>#DIV/0!</v>
      </c>
      <c r="U25" s="126"/>
      <c r="V25" s="493"/>
      <c r="W25" s="493"/>
      <c r="X25" s="493"/>
      <c r="Y25" s="493"/>
      <c r="Z25" s="493"/>
      <c r="AA25" s="493"/>
      <c r="AB25" s="413"/>
      <c r="AC25" s="413"/>
      <c r="AD25" s="413"/>
      <c r="AE25" s="413"/>
      <c r="AF25" s="413"/>
    </row>
    <row r="26" spans="1:32" x14ac:dyDescent="0.25">
      <c r="A26" s="49">
        <f>+'A) Base RI'!A27</f>
        <v>5426</v>
      </c>
      <c r="B26" s="458" t="str">
        <f>+'A) Base RI'!B27</f>
        <v>Bougy-Villars</v>
      </c>
      <c r="C26" s="298">
        <f>+'D) Ecrêtage'!C26</f>
        <v>53043.718423772611</v>
      </c>
      <c r="D26" s="430"/>
      <c r="E26" s="430"/>
      <c r="F26" s="430"/>
      <c r="G26" s="430"/>
      <c r="H26" s="428"/>
      <c r="I26" s="298">
        <f t="shared" si="3"/>
        <v>0</v>
      </c>
      <c r="J26" s="278">
        <f t="shared" si="0"/>
        <v>424349.74739018088</v>
      </c>
      <c r="K26" s="10">
        <f t="shared" si="4"/>
        <v>0</v>
      </c>
      <c r="L26" s="295" t="e">
        <f t="shared" si="5"/>
        <v>#DIV/0!</v>
      </c>
      <c r="M26" s="10"/>
      <c r="N26" s="10"/>
      <c r="O26" s="432"/>
      <c r="P26" s="10">
        <f t="shared" si="1"/>
        <v>53043.718423772611</v>
      </c>
      <c r="Q26" s="14">
        <f t="shared" si="6"/>
        <v>0</v>
      </c>
      <c r="R26" s="2" t="e">
        <f t="shared" si="7"/>
        <v>#DIV/0!</v>
      </c>
      <c r="S26" s="130" t="e">
        <f t="shared" si="8"/>
        <v>#DIV/0!</v>
      </c>
      <c r="T26" s="427" t="e">
        <f t="shared" si="2"/>
        <v>#DIV/0!</v>
      </c>
      <c r="U26" s="126"/>
      <c r="V26" s="493"/>
      <c r="W26" s="493"/>
      <c r="X26" s="493"/>
      <c r="Y26" s="493"/>
      <c r="Z26" s="493"/>
      <c r="AA26" s="493"/>
      <c r="AB26" s="413"/>
      <c r="AC26" s="413"/>
      <c r="AD26" s="413"/>
      <c r="AE26" s="413"/>
      <c r="AF26" s="413"/>
    </row>
    <row r="27" spans="1:32" x14ac:dyDescent="0.25">
      <c r="A27" s="49">
        <f>+'A) Base RI'!A28</f>
        <v>5427</v>
      </c>
      <c r="B27" s="458" t="str">
        <f>+'A) Base RI'!B28</f>
        <v>Féchy</v>
      </c>
      <c r="C27" s="298">
        <f>+'D) Ecrêtage'!C27</f>
        <v>88218.508882211536</v>
      </c>
      <c r="D27" s="430"/>
      <c r="E27" s="430"/>
      <c r="F27" s="430"/>
      <c r="G27" s="430"/>
      <c r="H27" s="428"/>
      <c r="I27" s="298">
        <f t="shared" si="3"/>
        <v>0</v>
      </c>
      <c r="J27" s="278">
        <f t="shared" si="0"/>
        <v>705748.07105769229</v>
      </c>
      <c r="K27" s="10">
        <f t="shared" si="4"/>
        <v>0</v>
      </c>
      <c r="L27" s="295" t="e">
        <f t="shared" si="5"/>
        <v>#DIV/0!</v>
      </c>
      <c r="M27" s="10"/>
      <c r="N27" s="10"/>
      <c r="O27" s="432"/>
      <c r="P27" s="10">
        <f t="shared" si="1"/>
        <v>88218.508882211536</v>
      </c>
      <c r="Q27" s="14">
        <f t="shared" si="6"/>
        <v>0</v>
      </c>
      <c r="R27" s="2" t="e">
        <f t="shared" si="7"/>
        <v>#DIV/0!</v>
      </c>
      <c r="S27" s="130" t="e">
        <f t="shared" si="8"/>
        <v>#DIV/0!</v>
      </c>
      <c r="T27" s="427" t="e">
        <f t="shared" si="2"/>
        <v>#DIV/0!</v>
      </c>
      <c r="U27" s="126"/>
      <c r="V27" s="493"/>
      <c r="W27" s="493"/>
      <c r="X27" s="493"/>
      <c r="Y27" s="493"/>
      <c r="Z27" s="493"/>
      <c r="AA27" s="493"/>
      <c r="AB27" s="413"/>
      <c r="AC27" s="413"/>
      <c r="AD27" s="413"/>
      <c r="AE27" s="413"/>
      <c r="AF27" s="413"/>
    </row>
    <row r="28" spans="1:32" x14ac:dyDescent="0.25">
      <c r="A28" s="49">
        <f>+'A) Base RI'!A29</f>
        <v>5428</v>
      </c>
      <c r="B28" s="458" t="str">
        <f>+'A) Base RI'!B29</f>
        <v>Gimel</v>
      </c>
      <c r="C28" s="298">
        <f>+'D) Ecrêtage'!C28</f>
        <v>70558.698881431759</v>
      </c>
      <c r="D28" s="430"/>
      <c r="E28" s="430"/>
      <c r="F28" s="430"/>
      <c r="G28" s="430"/>
      <c r="H28" s="428"/>
      <c r="I28" s="298">
        <f t="shared" si="3"/>
        <v>0</v>
      </c>
      <c r="J28" s="278">
        <f t="shared" si="0"/>
        <v>564469.59105145407</v>
      </c>
      <c r="K28" s="10">
        <f t="shared" si="4"/>
        <v>0</v>
      </c>
      <c r="L28" s="295" t="e">
        <f t="shared" si="5"/>
        <v>#DIV/0!</v>
      </c>
      <c r="M28" s="10"/>
      <c r="N28" s="10"/>
      <c r="O28" s="432"/>
      <c r="P28" s="10">
        <f t="shared" si="1"/>
        <v>70558.698881431759</v>
      </c>
      <c r="Q28" s="14">
        <f t="shared" si="6"/>
        <v>0</v>
      </c>
      <c r="R28" s="2" t="e">
        <f t="shared" si="7"/>
        <v>#DIV/0!</v>
      </c>
      <c r="S28" s="130" t="e">
        <f t="shared" si="8"/>
        <v>#DIV/0!</v>
      </c>
      <c r="T28" s="427" t="e">
        <f t="shared" si="2"/>
        <v>#DIV/0!</v>
      </c>
      <c r="U28" s="126"/>
      <c r="V28" s="493"/>
      <c r="W28" s="493"/>
      <c r="X28" s="493"/>
      <c r="Y28" s="493"/>
      <c r="Z28" s="493"/>
      <c r="AA28" s="493"/>
      <c r="AB28" s="413"/>
      <c r="AC28" s="413"/>
      <c r="AD28" s="413"/>
      <c r="AE28" s="413"/>
      <c r="AF28" s="413"/>
    </row>
    <row r="29" spans="1:32" x14ac:dyDescent="0.25">
      <c r="A29" s="49">
        <f>+'A) Base RI'!A30</f>
        <v>5429</v>
      </c>
      <c r="B29" s="458" t="str">
        <f>+'A) Base RI'!B30</f>
        <v>Longirod</v>
      </c>
      <c r="C29" s="298">
        <f>+'D) Ecrêtage'!C29</f>
        <v>18574.452387096771</v>
      </c>
      <c r="D29" s="430"/>
      <c r="E29" s="430"/>
      <c r="F29" s="430"/>
      <c r="G29" s="430"/>
      <c r="H29" s="428"/>
      <c r="I29" s="298">
        <f t="shared" si="3"/>
        <v>0</v>
      </c>
      <c r="J29" s="278">
        <f t="shared" si="0"/>
        <v>148595.61909677417</v>
      </c>
      <c r="K29" s="10">
        <f t="shared" si="4"/>
        <v>0</v>
      </c>
      <c r="L29" s="295" t="e">
        <f t="shared" si="5"/>
        <v>#DIV/0!</v>
      </c>
      <c r="M29" s="10"/>
      <c r="N29" s="10"/>
      <c r="O29" s="432"/>
      <c r="P29" s="10">
        <f t="shared" si="1"/>
        <v>18574.452387096771</v>
      </c>
      <c r="Q29" s="14">
        <f t="shared" si="6"/>
        <v>0</v>
      </c>
      <c r="R29" s="2" t="e">
        <f t="shared" si="7"/>
        <v>#DIV/0!</v>
      </c>
      <c r="S29" s="130" t="e">
        <f t="shared" si="8"/>
        <v>#DIV/0!</v>
      </c>
      <c r="T29" s="427" t="e">
        <f t="shared" si="2"/>
        <v>#DIV/0!</v>
      </c>
      <c r="U29" s="126"/>
      <c r="V29" s="493"/>
      <c r="W29" s="493"/>
      <c r="X29" s="493"/>
      <c r="Y29" s="493"/>
      <c r="Z29" s="493"/>
      <c r="AA29" s="493"/>
      <c r="AB29" s="413"/>
      <c r="AC29" s="413"/>
      <c r="AD29" s="413"/>
      <c r="AE29" s="413"/>
      <c r="AF29" s="413"/>
    </row>
    <row r="30" spans="1:32" x14ac:dyDescent="0.25">
      <c r="A30" s="49">
        <f>+'A) Base RI'!A31</f>
        <v>5430</v>
      </c>
      <c r="B30" s="458" t="str">
        <f>+'A) Base RI'!B31</f>
        <v>Marchissy</v>
      </c>
      <c r="C30" s="298">
        <f>+'D) Ecrêtage'!C30</f>
        <v>15580.981548387101</v>
      </c>
      <c r="D30" s="430"/>
      <c r="E30" s="430"/>
      <c r="F30" s="430"/>
      <c r="G30" s="430"/>
      <c r="H30" s="428"/>
      <c r="I30" s="298">
        <f t="shared" si="3"/>
        <v>0</v>
      </c>
      <c r="J30" s="278">
        <f t="shared" si="0"/>
        <v>124647.85238709681</v>
      </c>
      <c r="K30" s="10">
        <f t="shared" si="4"/>
        <v>0</v>
      </c>
      <c r="L30" s="295" t="e">
        <f t="shared" si="5"/>
        <v>#DIV/0!</v>
      </c>
      <c r="M30" s="10"/>
      <c r="N30" s="10"/>
      <c r="O30" s="432"/>
      <c r="P30" s="10">
        <f t="shared" si="1"/>
        <v>15580.981548387101</v>
      </c>
      <c r="Q30" s="14">
        <f t="shared" si="6"/>
        <v>0</v>
      </c>
      <c r="R30" s="2" t="e">
        <f t="shared" si="7"/>
        <v>#DIV/0!</v>
      </c>
      <c r="S30" s="130" t="e">
        <f t="shared" si="8"/>
        <v>#DIV/0!</v>
      </c>
      <c r="T30" s="427" t="e">
        <f t="shared" si="2"/>
        <v>#DIV/0!</v>
      </c>
      <c r="U30" s="126"/>
      <c r="V30" s="493"/>
      <c r="W30" s="493"/>
      <c r="X30" s="493"/>
      <c r="Y30" s="493"/>
      <c r="Z30" s="493"/>
      <c r="AA30" s="493"/>
      <c r="AB30" s="413"/>
      <c r="AC30" s="413"/>
      <c r="AD30" s="413"/>
      <c r="AE30" s="413"/>
      <c r="AF30" s="413"/>
    </row>
    <row r="31" spans="1:32" x14ac:dyDescent="0.25">
      <c r="A31" s="49">
        <f>+'A) Base RI'!A32</f>
        <v>5431</v>
      </c>
      <c r="B31" s="458" t="str">
        <f>+'A) Base RI'!B32</f>
        <v>Mollens</v>
      </c>
      <c r="C31" s="298">
        <f>+'D) Ecrêtage'!C31</f>
        <v>10464.972567567567</v>
      </c>
      <c r="D31" s="430"/>
      <c r="E31" s="430"/>
      <c r="F31" s="430"/>
      <c r="G31" s="430"/>
      <c r="H31" s="428"/>
      <c r="I31" s="298">
        <f t="shared" si="3"/>
        <v>0</v>
      </c>
      <c r="J31" s="278">
        <f t="shared" si="0"/>
        <v>83719.780540540538</v>
      </c>
      <c r="K31" s="10">
        <f t="shared" si="4"/>
        <v>0</v>
      </c>
      <c r="L31" s="295" t="e">
        <f t="shared" si="5"/>
        <v>#DIV/0!</v>
      </c>
      <c r="M31" s="10"/>
      <c r="N31" s="10"/>
      <c r="O31" s="432"/>
      <c r="P31" s="10">
        <f t="shared" si="1"/>
        <v>10464.972567567567</v>
      </c>
      <c r="Q31" s="14">
        <f t="shared" si="6"/>
        <v>0</v>
      </c>
      <c r="R31" s="2" t="e">
        <f t="shared" si="7"/>
        <v>#DIV/0!</v>
      </c>
      <c r="S31" s="130" t="e">
        <f t="shared" si="8"/>
        <v>#DIV/0!</v>
      </c>
      <c r="T31" s="427" t="e">
        <f t="shared" si="2"/>
        <v>#DIV/0!</v>
      </c>
      <c r="U31" s="126"/>
      <c r="V31" s="493"/>
      <c r="W31" s="493"/>
      <c r="X31" s="493"/>
      <c r="Y31" s="493"/>
      <c r="Z31" s="493"/>
      <c r="AA31" s="493"/>
      <c r="AB31" s="413"/>
      <c r="AC31" s="413"/>
      <c r="AD31" s="413"/>
      <c r="AE31" s="413"/>
      <c r="AF31" s="413"/>
    </row>
    <row r="32" spans="1:32" x14ac:dyDescent="0.25">
      <c r="A32" s="49">
        <f>+'A) Base RI'!A33</f>
        <v>5434</v>
      </c>
      <c r="B32" s="458" t="str">
        <f>+'A) Base RI'!B33</f>
        <v>Saint-George</v>
      </c>
      <c r="C32" s="298">
        <f>+'D) Ecrêtage'!C32</f>
        <v>43544.748513189443</v>
      </c>
      <c r="D32" s="430"/>
      <c r="E32" s="430"/>
      <c r="F32" s="430"/>
      <c r="G32" s="430"/>
      <c r="H32" s="428"/>
      <c r="I32" s="298">
        <f t="shared" si="3"/>
        <v>0</v>
      </c>
      <c r="J32" s="278">
        <f t="shared" si="0"/>
        <v>348357.98810551554</v>
      </c>
      <c r="K32" s="10">
        <f t="shared" si="4"/>
        <v>0</v>
      </c>
      <c r="L32" s="295" t="e">
        <f t="shared" si="5"/>
        <v>#DIV/0!</v>
      </c>
      <c r="M32" s="10"/>
      <c r="N32" s="10"/>
      <c r="O32" s="432"/>
      <c r="P32" s="10">
        <f t="shared" si="1"/>
        <v>43544.748513189443</v>
      </c>
      <c r="Q32" s="14">
        <f t="shared" si="6"/>
        <v>0</v>
      </c>
      <c r="R32" s="2" t="e">
        <f t="shared" si="7"/>
        <v>#DIV/0!</v>
      </c>
      <c r="S32" s="130" t="e">
        <f t="shared" si="8"/>
        <v>#DIV/0!</v>
      </c>
      <c r="T32" s="427" t="e">
        <f t="shared" si="2"/>
        <v>#DIV/0!</v>
      </c>
      <c r="U32" s="126"/>
      <c r="V32" s="493"/>
      <c r="W32" s="493"/>
      <c r="X32" s="493"/>
      <c r="Y32" s="493"/>
      <c r="Z32" s="493"/>
      <c r="AA32" s="493"/>
      <c r="AB32" s="413"/>
      <c r="AC32" s="413"/>
      <c r="AD32" s="413"/>
      <c r="AE32" s="413"/>
      <c r="AF32" s="413"/>
    </row>
    <row r="33" spans="1:32" x14ac:dyDescent="0.25">
      <c r="A33" s="49">
        <f>+'A) Base RI'!A34</f>
        <v>5435</v>
      </c>
      <c r="B33" s="458" t="str">
        <f>+'A) Base RI'!B34</f>
        <v>Saint-Livres</v>
      </c>
      <c r="C33" s="298">
        <f>+'D) Ecrêtage'!C33</f>
        <v>25854.309855072468</v>
      </c>
      <c r="D33" s="430"/>
      <c r="E33" s="430"/>
      <c r="F33" s="430"/>
      <c r="G33" s="430"/>
      <c r="H33" s="428"/>
      <c r="I33" s="298">
        <f t="shared" si="3"/>
        <v>0</v>
      </c>
      <c r="J33" s="278">
        <f t="shared" si="0"/>
        <v>206834.47884057974</v>
      </c>
      <c r="K33" s="10">
        <f t="shared" si="4"/>
        <v>0</v>
      </c>
      <c r="L33" s="295" t="e">
        <f t="shared" si="5"/>
        <v>#DIV/0!</v>
      </c>
      <c r="M33" s="10"/>
      <c r="N33" s="10"/>
      <c r="O33" s="432"/>
      <c r="P33" s="10">
        <f t="shared" si="1"/>
        <v>25854.309855072468</v>
      </c>
      <c r="Q33" s="14">
        <f t="shared" si="6"/>
        <v>0</v>
      </c>
      <c r="R33" s="2" t="e">
        <f t="shared" si="7"/>
        <v>#DIV/0!</v>
      </c>
      <c r="S33" s="130" t="e">
        <f t="shared" si="8"/>
        <v>#DIV/0!</v>
      </c>
      <c r="T33" s="427" t="e">
        <f t="shared" si="2"/>
        <v>#DIV/0!</v>
      </c>
      <c r="U33" s="126"/>
      <c r="V33" s="493"/>
      <c r="W33" s="493"/>
      <c r="X33" s="493"/>
      <c r="Y33" s="493"/>
      <c r="Z33" s="493"/>
      <c r="AA33" s="493"/>
      <c r="AB33" s="413"/>
      <c r="AC33" s="413"/>
      <c r="AD33" s="413"/>
      <c r="AE33" s="413"/>
      <c r="AF33" s="413"/>
    </row>
    <row r="34" spans="1:32" x14ac:dyDescent="0.25">
      <c r="A34" s="49">
        <f>+'A) Base RI'!A35</f>
        <v>5436</v>
      </c>
      <c r="B34" s="458" t="str">
        <f>+'A) Base RI'!B35</f>
        <v>Saint-Oyens</v>
      </c>
      <c r="C34" s="298">
        <f>+'D) Ecrêtage'!C34</f>
        <v>16868.339629629631</v>
      </c>
      <c r="D34" s="430"/>
      <c r="E34" s="430"/>
      <c r="F34" s="430"/>
      <c r="G34" s="430"/>
      <c r="H34" s="428"/>
      <c r="I34" s="298">
        <f t="shared" si="3"/>
        <v>0</v>
      </c>
      <c r="J34" s="278">
        <f t="shared" si="0"/>
        <v>134946.71703703704</v>
      </c>
      <c r="K34" s="10">
        <f t="shared" si="4"/>
        <v>0</v>
      </c>
      <c r="L34" s="295" t="e">
        <f t="shared" si="5"/>
        <v>#DIV/0!</v>
      </c>
      <c r="M34" s="10"/>
      <c r="N34" s="10"/>
      <c r="O34" s="432"/>
      <c r="P34" s="10">
        <f t="shared" si="1"/>
        <v>16868.339629629631</v>
      </c>
      <c r="Q34" s="14">
        <f t="shared" si="6"/>
        <v>0</v>
      </c>
      <c r="R34" s="2" t="e">
        <f t="shared" si="7"/>
        <v>#DIV/0!</v>
      </c>
      <c r="S34" s="130" t="e">
        <f t="shared" si="8"/>
        <v>#DIV/0!</v>
      </c>
      <c r="T34" s="427" t="e">
        <f t="shared" si="2"/>
        <v>#DIV/0!</v>
      </c>
      <c r="U34" s="126"/>
      <c r="V34" s="493"/>
      <c r="W34" s="493"/>
      <c r="X34" s="493"/>
      <c r="Y34" s="493"/>
      <c r="Z34" s="493"/>
      <c r="AA34" s="493"/>
      <c r="AB34" s="413"/>
      <c r="AC34" s="413"/>
      <c r="AD34" s="413"/>
      <c r="AE34" s="413"/>
      <c r="AF34" s="413"/>
    </row>
    <row r="35" spans="1:32" x14ac:dyDescent="0.25">
      <c r="A35" s="49">
        <f>+'A) Base RI'!A36</f>
        <v>5437</v>
      </c>
      <c r="B35" s="458" t="str">
        <f>+'A) Base RI'!B36</f>
        <v>Saubraz</v>
      </c>
      <c r="C35" s="298">
        <f>+'D) Ecrêtage'!C35</f>
        <v>13551.757374999997</v>
      </c>
      <c r="D35" s="430"/>
      <c r="E35" s="430"/>
      <c r="F35" s="430"/>
      <c r="G35" s="430"/>
      <c r="H35" s="428"/>
      <c r="I35" s="298">
        <f t="shared" si="3"/>
        <v>0</v>
      </c>
      <c r="J35" s="278">
        <f t="shared" si="0"/>
        <v>108414.05899999998</v>
      </c>
      <c r="K35" s="10">
        <f t="shared" si="4"/>
        <v>0</v>
      </c>
      <c r="L35" s="295" t="e">
        <f t="shared" si="5"/>
        <v>#DIV/0!</v>
      </c>
      <c r="M35" s="10"/>
      <c r="N35" s="10"/>
      <c r="O35" s="432"/>
      <c r="P35" s="10">
        <f t="shared" si="1"/>
        <v>13551.757374999997</v>
      </c>
      <c r="Q35" s="14">
        <f t="shared" si="6"/>
        <v>0</v>
      </c>
      <c r="R35" s="2" t="e">
        <f t="shared" si="7"/>
        <v>#DIV/0!</v>
      </c>
      <c r="S35" s="130" t="e">
        <f t="shared" si="8"/>
        <v>#DIV/0!</v>
      </c>
      <c r="T35" s="427" t="e">
        <f t="shared" si="2"/>
        <v>#DIV/0!</v>
      </c>
      <c r="U35" s="126"/>
      <c r="V35" s="493"/>
      <c r="W35" s="493"/>
      <c r="X35" s="493"/>
      <c r="Y35" s="493"/>
      <c r="Z35" s="493"/>
      <c r="AA35" s="493"/>
      <c r="AB35" s="413"/>
      <c r="AC35" s="413"/>
      <c r="AD35" s="413"/>
      <c r="AE35" s="413"/>
      <c r="AF35" s="413"/>
    </row>
    <row r="36" spans="1:32" x14ac:dyDescent="0.25">
      <c r="A36" s="49">
        <f>+'A) Base RI'!A37</f>
        <v>5451</v>
      </c>
      <c r="B36" s="458" t="str">
        <f>+'A) Base RI'!B37</f>
        <v>Avenches</v>
      </c>
      <c r="C36" s="298">
        <f>+'D) Ecrêtage'!C36</f>
        <v>137890.8513283208</v>
      </c>
      <c r="D36" s="430"/>
      <c r="E36" s="430"/>
      <c r="F36" s="430"/>
      <c r="G36" s="430"/>
      <c r="H36" s="428"/>
      <c r="I36" s="298">
        <f t="shared" si="3"/>
        <v>0</v>
      </c>
      <c r="J36" s="278">
        <f t="shared" si="0"/>
        <v>1103126.8106265664</v>
      </c>
      <c r="K36" s="10">
        <f t="shared" si="4"/>
        <v>0</v>
      </c>
      <c r="L36" s="295" t="e">
        <f t="shared" si="5"/>
        <v>#DIV/0!</v>
      </c>
      <c r="M36" s="10"/>
      <c r="N36" s="10"/>
      <c r="O36" s="432"/>
      <c r="P36" s="10">
        <f t="shared" si="1"/>
        <v>137890.8513283208</v>
      </c>
      <c r="Q36" s="14">
        <f t="shared" si="6"/>
        <v>0</v>
      </c>
      <c r="R36" s="2" t="e">
        <f t="shared" si="7"/>
        <v>#DIV/0!</v>
      </c>
      <c r="S36" s="130" t="e">
        <f t="shared" si="8"/>
        <v>#DIV/0!</v>
      </c>
      <c r="T36" s="427" t="e">
        <f t="shared" si="2"/>
        <v>#DIV/0!</v>
      </c>
      <c r="U36" s="126"/>
      <c r="V36" s="493"/>
      <c r="W36" s="493"/>
      <c r="X36" s="493"/>
      <c r="Y36" s="493"/>
      <c r="Z36" s="493"/>
      <c r="AA36" s="493"/>
      <c r="AB36" s="413"/>
      <c r="AC36" s="413"/>
      <c r="AD36" s="413"/>
      <c r="AE36" s="413"/>
      <c r="AF36" s="413"/>
    </row>
    <row r="37" spans="1:32" x14ac:dyDescent="0.25">
      <c r="A37" s="49">
        <f>+'A) Base RI'!A38</f>
        <v>5456</v>
      </c>
      <c r="B37" s="458" t="str">
        <f>+'A) Base RI'!B38</f>
        <v>Cudrefin</v>
      </c>
      <c r="C37" s="298">
        <f>+'D) Ecrêtage'!C37</f>
        <v>64144.951694915253</v>
      </c>
      <c r="D37" s="430"/>
      <c r="E37" s="430"/>
      <c r="F37" s="430"/>
      <c r="G37" s="430"/>
      <c r="H37" s="428"/>
      <c r="I37" s="298">
        <f t="shared" si="3"/>
        <v>0</v>
      </c>
      <c r="J37" s="278">
        <f t="shared" si="0"/>
        <v>513159.61355932202</v>
      </c>
      <c r="K37" s="10">
        <f t="shared" si="4"/>
        <v>0</v>
      </c>
      <c r="L37" s="295" t="e">
        <f t="shared" si="5"/>
        <v>#DIV/0!</v>
      </c>
      <c r="M37" s="10"/>
      <c r="N37" s="10"/>
      <c r="O37" s="432"/>
      <c r="P37" s="10">
        <f t="shared" si="1"/>
        <v>64144.951694915253</v>
      </c>
      <c r="Q37" s="14">
        <f t="shared" si="6"/>
        <v>0</v>
      </c>
      <c r="R37" s="2" t="e">
        <f t="shared" si="7"/>
        <v>#DIV/0!</v>
      </c>
      <c r="S37" s="130" t="e">
        <f t="shared" si="8"/>
        <v>#DIV/0!</v>
      </c>
      <c r="T37" s="427" t="e">
        <f t="shared" si="2"/>
        <v>#DIV/0!</v>
      </c>
      <c r="U37" s="126"/>
      <c r="V37" s="493"/>
      <c r="W37" s="493"/>
      <c r="X37" s="493"/>
      <c r="Y37" s="493"/>
      <c r="Z37" s="493"/>
      <c r="AA37" s="493"/>
      <c r="AB37" s="413"/>
      <c r="AC37" s="413"/>
      <c r="AD37" s="413"/>
      <c r="AE37" s="413"/>
      <c r="AF37" s="413"/>
    </row>
    <row r="38" spans="1:32" x14ac:dyDescent="0.25">
      <c r="A38" s="49">
        <f>+'A) Base RI'!A39</f>
        <v>5458</v>
      </c>
      <c r="B38" s="458" t="str">
        <f>+'A) Base RI'!B39</f>
        <v>Faoug</v>
      </c>
      <c r="C38" s="298">
        <f>+'D) Ecrêtage'!C38</f>
        <v>34721.352769230762</v>
      </c>
      <c r="D38" s="430"/>
      <c r="E38" s="430"/>
      <c r="F38" s="430"/>
      <c r="G38" s="430"/>
      <c r="H38" s="428"/>
      <c r="I38" s="298">
        <f t="shared" si="3"/>
        <v>0</v>
      </c>
      <c r="J38" s="278">
        <f t="shared" si="0"/>
        <v>277770.82215384609</v>
      </c>
      <c r="K38" s="10">
        <f t="shared" si="4"/>
        <v>0</v>
      </c>
      <c r="L38" s="295" t="e">
        <f t="shared" si="5"/>
        <v>#DIV/0!</v>
      </c>
      <c r="M38" s="10"/>
      <c r="N38" s="10"/>
      <c r="O38" s="432"/>
      <c r="P38" s="10">
        <f t="shared" si="1"/>
        <v>34721.352769230762</v>
      </c>
      <c r="Q38" s="14">
        <f t="shared" si="6"/>
        <v>0</v>
      </c>
      <c r="R38" s="2" t="e">
        <f t="shared" si="7"/>
        <v>#DIV/0!</v>
      </c>
      <c r="S38" s="130" t="e">
        <f t="shared" si="8"/>
        <v>#DIV/0!</v>
      </c>
      <c r="T38" s="427" t="e">
        <f t="shared" si="2"/>
        <v>#DIV/0!</v>
      </c>
      <c r="U38" s="126"/>
      <c r="V38" s="493"/>
      <c r="W38" s="493"/>
      <c r="X38" s="493"/>
      <c r="Y38" s="493"/>
      <c r="Z38" s="493"/>
      <c r="AA38" s="493"/>
      <c r="AB38" s="413"/>
      <c r="AC38" s="413"/>
      <c r="AD38" s="413"/>
      <c r="AE38" s="413"/>
      <c r="AF38" s="413"/>
    </row>
    <row r="39" spans="1:32" x14ac:dyDescent="0.25">
      <c r="A39" s="49">
        <f>+'A) Base RI'!A40</f>
        <v>5464</v>
      </c>
      <c r="B39" s="458" t="str">
        <f>+'A) Base RI'!B40</f>
        <v>Vully-les-Lacs</v>
      </c>
      <c r="C39" s="298">
        <f>+'D) Ecrêtage'!C39</f>
        <v>119169.3065671642</v>
      </c>
      <c r="D39" s="430"/>
      <c r="E39" s="430"/>
      <c r="F39" s="430"/>
      <c r="G39" s="430"/>
      <c r="H39" s="428"/>
      <c r="I39" s="298">
        <f t="shared" si="3"/>
        <v>0</v>
      </c>
      <c r="J39" s="278">
        <f t="shared" si="0"/>
        <v>953354.45253731357</v>
      </c>
      <c r="K39" s="10">
        <f t="shared" si="4"/>
        <v>0</v>
      </c>
      <c r="L39" s="295" t="e">
        <f t="shared" si="5"/>
        <v>#DIV/0!</v>
      </c>
      <c r="M39" s="10"/>
      <c r="N39" s="10"/>
      <c r="O39" s="432"/>
      <c r="P39" s="10">
        <f t="shared" si="1"/>
        <v>119169.3065671642</v>
      </c>
      <c r="Q39" s="14">
        <f t="shared" si="6"/>
        <v>0</v>
      </c>
      <c r="R39" s="2" t="e">
        <f t="shared" si="7"/>
        <v>#DIV/0!</v>
      </c>
      <c r="S39" s="130" t="e">
        <f t="shared" si="8"/>
        <v>#DIV/0!</v>
      </c>
      <c r="T39" s="427" t="e">
        <f t="shared" si="2"/>
        <v>#DIV/0!</v>
      </c>
      <c r="U39" s="126"/>
      <c r="V39" s="493"/>
      <c r="W39" s="493"/>
      <c r="X39" s="493"/>
      <c r="Y39" s="493"/>
      <c r="Z39" s="493"/>
      <c r="AA39" s="493"/>
      <c r="AB39" s="413"/>
      <c r="AC39" s="413"/>
      <c r="AD39" s="413"/>
      <c r="AE39" s="413"/>
      <c r="AF39" s="413"/>
    </row>
    <row r="40" spans="1:32" x14ac:dyDescent="0.25">
      <c r="A40" s="49">
        <f>+'A) Base RI'!A41</f>
        <v>5471</v>
      </c>
      <c r="B40" s="458" t="str">
        <f>+'A) Base RI'!B41</f>
        <v>Bettens</v>
      </c>
      <c r="C40" s="298">
        <f>+'D) Ecrêtage'!C40</f>
        <v>22893.023698412693</v>
      </c>
      <c r="D40" s="430"/>
      <c r="E40" s="430"/>
      <c r="F40" s="430"/>
      <c r="G40" s="430"/>
      <c r="H40" s="428"/>
      <c r="I40" s="298">
        <f t="shared" si="3"/>
        <v>0</v>
      </c>
      <c r="J40" s="278">
        <f t="shared" si="0"/>
        <v>183144.18958730155</v>
      </c>
      <c r="K40" s="10">
        <f t="shared" si="4"/>
        <v>0</v>
      </c>
      <c r="L40" s="295" t="e">
        <f t="shared" si="5"/>
        <v>#DIV/0!</v>
      </c>
      <c r="M40" s="10"/>
      <c r="N40" s="10"/>
      <c r="O40" s="432"/>
      <c r="P40" s="10">
        <f t="shared" si="1"/>
        <v>22893.023698412693</v>
      </c>
      <c r="Q40" s="14">
        <f t="shared" si="6"/>
        <v>0</v>
      </c>
      <c r="R40" s="2" t="e">
        <f t="shared" si="7"/>
        <v>#DIV/0!</v>
      </c>
      <c r="S40" s="130" t="e">
        <f t="shared" si="8"/>
        <v>#DIV/0!</v>
      </c>
      <c r="T40" s="427" t="e">
        <f t="shared" si="2"/>
        <v>#DIV/0!</v>
      </c>
      <c r="U40" s="126"/>
      <c r="V40" s="493"/>
      <c r="W40" s="493"/>
      <c r="X40" s="493"/>
      <c r="Y40" s="493"/>
      <c r="Z40" s="493"/>
      <c r="AA40" s="493"/>
      <c r="AB40" s="413"/>
      <c r="AC40" s="413"/>
      <c r="AD40" s="413"/>
      <c r="AE40" s="413"/>
      <c r="AF40" s="413"/>
    </row>
    <row r="41" spans="1:32" x14ac:dyDescent="0.25">
      <c r="A41" s="49">
        <f>+'A) Base RI'!A42</f>
        <v>5472</v>
      </c>
      <c r="B41" s="458" t="str">
        <f>+'A) Base RI'!B42</f>
        <v>Bournens</v>
      </c>
      <c r="C41" s="298">
        <f>+'D) Ecrêtage'!C41</f>
        <v>22178.441944444447</v>
      </c>
      <c r="D41" s="430"/>
      <c r="E41" s="430"/>
      <c r="F41" s="430"/>
      <c r="G41" s="430"/>
      <c r="H41" s="428"/>
      <c r="I41" s="298">
        <f t="shared" si="3"/>
        <v>0</v>
      </c>
      <c r="J41" s="278">
        <f t="shared" si="0"/>
        <v>177427.53555555557</v>
      </c>
      <c r="K41" s="10">
        <f t="shared" si="4"/>
        <v>0</v>
      </c>
      <c r="L41" s="295" t="e">
        <f t="shared" si="5"/>
        <v>#DIV/0!</v>
      </c>
      <c r="M41" s="10"/>
      <c r="N41" s="10"/>
      <c r="O41" s="432"/>
      <c r="P41" s="10">
        <f t="shared" si="1"/>
        <v>22178.441944444447</v>
      </c>
      <c r="Q41" s="14">
        <f t="shared" si="6"/>
        <v>0</v>
      </c>
      <c r="R41" s="2" t="e">
        <f t="shared" si="7"/>
        <v>#DIV/0!</v>
      </c>
      <c r="S41" s="130" t="e">
        <f t="shared" si="8"/>
        <v>#DIV/0!</v>
      </c>
      <c r="T41" s="427" t="e">
        <f t="shared" si="2"/>
        <v>#DIV/0!</v>
      </c>
      <c r="U41" s="126"/>
      <c r="V41" s="493"/>
      <c r="W41" s="493"/>
      <c r="X41" s="493"/>
      <c r="Y41" s="493"/>
      <c r="Z41" s="493"/>
      <c r="AA41" s="493"/>
      <c r="AB41" s="413"/>
      <c r="AC41" s="413"/>
      <c r="AD41" s="413"/>
      <c r="AE41" s="413"/>
      <c r="AF41" s="413"/>
    </row>
    <row r="42" spans="1:32" x14ac:dyDescent="0.25">
      <c r="A42" s="49">
        <f>+'A) Base RI'!A43</f>
        <v>5473</v>
      </c>
      <c r="B42" s="458" t="str">
        <f>+'A) Base RI'!B43</f>
        <v>Boussens</v>
      </c>
      <c r="C42" s="298">
        <f>+'D) Ecrêtage'!C42</f>
        <v>37059.012888888894</v>
      </c>
      <c r="D42" s="430"/>
      <c r="E42" s="430"/>
      <c r="F42" s="430"/>
      <c r="G42" s="430"/>
      <c r="H42" s="428"/>
      <c r="I42" s="298">
        <f t="shared" si="3"/>
        <v>0</v>
      </c>
      <c r="J42" s="278">
        <f t="shared" si="0"/>
        <v>296472.10311111115</v>
      </c>
      <c r="K42" s="10">
        <f t="shared" si="4"/>
        <v>0</v>
      </c>
      <c r="L42" s="295" t="e">
        <f t="shared" si="5"/>
        <v>#DIV/0!</v>
      </c>
      <c r="M42" s="10"/>
      <c r="N42" s="10"/>
      <c r="O42" s="432"/>
      <c r="P42" s="10">
        <f t="shared" si="1"/>
        <v>37059.012888888894</v>
      </c>
      <c r="Q42" s="14">
        <f t="shared" si="6"/>
        <v>0</v>
      </c>
      <c r="R42" s="2" t="e">
        <f t="shared" si="7"/>
        <v>#DIV/0!</v>
      </c>
      <c r="S42" s="130" t="e">
        <f t="shared" si="8"/>
        <v>#DIV/0!</v>
      </c>
      <c r="T42" s="427" t="e">
        <f t="shared" si="2"/>
        <v>#DIV/0!</v>
      </c>
      <c r="U42" s="126"/>
      <c r="V42" s="493"/>
      <c r="W42" s="493"/>
      <c r="X42" s="493"/>
      <c r="Y42" s="493"/>
      <c r="Z42" s="493"/>
      <c r="AA42" s="493"/>
      <c r="AB42" s="413"/>
      <c r="AC42" s="413"/>
      <c r="AD42" s="413"/>
      <c r="AE42" s="413"/>
      <c r="AF42" s="413"/>
    </row>
    <row r="43" spans="1:32" x14ac:dyDescent="0.25">
      <c r="A43" s="49">
        <f>+'A) Base RI'!A44</f>
        <v>5474</v>
      </c>
      <c r="B43" s="458" t="str">
        <f>+'A) Base RI'!B44</f>
        <v>La Chaux (Cossonay)</v>
      </c>
      <c r="C43" s="298">
        <f>+'D) Ecrêtage'!C43</f>
        <v>12905.016929824562</v>
      </c>
      <c r="D43" s="430"/>
      <c r="E43" s="430"/>
      <c r="F43" s="430"/>
      <c r="G43" s="430"/>
      <c r="H43" s="428"/>
      <c r="I43" s="298">
        <f t="shared" si="3"/>
        <v>0</v>
      </c>
      <c r="J43" s="278">
        <f t="shared" si="0"/>
        <v>103240.1354385965</v>
      </c>
      <c r="K43" s="10">
        <f t="shared" si="4"/>
        <v>0</v>
      </c>
      <c r="L43" s="295" t="e">
        <f t="shared" si="5"/>
        <v>#DIV/0!</v>
      </c>
      <c r="M43" s="10"/>
      <c r="N43" s="10"/>
      <c r="O43" s="432"/>
      <c r="P43" s="10">
        <f t="shared" si="1"/>
        <v>12905.016929824562</v>
      </c>
      <c r="Q43" s="14">
        <f t="shared" si="6"/>
        <v>0</v>
      </c>
      <c r="R43" s="2" t="e">
        <f t="shared" si="7"/>
        <v>#DIV/0!</v>
      </c>
      <c r="S43" s="130" t="e">
        <f t="shared" si="8"/>
        <v>#DIV/0!</v>
      </c>
      <c r="T43" s="427" t="e">
        <f t="shared" si="2"/>
        <v>#DIV/0!</v>
      </c>
      <c r="U43" s="126"/>
      <c r="V43" s="493"/>
      <c r="W43" s="493"/>
      <c r="X43" s="493"/>
      <c r="Y43" s="493"/>
      <c r="Z43" s="493"/>
      <c r="AA43" s="493"/>
      <c r="AB43" s="413"/>
      <c r="AC43" s="413"/>
      <c r="AD43" s="413"/>
      <c r="AE43" s="413"/>
      <c r="AF43" s="413"/>
    </row>
    <row r="44" spans="1:32" x14ac:dyDescent="0.25">
      <c r="A44" s="49">
        <f>+'A) Base RI'!A45</f>
        <v>5475</v>
      </c>
      <c r="B44" s="458" t="str">
        <f>+'A) Base RI'!B45</f>
        <v>Chavannes-le-Veyron</v>
      </c>
      <c r="C44" s="298">
        <f>+'D) Ecrêtage'!C44</f>
        <v>4277.2722666666668</v>
      </c>
      <c r="D44" s="430"/>
      <c r="E44" s="430"/>
      <c r="F44" s="430"/>
      <c r="G44" s="430"/>
      <c r="H44" s="428"/>
      <c r="I44" s="298">
        <f t="shared" si="3"/>
        <v>0</v>
      </c>
      <c r="J44" s="278">
        <f t="shared" si="0"/>
        <v>34218.178133333335</v>
      </c>
      <c r="K44" s="10">
        <f t="shared" si="4"/>
        <v>0</v>
      </c>
      <c r="L44" s="295" t="e">
        <f t="shared" si="5"/>
        <v>#DIV/0!</v>
      </c>
      <c r="M44" s="10"/>
      <c r="N44" s="10"/>
      <c r="O44" s="432"/>
      <c r="P44" s="10">
        <f t="shared" si="1"/>
        <v>4277.2722666666668</v>
      </c>
      <c r="Q44" s="14">
        <f t="shared" si="6"/>
        <v>0</v>
      </c>
      <c r="R44" s="2" t="e">
        <f t="shared" si="7"/>
        <v>#DIV/0!</v>
      </c>
      <c r="S44" s="130" t="e">
        <f t="shared" si="8"/>
        <v>#DIV/0!</v>
      </c>
      <c r="T44" s="427" t="e">
        <f t="shared" si="2"/>
        <v>#DIV/0!</v>
      </c>
      <c r="U44" s="126"/>
      <c r="V44" s="493"/>
      <c r="W44" s="493"/>
      <c r="X44" s="493"/>
      <c r="Y44" s="493"/>
      <c r="Z44" s="493"/>
      <c r="AA44" s="493"/>
      <c r="AB44" s="413"/>
      <c r="AC44" s="413"/>
      <c r="AD44" s="413"/>
      <c r="AE44" s="413"/>
      <c r="AF44" s="413"/>
    </row>
    <row r="45" spans="1:32" x14ac:dyDescent="0.25">
      <c r="A45" s="49">
        <f>+'A) Base RI'!A46</f>
        <v>5476</v>
      </c>
      <c r="B45" s="458" t="str">
        <f>+'A) Base RI'!B46</f>
        <v>Chevilly</v>
      </c>
      <c r="C45" s="298">
        <f>+'D) Ecrêtage'!C45</f>
        <v>12075.307586206898</v>
      </c>
      <c r="D45" s="430"/>
      <c r="E45" s="430"/>
      <c r="F45" s="430"/>
      <c r="G45" s="430"/>
      <c r="H45" s="428"/>
      <c r="I45" s="298">
        <f t="shared" si="3"/>
        <v>0</v>
      </c>
      <c r="J45" s="278">
        <f t="shared" si="0"/>
        <v>96602.460689655185</v>
      </c>
      <c r="K45" s="10">
        <f t="shared" si="4"/>
        <v>0</v>
      </c>
      <c r="L45" s="295" t="e">
        <f t="shared" si="5"/>
        <v>#DIV/0!</v>
      </c>
      <c r="M45" s="10"/>
      <c r="N45" s="10"/>
      <c r="O45" s="432"/>
      <c r="P45" s="10">
        <f t="shared" si="1"/>
        <v>12075.307586206898</v>
      </c>
      <c r="Q45" s="14">
        <f t="shared" si="6"/>
        <v>0</v>
      </c>
      <c r="R45" s="2" t="e">
        <f t="shared" si="7"/>
        <v>#DIV/0!</v>
      </c>
      <c r="S45" s="130" t="e">
        <f t="shared" si="8"/>
        <v>#DIV/0!</v>
      </c>
      <c r="T45" s="427" t="e">
        <f t="shared" si="2"/>
        <v>#DIV/0!</v>
      </c>
      <c r="U45" s="126"/>
      <c r="V45" s="493"/>
      <c r="W45" s="493"/>
      <c r="X45" s="493"/>
      <c r="Y45" s="493"/>
      <c r="Z45" s="493"/>
      <c r="AA45" s="493"/>
      <c r="AB45" s="413"/>
      <c r="AC45" s="413"/>
      <c r="AD45" s="413"/>
      <c r="AE45" s="413"/>
      <c r="AF45" s="413"/>
    </row>
    <row r="46" spans="1:32" x14ac:dyDescent="0.25">
      <c r="A46" s="49">
        <f>+'A) Base RI'!A47</f>
        <v>5477</v>
      </c>
      <c r="B46" s="458" t="str">
        <f>+'A) Base RI'!B47</f>
        <v>Cossonay</v>
      </c>
      <c r="C46" s="298">
        <f>+'D) Ecrêtage'!C46</f>
        <v>142597.98359712231</v>
      </c>
      <c r="D46" s="430"/>
      <c r="E46" s="430"/>
      <c r="F46" s="430"/>
      <c r="G46" s="430"/>
      <c r="H46" s="428"/>
      <c r="I46" s="298">
        <f t="shared" si="3"/>
        <v>0</v>
      </c>
      <c r="J46" s="278">
        <f t="shared" si="0"/>
        <v>1140783.8687769785</v>
      </c>
      <c r="K46" s="10">
        <f t="shared" si="4"/>
        <v>0</v>
      </c>
      <c r="L46" s="295" t="e">
        <f t="shared" si="5"/>
        <v>#DIV/0!</v>
      </c>
      <c r="M46" s="10"/>
      <c r="N46" s="10"/>
      <c r="O46" s="432"/>
      <c r="P46" s="10">
        <f t="shared" si="1"/>
        <v>142597.98359712231</v>
      </c>
      <c r="Q46" s="14">
        <f t="shared" si="6"/>
        <v>0</v>
      </c>
      <c r="R46" s="2" t="e">
        <f t="shared" si="7"/>
        <v>#DIV/0!</v>
      </c>
      <c r="S46" s="130" t="e">
        <f t="shared" si="8"/>
        <v>#DIV/0!</v>
      </c>
      <c r="T46" s="427" t="e">
        <f t="shared" si="2"/>
        <v>#DIV/0!</v>
      </c>
      <c r="U46" s="126"/>
      <c r="V46" s="493"/>
      <c r="W46" s="493"/>
      <c r="X46" s="493"/>
      <c r="Y46" s="493"/>
      <c r="Z46" s="493"/>
      <c r="AA46" s="493"/>
      <c r="AB46" s="413"/>
      <c r="AC46" s="413"/>
      <c r="AD46" s="413"/>
      <c r="AE46" s="413"/>
      <c r="AF46" s="413"/>
    </row>
    <row r="47" spans="1:32" x14ac:dyDescent="0.25">
      <c r="A47" s="49">
        <f>+'A) Base RI'!A48</f>
        <v>5478</v>
      </c>
      <c r="B47" s="458" t="str">
        <f>+'A) Base RI'!B48</f>
        <v>Cottens</v>
      </c>
      <c r="C47" s="298">
        <f>+'D) Ecrêtage'!C47</f>
        <v>15741.229189189189</v>
      </c>
      <c r="D47" s="430"/>
      <c r="E47" s="430"/>
      <c r="F47" s="430"/>
      <c r="G47" s="430"/>
      <c r="H47" s="428"/>
      <c r="I47" s="298">
        <f t="shared" si="3"/>
        <v>0</v>
      </c>
      <c r="J47" s="278">
        <f t="shared" si="0"/>
        <v>125929.83351351351</v>
      </c>
      <c r="K47" s="10">
        <f t="shared" si="4"/>
        <v>0</v>
      </c>
      <c r="L47" s="295" t="e">
        <f t="shared" si="5"/>
        <v>#DIV/0!</v>
      </c>
      <c r="M47" s="10"/>
      <c r="N47" s="10"/>
      <c r="O47" s="432"/>
      <c r="P47" s="10">
        <f t="shared" si="1"/>
        <v>15741.229189189189</v>
      </c>
      <c r="Q47" s="14">
        <f t="shared" si="6"/>
        <v>0</v>
      </c>
      <c r="R47" s="2" t="e">
        <f t="shared" si="7"/>
        <v>#DIV/0!</v>
      </c>
      <c r="S47" s="130" t="e">
        <f t="shared" si="8"/>
        <v>#DIV/0!</v>
      </c>
      <c r="T47" s="427" t="e">
        <f t="shared" si="2"/>
        <v>#DIV/0!</v>
      </c>
      <c r="U47" s="126"/>
      <c r="V47" s="493"/>
      <c r="W47" s="493"/>
      <c r="X47" s="493"/>
      <c r="Y47" s="493"/>
      <c r="Z47" s="493"/>
      <c r="AA47" s="493"/>
      <c r="AB47" s="413"/>
      <c r="AC47" s="413"/>
      <c r="AD47" s="413"/>
      <c r="AE47" s="413"/>
      <c r="AF47" s="413"/>
    </row>
    <row r="48" spans="1:32" x14ac:dyDescent="0.25">
      <c r="A48" s="49">
        <f>+'A) Base RI'!A49</f>
        <v>5479</v>
      </c>
      <c r="B48" s="458" t="str">
        <f>+'A) Base RI'!B49</f>
        <v>Cuarnens</v>
      </c>
      <c r="C48" s="298">
        <f>+'D) Ecrêtage'!C48</f>
        <v>17984.87649350649</v>
      </c>
      <c r="D48" s="430"/>
      <c r="E48" s="430"/>
      <c r="F48" s="430"/>
      <c r="G48" s="430"/>
      <c r="H48" s="428"/>
      <c r="I48" s="298">
        <f t="shared" si="3"/>
        <v>0</v>
      </c>
      <c r="J48" s="278">
        <f t="shared" si="0"/>
        <v>143879.01194805192</v>
      </c>
      <c r="K48" s="10">
        <f t="shared" si="4"/>
        <v>0</v>
      </c>
      <c r="L48" s="295" t="e">
        <f t="shared" si="5"/>
        <v>#DIV/0!</v>
      </c>
      <c r="M48" s="10"/>
      <c r="N48" s="10"/>
      <c r="O48" s="432"/>
      <c r="P48" s="10">
        <f t="shared" si="1"/>
        <v>17984.87649350649</v>
      </c>
      <c r="Q48" s="14">
        <f t="shared" si="6"/>
        <v>0</v>
      </c>
      <c r="R48" s="2" t="e">
        <f t="shared" si="7"/>
        <v>#DIV/0!</v>
      </c>
      <c r="S48" s="130" t="e">
        <f t="shared" si="8"/>
        <v>#DIV/0!</v>
      </c>
      <c r="T48" s="427" t="e">
        <f t="shared" si="2"/>
        <v>#DIV/0!</v>
      </c>
      <c r="U48" s="126"/>
      <c r="V48" s="493"/>
      <c r="W48" s="493"/>
      <c r="X48" s="493"/>
      <c r="Y48" s="493"/>
      <c r="Z48" s="493"/>
      <c r="AA48" s="493"/>
      <c r="AB48" s="413"/>
      <c r="AC48" s="413"/>
      <c r="AD48" s="413"/>
      <c r="AE48" s="413"/>
      <c r="AF48" s="413"/>
    </row>
    <row r="49" spans="1:32" x14ac:dyDescent="0.25">
      <c r="A49" s="49">
        <f>+'A) Base RI'!A50</f>
        <v>5480</v>
      </c>
      <c r="B49" s="458" t="str">
        <f>+'A) Base RI'!B50</f>
        <v>Daillens</v>
      </c>
      <c r="C49" s="298">
        <f>+'D) Ecrêtage'!C49</f>
        <v>41284.66095959596</v>
      </c>
      <c r="D49" s="430"/>
      <c r="E49" s="430"/>
      <c r="F49" s="430"/>
      <c r="G49" s="430"/>
      <c r="H49" s="428"/>
      <c r="I49" s="298">
        <f t="shared" si="3"/>
        <v>0</v>
      </c>
      <c r="J49" s="278">
        <f t="shared" si="0"/>
        <v>330277.28767676768</v>
      </c>
      <c r="K49" s="10">
        <f t="shared" si="4"/>
        <v>0</v>
      </c>
      <c r="L49" s="295" t="e">
        <f t="shared" si="5"/>
        <v>#DIV/0!</v>
      </c>
      <c r="M49" s="10"/>
      <c r="N49" s="10"/>
      <c r="O49" s="432"/>
      <c r="P49" s="10">
        <f t="shared" si="1"/>
        <v>41284.66095959596</v>
      </c>
      <c r="Q49" s="14">
        <f t="shared" si="6"/>
        <v>0</v>
      </c>
      <c r="R49" s="2" t="e">
        <f t="shared" si="7"/>
        <v>#DIV/0!</v>
      </c>
      <c r="S49" s="130" t="e">
        <f t="shared" si="8"/>
        <v>#DIV/0!</v>
      </c>
      <c r="T49" s="427" t="e">
        <f t="shared" si="2"/>
        <v>#DIV/0!</v>
      </c>
      <c r="U49" s="126"/>
      <c r="V49" s="493"/>
      <c r="W49" s="493"/>
      <c r="X49" s="493"/>
      <c r="Y49" s="493"/>
      <c r="Z49" s="493"/>
      <c r="AA49" s="493"/>
      <c r="AB49" s="413"/>
      <c r="AC49" s="413"/>
      <c r="AD49" s="413"/>
      <c r="AE49" s="413"/>
      <c r="AF49" s="413"/>
    </row>
    <row r="50" spans="1:32" x14ac:dyDescent="0.25">
      <c r="A50" s="49">
        <f>+'A) Base RI'!A51</f>
        <v>5481</v>
      </c>
      <c r="B50" s="458" t="str">
        <f>+'A) Base RI'!B51</f>
        <v>Dizy</v>
      </c>
      <c r="C50" s="298">
        <f>+'D) Ecrêtage'!C50</f>
        <v>8120.887333333334</v>
      </c>
      <c r="D50" s="430"/>
      <c r="E50" s="430"/>
      <c r="F50" s="430"/>
      <c r="G50" s="430"/>
      <c r="H50" s="428"/>
      <c r="I50" s="298">
        <f t="shared" si="3"/>
        <v>0</v>
      </c>
      <c r="J50" s="278">
        <f t="shared" si="0"/>
        <v>64967.098666666672</v>
      </c>
      <c r="K50" s="10">
        <f t="shared" si="4"/>
        <v>0</v>
      </c>
      <c r="L50" s="295" t="e">
        <f t="shared" si="5"/>
        <v>#DIV/0!</v>
      </c>
      <c r="M50" s="10"/>
      <c r="N50" s="10"/>
      <c r="O50" s="432"/>
      <c r="P50" s="10">
        <f t="shared" si="1"/>
        <v>8120.887333333334</v>
      </c>
      <c r="Q50" s="14">
        <f t="shared" si="6"/>
        <v>0</v>
      </c>
      <c r="R50" s="2" t="e">
        <f t="shared" si="7"/>
        <v>#DIV/0!</v>
      </c>
      <c r="S50" s="130" t="e">
        <f t="shared" si="8"/>
        <v>#DIV/0!</v>
      </c>
      <c r="T50" s="427" t="e">
        <f t="shared" si="2"/>
        <v>#DIV/0!</v>
      </c>
      <c r="U50" s="126"/>
      <c r="V50" s="493"/>
      <c r="W50" s="493"/>
      <c r="X50" s="493"/>
      <c r="Y50" s="493"/>
      <c r="Z50" s="493"/>
      <c r="AA50" s="493"/>
      <c r="AB50" s="413"/>
      <c r="AC50" s="413"/>
      <c r="AD50" s="413"/>
      <c r="AE50" s="413"/>
      <c r="AF50" s="413"/>
    </row>
    <row r="51" spans="1:32" x14ac:dyDescent="0.25">
      <c r="A51" s="49">
        <f>+'A) Base RI'!A52</f>
        <v>5482</v>
      </c>
      <c r="B51" s="458" t="str">
        <f>+'A) Base RI'!B52</f>
        <v>Eclépens</v>
      </c>
      <c r="C51" s="298">
        <f>+'D) Ecrêtage'!C51</f>
        <v>54196.336086956522</v>
      </c>
      <c r="D51" s="430"/>
      <c r="E51" s="430"/>
      <c r="F51" s="430"/>
      <c r="G51" s="430"/>
      <c r="H51" s="428"/>
      <c r="I51" s="298">
        <f t="shared" si="3"/>
        <v>0</v>
      </c>
      <c r="J51" s="278">
        <f t="shared" si="0"/>
        <v>433570.68869565218</v>
      </c>
      <c r="K51" s="10">
        <f t="shared" si="4"/>
        <v>0</v>
      </c>
      <c r="L51" s="295" t="e">
        <f t="shared" si="5"/>
        <v>#DIV/0!</v>
      </c>
      <c r="M51" s="10"/>
      <c r="N51" s="10"/>
      <c r="O51" s="432"/>
      <c r="P51" s="10">
        <f t="shared" si="1"/>
        <v>54196.336086956522</v>
      </c>
      <c r="Q51" s="14">
        <f t="shared" si="6"/>
        <v>0</v>
      </c>
      <c r="R51" s="2" t="e">
        <f t="shared" si="7"/>
        <v>#DIV/0!</v>
      </c>
      <c r="S51" s="130" t="e">
        <f t="shared" si="8"/>
        <v>#DIV/0!</v>
      </c>
      <c r="T51" s="427" t="e">
        <f t="shared" si="2"/>
        <v>#DIV/0!</v>
      </c>
      <c r="U51" s="126"/>
      <c r="V51" s="493"/>
      <c r="W51" s="493"/>
      <c r="X51" s="493"/>
      <c r="Y51" s="493"/>
      <c r="Z51" s="493"/>
      <c r="AA51" s="493"/>
      <c r="AB51" s="413"/>
      <c r="AC51" s="413"/>
      <c r="AD51" s="413"/>
      <c r="AE51" s="413"/>
      <c r="AF51" s="413"/>
    </row>
    <row r="52" spans="1:32" x14ac:dyDescent="0.25">
      <c r="A52" s="49">
        <f>+'A) Base RI'!A53</f>
        <v>5483</v>
      </c>
      <c r="B52" s="458" t="str">
        <f>+'A) Base RI'!B53</f>
        <v>Ferreyres</v>
      </c>
      <c r="C52" s="298">
        <f>+'D) Ecrêtage'!C52</f>
        <v>10537.122500000001</v>
      </c>
      <c r="D52" s="430"/>
      <c r="E52" s="430"/>
      <c r="F52" s="430"/>
      <c r="G52" s="430"/>
      <c r="H52" s="428"/>
      <c r="I52" s="298">
        <f t="shared" si="3"/>
        <v>0</v>
      </c>
      <c r="J52" s="278">
        <f t="shared" si="0"/>
        <v>84296.98000000001</v>
      </c>
      <c r="K52" s="10">
        <f t="shared" si="4"/>
        <v>0</v>
      </c>
      <c r="L52" s="295" t="e">
        <f t="shared" si="5"/>
        <v>#DIV/0!</v>
      </c>
      <c r="M52" s="10"/>
      <c r="N52" s="10"/>
      <c r="O52" s="432"/>
      <c r="P52" s="10">
        <f t="shared" si="1"/>
        <v>10537.122500000001</v>
      </c>
      <c r="Q52" s="14">
        <f t="shared" si="6"/>
        <v>0</v>
      </c>
      <c r="R52" s="2" t="e">
        <f t="shared" si="7"/>
        <v>#DIV/0!</v>
      </c>
      <c r="S52" s="130" t="e">
        <f t="shared" si="8"/>
        <v>#DIV/0!</v>
      </c>
      <c r="T52" s="427" t="e">
        <f t="shared" si="2"/>
        <v>#DIV/0!</v>
      </c>
      <c r="U52" s="126"/>
      <c r="V52" s="493"/>
      <c r="W52" s="493"/>
      <c r="X52" s="493"/>
      <c r="Y52" s="493"/>
      <c r="Z52" s="493"/>
      <c r="AA52" s="493"/>
      <c r="AB52" s="413"/>
      <c r="AC52" s="413"/>
      <c r="AD52" s="413"/>
      <c r="AE52" s="413"/>
      <c r="AF52" s="413"/>
    </row>
    <row r="53" spans="1:32" x14ac:dyDescent="0.25">
      <c r="A53" s="49">
        <f>+'A) Base RI'!A54</f>
        <v>5484</v>
      </c>
      <c r="B53" s="458" t="str">
        <f>+'A) Base RI'!B54</f>
        <v>Gollion</v>
      </c>
      <c r="C53" s="298">
        <f>+'D) Ecrêtage'!C53</f>
        <v>35950.666081081094</v>
      </c>
      <c r="D53" s="430"/>
      <c r="E53" s="430"/>
      <c r="F53" s="430"/>
      <c r="G53" s="430"/>
      <c r="H53" s="428"/>
      <c r="I53" s="298">
        <f t="shared" si="3"/>
        <v>0</v>
      </c>
      <c r="J53" s="278">
        <f t="shared" si="0"/>
        <v>287605.32864864875</v>
      </c>
      <c r="K53" s="10">
        <f t="shared" si="4"/>
        <v>0</v>
      </c>
      <c r="L53" s="295" t="e">
        <f t="shared" si="5"/>
        <v>#DIV/0!</v>
      </c>
      <c r="M53" s="10"/>
      <c r="N53" s="10"/>
      <c r="O53" s="432"/>
      <c r="P53" s="10">
        <f t="shared" si="1"/>
        <v>35950.666081081094</v>
      </c>
      <c r="Q53" s="14">
        <f t="shared" si="6"/>
        <v>0</v>
      </c>
      <c r="R53" s="2" t="e">
        <f t="shared" si="7"/>
        <v>#DIV/0!</v>
      </c>
      <c r="S53" s="130" t="e">
        <f t="shared" si="8"/>
        <v>#DIV/0!</v>
      </c>
      <c r="T53" s="427" t="e">
        <f t="shared" si="2"/>
        <v>#DIV/0!</v>
      </c>
      <c r="U53" s="126"/>
      <c r="V53" s="493"/>
      <c r="W53" s="493"/>
      <c r="X53" s="493"/>
      <c r="Y53" s="493"/>
      <c r="Z53" s="493"/>
      <c r="AA53" s="493"/>
      <c r="AB53" s="413"/>
      <c r="AC53" s="413"/>
      <c r="AD53" s="413"/>
      <c r="AE53" s="413"/>
      <c r="AF53" s="413"/>
    </row>
    <row r="54" spans="1:32" x14ac:dyDescent="0.25">
      <c r="A54" s="49">
        <f>+'A) Base RI'!A55</f>
        <v>5485</v>
      </c>
      <c r="B54" s="458" t="str">
        <f>+'A) Base RI'!B55</f>
        <v>Grancy</v>
      </c>
      <c r="C54" s="298">
        <f>+'D) Ecrêtage'!C54</f>
        <v>24488.659571428572</v>
      </c>
      <c r="D54" s="430"/>
      <c r="E54" s="430"/>
      <c r="F54" s="430"/>
      <c r="G54" s="430"/>
      <c r="H54" s="428"/>
      <c r="I54" s="298">
        <f t="shared" si="3"/>
        <v>0</v>
      </c>
      <c r="J54" s="278">
        <f t="shared" si="0"/>
        <v>195909.27657142858</v>
      </c>
      <c r="K54" s="10">
        <f t="shared" si="4"/>
        <v>0</v>
      </c>
      <c r="L54" s="295" t="e">
        <f t="shared" si="5"/>
        <v>#DIV/0!</v>
      </c>
      <c r="M54" s="10"/>
      <c r="N54" s="10"/>
      <c r="O54" s="432"/>
      <c r="P54" s="10">
        <f t="shared" si="1"/>
        <v>24488.659571428572</v>
      </c>
      <c r="Q54" s="14">
        <f t="shared" si="6"/>
        <v>0</v>
      </c>
      <c r="R54" s="2" t="e">
        <f t="shared" si="7"/>
        <v>#DIV/0!</v>
      </c>
      <c r="S54" s="130" t="e">
        <f t="shared" si="8"/>
        <v>#DIV/0!</v>
      </c>
      <c r="T54" s="427" t="e">
        <f t="shared" si="2"/>
        <v>#DIV/0!</v>
      </c>
      <c r="U54" s="126"/>
      <c r="V54" s="493"/>
      <c r="W54" s="493"/>
      <c r="X54" s="493"/>
      <c r="Y54" s="493"/>
      <c r="Z54" s="493"/>
      <c r="AA54" s="493"/>
      <c r="AB54" s="413"/>
      <c r="AC54" s="413"/>
      <c r="AD54" s="413"/>
      <c r="AE54" s="413"/>
      <c r="AF54" s="413"/>
    </row>
    <row r="55" spans="1:32" x14ac:dyDescent="0.25">
      <c r="A55" s="49">
        <f>+'A) Base RI'!A56</f>
        <v>5486</v>
      </c>
      <c r="B55" s="458" t="str">
        <f>+'A) Base RI'!B56</f>
        <v>L'Isle</v>
      </c>
      <c r="C55" s="298">
        <f>+'D) Ecrêtage'!C55</f>
        <v>29230.387866666671</v>
      </c>
      <c r="D55" s="430"/>
      <c r="E55" s="430"/>
      <c r="F55" s="430"/>
      <c r="G55" s="430"/>
      <c r="H55" s="428"/>
      <c r="I55" s="298">
        <f t="shared" si="3"/>
        <v>0</v>
      </c>
      <c r="J55" s="278">
        <f t="shared" si="0"/>
        <v>233843.10293333337</v>
      </c>
      <c r="K55" s="10">
        <f t="shared" si="4"/>
        <v>0</v>
      </c>
      <c r="L55" s="295" t="e">
        <f t="shared" si="5"/>
        <v>#DIV/0!</v>
      </c>
      <c r="M55" s="10"/>
      <c r="N55" s="10"/>
      <c r="O55" s="432"/>
      <c r="P55" s="10">
        <f t="shared" si="1"/>
        <v>29230.387866666671</v>
      </c>
      <c r="Q55" s="14">
        <f t="shared" si="6"/>
        <v>0</v>
      </c>
      <c r="R55" s="2" t="e">
        <f t="shared" si="7"/>
        <v>#DIV/0!</v>
      </c>
      <c r="S55" s="130" t="e">
        <f t="shared" si="8"/>
        <v>#DIV/0!</v>
      </c>
      <c r="T55" s="427" t="e">
        <f t="shared" si="2"/>
        <v>#DIV/0!</v>
      </c>
      <c r="U55" s="126"/>
      <c r="V55" s="493"/>
      <c r="W55" s="493"/>
      <c r="X55" s="493"/>
      <c r="Y55" s="493"/>
      <c r="Z55" s="493"/>
      <c r="AA55" s="493"/>
      <c r="AB55" s="413"/>
      <c r="AC55" s="413"/>
      <c r="AD55" s="413"/>
      <c r="AE55" s="413"/>
      <c r="AF55" s="413"/>
    </row>
    <row r="56" spans="1:32" x14ac:dyDescent="0.25">
      <c r="A56" s="49">
        <f>+'A) Base RI'!A57</f>
        <v>5487</v>
      </c>
      <c r="B56" s="458" t="str">
        <f>+'A) Base RI'!B57</f>
        <v>Lussery-Villars</v>
      </c>
      <c r="C56" s="298">
        <f>+'D) Ecrêtage'!C56</f>
        <v>16622.441866666668</v>
      </c>
      <c r="D56" s="430"/>
      <c r="E56" s="430"/>
      <c r="F56" s="430"/>
      <c r="G56" s="430"/>
      <c r="H56" s="428"/>
      <c r="I56" s="298">
        <f t="shared" si="3"/>
        <v>0</v>
      </c>
      <c r="J56" s="278">
        <f t="shared" si="0"/>
        <v>132979.53493333334</v>
      </c>
      <c r="K56" s="10">
        <f t="shared" si="4"/>
        <v>0</v>
      </c>
      <c r="L56" s="295" t="e">
        <f t="shared" si="5"/>
        <v>#DIV/0!</v>
      </c>
      <c r="M56" s="10"/>
      <c r="N56" s="10"/>
      <c r="O56" s="432"/>
      <c r="P56" s="10">
        <f t="shared" si="1"/>
        <v>16622.441866666668</v>
      </c>
      <c r="Q56" s="14">
        <f t="shared" si="6"/>
        <v>0</v>
      </c>
      <c r="R56" s="2" t="e">
        <f t="shared" si="7"/>
        <v>#DIV/0!</v>
      </c>
      <c r="S56" s="130" t="e">
        <f t="shared" si="8"/>
        <v>#DIV/0!</v>
      </c>
      <c r="T56" s="427" t="e">
        <f t="shared" si="2"/>
        <v>#DIV/0!</v>
      </c>
      <c r="U56" s="126"/>
      <c r="V56" s="493"/>
      <c r="W56" s="493"/>
      <c r="X56" s="493"/>
      <c r="Y56" s="493"/>
      <c r="Z56" s="493"/>
      <c r="AA56" s="493"/>
      <c r="AB56" s="413"/>
      <c r="AC56" s="413"/>
      <c r="AD56" s="413"/>
      <c r="AE56" s="413"/>
      <c r="AF56" s="413"/>
    </row>
    <row r="57" spans="1:32" x14ac:dyDescent="0.25">
      <c r="A57" s="49">
        <f>+'A) Base RI'!A58</f>
        <v>5488</v>
      </c>
      <c r="B57" s="458" t="str">
        <f>+'A) Base RI'!B58</f>
        <v>Mauraz</v>
      </c>
      <c r="C57" s="298">
        <f>+'D) Ecrêtage'!C57</f>
        <v>1729.1857142857141</v>
      </c>
      <c r="D57" s="430"/>
      <c r="E57" s="430"/>
      <c r="F57" s="430"/>
      <c r="G57" s="430"/>
      <c r="H57" s="428"/>
      <c r="I57" s="298">
        <f t="shared" si="3"/>
        <v>0</v>
      </c>
      <c r="J57" s="278">
        <f t="shared" si="0"/>
        <v>13833.485714285713</v>
      </c>
      <c r="K57" s="10">
        <f t="shared" si="4"/>
        <v>0</v>
      </c>
      <c r="L57" s="295" t="e">
        <f t="shared" si="5"/>
        <v>#DIV/0!</v>
      </c>
      <c r="M57" s="10"/>
      <c r="N57" s="10"/>
      <c r="O57" s="432"/>
      <c r="P57" s="10">
        <f t="shared" si="1"/>
        <v>1729.1857142857141</v>
      </c>
      <c r="Q57" s="14">
        <f t="shared" si="6"/>
        <v>0</v>
      </c>
      <c r="R57" s="2" t="e">
        <f t="shared" si="7"/>
        <v>#DIV/0!</v>
      </c>
      <c r="S57" s="130" t="e">
        <f t="shared" si="8"/>
        <v>#DIV/0!</v>
      </c>
      <c r="T57" s="427" t="e">
        <f t="shared" si="2"/>
        <v>#DIV/0!</v>
      </c>
      <c r="U57" s="126"/>
      <c r="V57" s="493"/>
      <c r="W57" s="493"/>
      <c r="X57" s="493"/>
      <c r="Y57" s="493"/>
      <c r="Z57" s="493"/>
      <c r="AA57" s="493"/>
      <c r="AB57" s="413"/>
      <c r="AC57" s="413"/>
      <c r="AD57" s="413"/>
      <c r="AE57" s="413"/>
      <c r="AF57" s="413"/>
    </row>
    <row r="58" spans="1:32" x14ac:dyDescent="0.25">
      <c r="A58" s="49">
        <f>+'A) Base RI'!A59</f>
        <v>5489</v>
      </c>
      <c r="B58" s="458" t="str">
        <f>+'A) Base RI'!B59</f>
        <v>Mex</v>
      </c>
      <c r="C58" s="298">
        <f>+'D) Ecrêtage'!C58</f>
        <v>50879.929915966379</v>
      </c>
      <c r="D58" s="430"/>
      <c r="E58" s="430"/>
      <c r="F58" s="430"/>
      <c r="G58" s="430"/>
      <c r="H58" s="428"/>
      <c r="I58" s="298">
        <f t="shared" si="3"/>
        <v>0</v>
      </c>
      <c r="J58" s="278">
        <f t="shared" si="0"/>
        <v>407039.43932773103</v>
      </c>
      <c r="K58" s="10">
        <f t="shared" si="4"/>
        <v>0</v>
      </c>
      <c r="L58" s="295" t="e">
        <f t="shared" si="5"/>
        <v>#DIV/0!</v>
      </c>
      <c r="M58" s="10"/>
      <c r="N58" s="10"/>
      <c r="O58" s="432"/>
      <c r="P58" s="10">
        <f t="shared" si="1"/>
        <v>50879.929915966379</v>
      </c>
      <c r="Q58" s="14">
        <f t="shared" si="6"/>
        <v>0</v>
      </c>
      <c r="R58" s="2" t="e">
        <f t="shared" si="7"/>
        <v>#DIV/0!</v>
      </c>
      <c r="S58" s="130" t="e">
        <f t="shared" si="8"/>
        <v>#DIV/0!</v>
      </c>
      <c r="T58" s="427" t="e">
        <f t="shared" si="2"/>
        <v>#DIV/0!</v>
      </c>
      <c r="U58" s="126"/>
      <c r="V58" s="493"/>
      <c r="W58" s="493"/>
      <c r="X58" s="493"/>
      <c r="Y58" s="493"/>
      <c r="Z58" s="493"/>
      <c r="AA58" s="493"/>
      <c r="AB58" s="413"/>
      <c r="AC58" s="413"/>
      <c r="AD58" s="413"/>
      <c r="AE58" s="413"/>
      <c r="AF58" s="413"/>
    </row>
    <row r="59" spans="1:32" x14ac:dyDescent="0.25">
      <c r="A59" s="49">
        <f>+'A) Base RI'!A60</f>
        <v>5490</v>
      </c>
      <c r="B59" s="458" t="str">
        <f>+'A) Base RI'!B60</f>
        <v>Moiry</v>
      </c>
      <c r="C59" s="298">
        <f>+'D) Ecrêtage'!C59</f>
        <v>9056.9</v>
      </c>
      <c r="D59" s="430"/>
      <c r="E59" s="430"/>
      <c r="F59" s="430"/>
      <c r="G59" s="430"/>
      <c r="H59" s="428"/>
      <c r="I59" s="298">
        <f t="shared" si="3"/>
        <v>0</v>
      </c>
      <c r="J59" s="278">
        <f t="shared" si="0"/>
        <v>72455.199999999997</v>
      </c>
      <c r="K59" s="10">
        <f t="shared" si="4"/>
        <v>0</v>
      </c>
      <c r="L59" s="295" t="e">
        <f t="shared" si="5"/>
        <v>#DIV/0!</v>
      </c>
      <c r="M59" s="10"/>
      <c r="N59" s="10"/>
      <c r="O59" s="432"/>
      <c r="P59" s="10">
        <f t="shared" si="1"/>
        <v>9056.9</v>
      </c>
      <c r="Q59" s="14">
        <f t="shared" si="6"/>
        <v>0</v>
      </c>
      <c r="R59" s="2" t="e">
        <f t="shared" si="7"/>
        <v>#DIV/0!</v>
      </c>
      <c r="S59" s="130" t="e">
        <f t="shared" si="8"/>
        <v>#DIV/0!</v>
      </c>
      <c r="T59" s="427" t="e">
        <f t="shared" si="2"/>
        <v>#DIV/0!</v>
      </c>
      <c r="U59" s="126"/>
      <c r="V59" s="493"/>
      <c r="W59" s="493"/>
      <c r="X59" s="493"/>
      <c r="Y59" s="493"/>
      <c r="Z59" s="493"/>
      <c r="AA59" s="493"/>
      <c r="AB59" s="413"/>
      <c r="AC59" s="413"/>
      <c r="AD59" s="413"/>
      <c r="AE59" s="413"/>
      <c r="AF59" s="413"/>
    </row>
    <row r="60" spans="1:32" x14ac:dyDescent="0.25">
      <c r="A60" s="49">
        <f>+'A) Base RI'!A61</f>
        <v>5491</v>
      </c>
      <c r="B60" s="458" t="str">
        <f>+'A) Base RI'!B61</f>
        <v>Mont-la-Ville</v>
      </c>
      <c r="C60" s="298">
        <f>+'D) Ecrêtage'!C60</f>
        <v>13648.930789473685</v>
      </c>
      <c r="D60" s="430"/>
      <c r="E60" s="430"/>
      <c r="F60" s="430"/>
      <c r="G60" s="430"/>
      <c r="H60" s="428"/>
      <c r="I60" s="298">
        <f t="shared" si="3"/>
        <v>0</v>
      </c>
      <c r="J60" s="278">
        <f t="shared" si="0"/>
        <v>109191.44631578948</v>
      </c>
      <c r="K60" s="10">
        <f t="shared" si="4"/>
        <v>0</v>
      </c>
      <c r="L60" s="295" t="e">
        <f t="shared" si="5"/>
        <v>#DIV/0!</v>
      </c>
      <c r="M60" s="10"/>
      <c r="N60" s="10"/>
      <c r="O60" s="432"/>
      <c r="P60" s="10">
        <f t="shared" si="1"/>
        <v>13648.930789473685</v>
      </c>
      <c r="Q60" s="14">
        <f t="shared" si="6"/>
        <v>0</v>
      </c>
      <c r="R60" s="2" t="e">
        <f t="shared" si="7"/>
        <v>#DIV/0!</v>
      </c>
      <c r="S60" s="130" t="e">
        <f t="shared" si="8"/>
        <v>#DIV/0!</v>
      </c>
      <c r="T60" s="427" t="e">
        <f t="shared" si="2"/>
        <v>#DIV/0!</v>
      </c>
      <c r="U60" s="126"/>
      <c r="V60" s="493"/>
      <c r="W60" s="493"/>
      <c r="X60" s="493"/>
      <c r="Y60" s="493"/>
      <c r="Z60" s="493"/>
      <c r="AA60" s="493"/>
      <c r="AB60" s="413"/>
      <c r="AC60" s="413"/>
      <c r="AD60" s="413"/>
      <c r="AE60" s="413"/>
      <c r="AF60" s="413"/>
    </row>
    <row r="61" spans="1:32" x14ac:dyDescent="0.25">
      <c r="A61" s="49">
        <f>+'A) Base RI'!A62</f>
        <v>5492</v>
      </c>
      <c r="B61" s="458" t="str">
        <f>+'A) Base RI'!B62</f>
        <v>Montricher</v>
      </c>
      <c r="C61" s="298">
        <f>+'D) Ecrêtage'!C61</f>
        <v>175268.45531250001</v>
      </c>
      <c r="D61" s="430"/>
      <c r="E61" s="430"/>
      <c r="F61" s="430"/>
      <c r="G61" s="430"/>
      <c r="H61" s="428"/>
      <c r="I61" s="298">
        <f t="shared" si="3"/>
        <v>0</v>
      </c>
      <c r="J61" s="278">
        <f t="shared" si="0"/>
        <v>1402147.6425000001</v>
      </c>
      <c r="K61" s="10">
        <f t="shared" si="4"/>
        <v>0</v>
      </c>
      <c r="L61" s="295" t="e">
        <f t="shared" si="5"/>
        <v>#DIV/0!</v>
      </c>
      <c r="M61" s="10"/>
      <c r="N61" s="10"/>
      <c r="O61" s="432"/>
      <c r="P61" s="10">
        <f t="shared" si="1"/>
        <v>175268.45531250001</v>
      </c>
      <c r="Q61" s="14">
        <f t="shared" si="6"/>
        <v>0</v>
      </c>
      <c r="R61" s="2" t="e">
        <f t="shared" si="7"/>
        <v>#DIV/0!</v>
      </c>
      <c r="S61" s="130" t="e">
        <f t="shared" si="8"/>
        <v>#DIV/0!</v>
      </c>
      <c r="T61" s="427" t="e">
        <f t="shared" si="2"/>
        <v>#DIV/0!</v>
      </c>
      <c r="U61" s="126"/>
      <c r="V61" s="493"/>
      <c r="W61" s="493"/>
      <c r="X61" s="493"/>
      <c r="Y61" s="493"/>
      <c r="Z61" s="493"/>
      <c r="AA61" s="493"/>
      <c r="AB61" s="413"/>
      <c r="AC61" s="413"/>
      <c r="AD61" s="413"/>
      <c r="AE61" s="413"/>
      <c r="AF61" s="413"/>
    </row>
    <row r="62" spans="1:32" x14ac:dyDescent="0.25">
      <c r="A62" s="49">
        <f>+'A) Base RI'!A63</f>
        <v>5493</v>
      </c>
      <c r="B62" s="458" t="str">
        <f>+'A) Base RI'!B63</f>
        <v>Orny</v>
      </c>
      <c r="C62" s="298">
        <f>+'D) Ecrêtage'!C62</f>
        <v>13489.946448893574</v>
      </c>
      <c r="D62" s="430"/>
      <c r="E62" s="430"/>
      <c r="F62" s="430"/>
      <c r="G62" s="430"/>
      <c r="H62" s="428"/>
      <c r="I62" s="298">
        <f t="shared" si="3"/>
        <v>0</v>
      </c>
      <c r="J62" s="278">
        <f t="shared" si="0"/>
        <v>107919.57159114859</v>
      </c>
      <c r="K62" s="10">
        <f t="shared" si="4"/>
        <v>0</v>
      </c>
      <c r="L62" s="295" t="e">
        <f t="shared" si="5"/>
        <v>#DIV/0!</v>
      </c>
      <c r="M62" s="10"/>
      <c r="N62" s="10"/>
      <c r="O62" s="432"/>
      <c r="P62" s="10">
        <f t="shared" si="1"/>
        <v>13489.946448893574</v>
      </c>
      <c r="Q62" s="14">
        <f t="shared" si="6"/>
        <v>0</v>
      </c>
      <c r="R62" s="2" t="e">
        <f t="shared" si="7"/>
        <v>#DIV/0!</v>
      </c>
      <c r="S62" s="130" t="e">
        <f t="shared" si="8"/>
        <v>#DIV/0!</v>
      </c>
      <c r="T62" s="427" t="e">
        <f t="shared" si="2"/>
        <v>#DIV/0!</v>
      </c>
      <c r="U62" s="126"/>
      <c r="V62" s="493"/>
      <c r="W62" s="493"/>
      <c r="X62" s="493"/>
      <c r="Y62" s="493"/>
      <c r="Z62" s="493"/>
      <c r="AA62" s="493"/>
      <c r="AB62" s="413"/>
      <c r="AC62" s="413"/>
      <c r="AD62" s="413"/>
      <c r="AE62" s="413"/>
      <c r="AF62" s="413"/>
    </row>
    <row r="63" spans="1:32" x14ac:dyDescent="0.25">
      <c r="A63" s="49">
        <f>+'A) Base RI'!A64</f>
        <v>5494</v>
      </c>
      <c r="B63" s="458" t="str">
        <f>+'A) Base RI'!B64</f>
        <v>Pampigny</v>
      </c>
      <c r="C63" s="298">
        <f>+'D) Ecrêtage'!C63</f>
        <v>43210.558962818002</v>
      </c>
      <c r="D63" s="430"/>
      <c r="E63" s="430"/>
      <c r="F63" s="430"/>
      <c r="G63" s="430"/>
      <c r="H63" s="428"/>
      <c r="I63" s="298">
        <f t="shared" si="3"/>
        <v>0</v>
      </c>
      <c r="J63" s="278">
        <f t="shared" si="0"/>
        <v>345684.47170254402</v>
      </c>
      <c r="K63" s="10">
        <f t="shared" si="4"/>
        <v>0</v>
      </c>
      <c r="L63" s="295" t="e">
        <f t="shared" si="5"/>
        <v>#DIV/0!</v>
      </c>
      <c r="M63" s="10"/>
      <c r="N63" s="10"/>
      <c r="O63" s="432"/>
      <c r="P63" s="10">
        <f t="shared" si="1"/>
        <v>43210.558962818002</v>
      </c>
      <c r="Q63" s="14">
        <f t="shared" si="6"/>
        <v>0</v>
      </c>
      <c r="R63" s="2" t="e">
        <f t="shared" si="7"/>
        <v>#DIV/0!</v>
      </c>
      <c r="S63" s="130" t="e">
        <f t="shared" si="8"/>
        <v>#DIV/0!</v>
      </c>
      <c r="T63" s="427" t="e">
        <f t="shared" si="2"/>
        <v>#DIV/0!</v>
      </c>
      <c r="U63" s="126"/>
      <c r="V63" s="493"/>
      <c r="W63" s="493"/>
      <c r="X63" s="493"/>
      <c r="Y63" s="493"/>
      <c r="Z63" s="493"/>
      <c r="AA63" s="493"/>
      <c r="AB63" s="413"/>
      <c r="AC63" s="413"/>
      <c r="AD63" s="413"/>
      <c r="AE63" s="413"/>
      <c r="AF63" s="413"/>
    </row>
    <row r="64" spans="1:32" x14ac:dyDescent="0.25">
      <c r="A64" s="49">
        <f>+'A) Base RI'!A65</f>
        <v>5495</v>
      </c>
      <c r="B64" s="458" t="str">
        <f>+'A) Base RI'!B65</f>
        <v>Penthalaz</v>
      </c>
      <c r="C64" s="298">
        <f>+'D) Ecrêtage'!C64</f>
        <v>95314.520135135113</v>
      </c>
      <c r="D64" s="430"/>
      <c r="E64" s="430"/>
      <c r="F64" s="430"/>
      <c r="G64" s="430"/>
      <c r="H64" s="428"/>
      <c r="I64" s="298">
        <f t="shared" si="3"/>
        <v>0</v>
      </c>
      <c r="J64" s="278">
        <f t="shared" si="0"/>
        <v>762516.16108108091</v>
      </c>
      <c r="K64" s="10">
        <f t="shared" si="4"/>
        <v>0</v>
      </c>
      <c r="L64" s="295" t="e">
        <f t="shared" si="5"/>
        <v>#DIV/0!</v>
      </c>
      <c r="M64" s="10"/>
      <c r="N64" s="10"/>
      <c r="O64" s="432"/>
      <c r="P64" s="10">
        <f t="shared" si="1"/>
        <v>95314.520135135113</v>
      </c>
      <c r="Q64" s="14">
        <f t="shared" si="6"/>
        <v>0</v>
      </c>
      <c r="R64" s="2" t="e">
        <f t="shared" si="7"/>
        <v>#DIV/0!</v>
      </c>
      <c r="S64" s="130" t="e">
        <f t="shared" si="8"/>
        <v>#DIV/0!</v>
      </c>
      <c r="T64" s="427" t="e">
        <f t="shared" si="2"/>
        <v>#DIV/0!</v>
      </c>
      <c r="U64" s="126"/>
      <c r="V64" s="493"/>
      <c r="W64" s="493"/>
      <c r="X64" s="493"/>
      <c r="Y64" s="493"/>
      <c r="Z64" s="493"/>
      <c r="AA64" s="493"/>
      <c r="AB64" s="413"/>
      <c r="AC64" s="413"/>
      <c r="AD64" s="413"/>
      <c r="AE64" s="413"/>
      <c r="AF64" s="413"/>
    </row>
    <row r="65" spans="1:32" x14ac:dyDescent="0.25">
      <c r="A65" s="49">
        <f>+'A) Base RI'!A66</f>
        <v>5496</v>
      </c>
      <c r="B65" s="458" t="str">
        <f>+'A) Base RI'!B66</f>
        <v>Penthaz</v>
      </c>
      <c r="C65" s="298">
        <f>+'D) Ecrêtage'!C65</f>
        <v>56267.911654676267</v>
      </c>
      <c r="D65" s="430"/>
      <c r="E65" s="430"/>
      <c r="F65" s="430"/>
      <c r="G65" s="430"/>
      <c r="H65" s="428"/>
      <c r="I65" s="298">
        <f t="shared" si="3"/>
        <v>0</v>
      </c>
      <c r="J65" s="278">
        <f t="shared" si="0"/>
        <v>450143.29323741014</v>
      </c>
      <c r="K65" s="10">
        <f t="shared" si="4"/>
        <v>0</v>
      </c>
      <c r="L65" s="295" t="e">
        <f t="shared" si="5"/>
        <v>#DIV/0!</v>
      </c>
      <c r="M65" s="10"/>
      <c r="N65" s="10"/>
      <c r="O65" s="432"/>
      <c r="P65" s="10">
        <f t="shared" si="1"/>
        <v>56267.911654676267</v>
      </c>
      <c r="Q65" s="14">
        <f t="shared" si="6"/>
        <v>0</v>
      </c>
      <c r="R65" s="2" t="e">
        <f t="shared" si="7"/>
        <v>#DIV/0!</v>
      </c>
      <c r="S65" s="130" t="e">
        <f t="shared" si="8"/>
        <v>#DIV/0!</v>
      </c>
      <c r="T65" s="427" t="e">
        <f t="shared" si="2"/>
        <v>#DIV/0!</v>
      </c>
      <c r="U65" s="126"/>
      <c r="V65" s="493"/>
      <c r="W65" s="493"/>
      <c r="X65" s="493"/>
      <c r="Y65" s="493"/>
      <c r="Z65" s="493"/>
      <c r="AA65" s="493"/>
      <c r="AB65" s="413"/>
      <c r="AC65" s="413"/>
      <c r="AD65" s="413"/>
      <c r="AE65" s="413"/>
      <c r="AF65" s="413"/>
    </row>
    <row r="66" spans="1:32" x14ac:dyDescent="0.25">
      <c r="A66" s="49">
        <f>+'A) Base RI'!A67</f>
        <v>5497</v>
      </c>
      <c r="B66" s="458" t="str">
        <f>+'A) Base RI'!B67</f>
        <v>Pompaples</v>
      </c>
      <c r="C66" s="298">
        <f>+'D) Ecrêtage'!C66</f>
        <v>22253.499393939397</v>
      </c>
      <c r="D66" s="430"/>
      <c r="E66" s="430"/>
      <c r="F66" s="430"/>
      <c r="G66" s="430"/>
      <c r="H66" s="428"/>
      <c r="I66" s="298">
        <f t="shared" si="3"/>
        <v>0</v>
      </c>
      <c r="J66" s="278">
        <f t="shared" si="0"/>
        <v>178027.99515151518</v>
      </c>
      <c r="K66" s="10">
        <f t="shared" si="4"/>
        <v>0</v>
      </c>
      <c r="L66" s="295" t="e">
        <f t="shared" si="5"/>
        <v>#DIV/0!</v>
      </c>
      <c r="M66" s="10"/>
      <c r="N66" s="10"/>
      <c r="O66" s="432"/>
      <c r="P66" s="10">
        <f t="shared" si="1"/>
        <v>22253.499393939397</v>
      </c>
      <c r="Q66" s="14">
        <f t="shared" si="6"/>
        <v>0</v>
      </c>
      <c r="R66" s="2" t="e">
        <f t="shared" si="7"/>
        <v>#DIV/0!</v>
      </c>
      <c r="S66" s="130" t="e">
        <f t="shared" si="8"/>
        <v>#DIV/0!</v>
      </c>
      <c r="T66" s="427" t="e">
        <f t="shared" si="2"/>
        <v>#DIV/0!</v>
      </c>
      <c r="U66" s="126"/>
      <c r="V66" s="493"/>
      <c r="W66" s="493"/>
      <c r="X66" s="493"/>
      <c r="Y66" s="493"/>
      <c r="Z66" s="493"/>
      <c r="AA66" s="493"/>
      <c r="AB66" s="413"/>
      <c r="AC66" s="413"/>
      <c r="AD66" s="413"/>
      <c r="AE66" s="413"/>
      <c r="AF66" s="413"/>
    </row>
    <row r="67" spans="1:32" x14ac:dyDescent="0.25">
      <c r="A67" s="49">
        <f>+'A) Base RI'!A68</f>
        <v>5498</v>
      </c>
      <c r="B67" s="458" t="str">
        <f>+'A) Base RI'!B68</f>
        <v>La Sarraz</v>
      </c>
      <c r="C67" s="298">
        <f>+'D) Ecrêtage'!C67</f>
        <v>74682.149090909108</v>
      </c>
      <c r="D67" s="430"/>
      <c r="E67" s="430"/>
      <c r="F67" s="430"/>
      <c r="G67" s="430"/>
      <c r="H67" s="428"/>
      <c r="I67" s="298">
        <f t="shared" si="3"/>
        <v>0</v>
      </c>
      <c r="J67" s="278">
        <f t="shared" si="0"/>
        <v>597457.19272727286</v>
      </c>
      <c r="K67" s="10">
        <f t="shared" si="4"/>
        <v>0</v>
      </c>
      <c r="L67" s="295" t="e">
        <f t="shared" si="5"/>
        <v>#DIV/0!</v>
      </c>
      <c r="M67" s="10"/>
      <c r="N67" s="10"/>
      <c r="O67" s="432"/>
      <c r="P67" s="10">
        <f t="shared" si="1"/>
        <v>74682.149090909108</v>
      </c>
      <c r="Q67" s="14">
        <f t="shared" si="6"/>
        <v>0</v>
      </c>
      <c r="R67" s="2" t="e">
        <f t="shared" si="7"/>
        <v>#DIV/0!</v>
      </c>
      <c r="S67" s="130" t="e">
        <f t="shared" si="8"/>
        <v>#DIV/0!</v>
      </c>
      <c r="T67" s="427" t="e">
        <f t="shared" si="2"/>
        <v>#DIV/0!</v>
      </c>
      <c r="U67" s="126"/>
      <c r="V67" s="493"/>
      <c r="W67" s="493"/>
      <c r="X67" s="493"/>
      <c r="Y67" s="493"/>
      <c r="Z67" s="493"/>
      <c r="AA67" s="493"/>
      <c r="AB67" s="413"/>
      <c r="AC67" s="413"/>
      <c r="AD67" s="413"/>
      <c r="AE67" s="413"/>
      <c r="AF67" s="413"/>
    </row>
    <row r="68" spans="1:32" x14ac:dyDescent="0.25">
      <c r="A68" s="49">
        <f>+'A) Base RI'!A69</f>
        <v>5499</v>
      </c>
      <c r="B68" s="458" t="str">
        <f>+'A) Base RI'!B69</f>
        <v>Senarclens</v>
      </c>
      <c r="C68" s="298">
        <f>+'D) Ecrêtage'!C68</f>
        <v>18238.904233576643</v>
      </c>
      <c r="D68" s="430"/>
      <c r="E68" s="430"/>
      <c r="F68" s="430"/>
      <c r="G68" s="430"/>
      <c r="H68" s="428"/>
      <c r="I68" s="298">
        <f t="shared" si="3"/>
        <v>0</v>
      </c>
      <c r="J68" s="278">
        <f t="shared" si="0"/>
        <v>145911.23386861314</v>
      </c>
      <c r="K68" s="10">
        <f t="shared" si="4"/>
        <v>0</v>
      </c>
      <c r="L68" s="295" t="e">
        <f t="shared" si="5"/>
        <v>#DIV/0!</v>
      </c>
      <c r="M68" s="10"/>
      <c r="N68" s="10"/>
      <c r="O68" s="432"/>
      <c r="P68" s="10">
        <f t="shared" si="1"/>
        <v>18238.904233576643</v>
      </c>
      <c r="Q68" s="14">
        <f t="shared" si="6"/>
        <v>0</v>
      </c>
      <c r="R68" s="2" t="e">
        <f t="shared" si="7"/>
        <v>#DIV/0!</v>
      </c>
      <c r="S68" s="130" t="e">
        <f t="shared" si="8"/>
        <v>#DIV/0!</v>
      </c>
      <c r="T68" s="427" t="e">
        <f t="shared" si="2"/>
        <v>#DIV/0!</v>
      </c>
      <c r="U68" s="126"/>
      <c r="V68" s="493"/>
      <c r="W68" s="493"/>
      <c r="X68" s="493"/>
      <c r="Y68" s="493"/>
      <c r="Z68" s="493"/>
      <c r="AA68" s="493"/>
      <c r="AB68" s="413"/>
      <c r="AC68" s="413"/>
      <c r="AD68" s="413"/>
      <c r="AE68" s="413"/>
      <c r="AF68" s="413"/>
    </row>
    <row r="69" spans="1:32" x14ac:dyDescent="0.25">
      <c r="A69" s="49">
        <f>+'A) Base RI'!A70</f>
        <v>5500</v>
      </c>
      <c r="B69" s="458" t="str">
        <f>+'A) Base RI'!B70</f>
        <v>Sévery</v>
      </c>
      <c r="C69" s="298">
        <f>+'D) Ecrêtage'!C69</f>
        <v>7230.3632420091335</v>
      </c>
      <c r="D69" s="430"/>
      <c r="E69" s="430"/>
      <c r="F69" s="430"/>
      <c r="G69" s="430"/>
      <c r="H69" s="428"/>
      <c r="I69" s="298">
        <f t="shared" si="3"/>
        <v>0</v>
      </c>
      <c r="J69" s="278">
        <f t="shared" si="0"/>
        <v>57842.905936073068</v>
      </c>
      <c r="K69" s="10">
        <f t="shared" si="4"/>
        <v>0</v>
      </c>
      <c r="L69" s="295" t="e">
        <f t="shared" si="5"/>
        <v>#DIV/0!</v>
      </c>
      <c r="M69" s="10"/>
      <c r="N69" s="10"/>
      <c r="O69" s="432"/>
      <c r="P69" s="10">
        <f t="shared" si="1"/>
        <v>7230.3632420091335</v>
      </c>
      <c r="Q69" s="14">
        <f t="shared" si="6"/>
        <v>0</v>
      </c>
      <c r="R69" s="2" t="e">
        <f t="shared" si="7"/>
        <v>#DIV/0!</v>
      </c>
      <c r="S69" s="130" t="e">
        <f t="shared" si="8"/>
        <v>#DIV/0!</v>
      </c>
      <c r="T69" s="427" t="e">
        <f t="shared" si="2"/>
        <v>#DIV/0!</v>
      </c>
      <c r="U69" s="126"/>
      <c r="V69" s="493"/>
      <c r="W69" s="493"/>
      <c r="X69" s="493"/>
      <c r="Y69" s="493"/>
      <c r="Z69" s="493"/>
      <c r="AA69" s="493"/>
      <c r="AB69" s="413"/>
      <c r="AC69" s="413"/>
      <c r="AD69" s="413"/>
      <c r="AE69" s="413"/>
      <c r="AF69" s="413"/>
    </row>
    <row r="70" spans="1:32" x14ac:dyDescent="0.25">
      <c r="A70" s="49">
        <f>+'A) Base RI'!A71</f>
        <v>5501</v>
      </c>
      <c r="B70" s="458" t="str">
        <f>+'A) Base RI'!B71</f>
        <v>Sullens</v>
      </c>
      <c r="C70" s="298">
        <f>+'D) Ecrêtage'!C70</f>
        <v>43195.598978102193</v>
      </c>
      <c r="D70" s="430"/>
      <c r="E70" s="430"/>
      <c r="F70" s="430"/>
      <c r="G70" s="430"/>
      <c r="H70" s="428"/>
      <c r="I70" s="298">
        <f t="shared" ref="I70:I133" si="9">SUM(F70:H70)</f>
        <v>0</v>
      </c>
      <c r="J70" s="278">
        <f t="shared" ref="J70:J133" si="10">+C70*$K$5</f>
        <v>345564.79182481754</v>
      </c>
      <c r="K70" s="10">
        <f t="shared" ref="K70:K133" si="11">IF(I70&gt;J70,I70-J70,0)</f>
        <v>0</v>
      </c>
      <c r="L70" s="295" t="e">
        <f t="shared" ref="L70:L133" si="12">-K70*L$5</f>
        <v>#DIV/0!</v>
      </c>
      <c r="M70" s="10"/>
      <c r="N70" s="10"/>
      <c r="O70" s="432"/>
      <c r="P70" s="10">
        <f t="shared" ref="P70:P133" si="13">C70*Q$5</f>
        <v>43195.598978102193</v>
      </c>
      <c r="Q70" s="14">
        <f t="shared" ref="Q70:Q133" si="14">IF(O70&gt;P70,O70-P70,0)</f>
        <v>0</v>
      </c>
      <c r="R70" s="2" t="e">
        <f t="shared" ref="R70:R133" si="15">-Q70*R$5</f>
        <v>#DIV/0!</v>
      </c>
      <c r="S70" s="130" t="e">
        <f t="shared" ref="S70:S133" si="16">R70+L70</f>
        <v>#DIV/0!</v>
      </c>
      <c r="T70" s="427" t="e">
        <f t="shared" ref="T70:T133" si="17">+S70/C70</f>
        <v>#DIV/0!</v>
      </c>
      <c r="U70" s="126"/>
      <c r="V70" s="493"/>
      <c r="W70" s="493"/>
      <c r="X70" s="493"/>
      <c r="Y70" s="493"/>
      <c r="Z70" s="493"/>
      <c r="AA70" s="493"/>
      <c r="AB70" s="413"/>
      <c r="AC70" s="413"/>
      <c r="AD70" s="413"/>
      <c r="AE70" s="413"/>
      <c r="AF70" s="413"/>
    </row>
    <row r="71" spans="1:32" x14ac:dyDescent="0.25">
      <c r="A71" s="49">
        <f>+'A) Base RI'!A72</f>
        <v>5503</v>
      </c>
      <c r="B71" s="458" t="str">
        <f>+'A) Base RI'!B72</f>
        <v>Vufflens-la-Ville</v>
      </c>
      <c r="C71" s="298">
        <f>+'D) Ecrêtage'!C71</f>
        <v>79029.714875621881</v>
      </c>
      <c r="D71" s="430"/>
      <c r="E71" s="430"/>
      <c r="F71" s="430"/>
      <c r="G71" s="430"/>
      <c r="H71" s="428"/>
      <c r="I71" s="298">
        <f t="shared" si="9"/>
        <v>0</v>
      </c>
      <c r="J71" s="278">
        <f t="shared" si="10"/>
        <v>632237.71900497505</v>
      </c>
      <c r="K71" s="10">
        <f t="shared" si="11"/>
        <v>0</v>
      </c>
      <c r="L71" s="295" t="e">
        <f t="shared" si="12"/>
        <v>#DIV/0!</v>
      </c>
      <c r="M71" s="10"/>
      <c r="N71" s="10"/>
      <c r="O71" s="432"/>
      <c r="P71" s="10">
        <f t="shared" si="13"/>
        <v>79029.714875621881</v>
      </c>
      <c r="Q71" s="14">
        <f t="shared" si="14"/>
        <v>0</v>
      </c>
      <c r="R71" s="2" t="e">
        <f t="shared" si="15"/>
        <v>#DIV/0!</v>
      </c>
      <c r="S71" s="130" t="e">
        <f t="shared" si="16"/>
        <v>#DIV/0!</v>
      </c>
      <c r="T71" s="427" t="e">
        <f t="shared" si="17"/>
        <v>#DIV/0!</v>
      </c>
      <c r="U71" s="126"/>
      <c r="V71" s="493"/>
      <c r="W71" s="493"/>
      <c r="X71" s="493"/>
      <c r="Y71" s="493"/>
      <c r="Z71" s="493"/>
      <c r="AA71" s="493"/>
      <c r="AB71" s="413"/>
      <c r="AC71" s="413"/>
      <c r="AD71" s="413"/>
      <c r="AE71" s="413"/>
      <c r="AF71" s="413"/>
    </row>
    <row r="72" spans="1:32" x14ac:dyDescent="0.25">
      <c r="A72" s="49">
        <f>+'A) Base RI'!A73</f>
        <v>5511</v>
      </c>
      <c r="B72" s="458" t="str">
        <f>+'A) Base RI'!B73</f>
        <v>Assens</v>
      </c>
      <c r="C72" s="298">
        <f>+'D) Ecrêtage'!C72</f>
        <v>47333.455142857143</v>
      </c>
      <c r="D72" s="430"/>
      <c r="E72" s="430"/>
      <c r="F72" s="430"/>
      <c r="G72" s="430"/>
      <c r="H72" s="428"/>
      <c r="I72" s="298">
        <f t="shared" si="9"/>
        <v>0</v>
      </c>
      <c r="J72" s="278">
        <f t="shared" si="10"/>
        <v>378667.64114285714</v>
      </c>
      <c r="K72" s="10">
        <f t="shared" si="11"/>
        <v>0</v>
      </c>
      <c r="L72" s="295" t="e">
        <f t="shared" si="12"/>
        <v>#DIV/0!</v>
      </c>
      <c r="M72" s="10"/>
      <c r="N72" s="10"/>
      <c r="O72" s="432"/>
      <c r="P72" s="10">
        <f t="shared" si="13"/>
        <v>47333.455142857143</v>
      </c>
      <c r="Q72" s="14">
        <f t="shared" si="14"/>
        <v>0</v>
      </c>
      <c r="R72" s="2" t="e">
        <f t="shared" si="15"/>
        <v>#DIV/0!</v>
      </c>
      <c r="S72" s="130" t="e">
        <f t="shared" si="16"/>
        <v>#DIV/0!</v>
      </c>
      <c r="T72" s="427" t="e">
        <f t="shared" si="17"/>
        <v>#DIV/0!</v>
      </c>
      <c r="U72" s="126"/>
      <c r="V72" s="493"/>
      <c r="W72" s="493"/>
      <c r="X72" s="493"/>
      <c r="Y72" s="493"/>
      <c r="Z72" s="493"/>
      <c r="AA72" s="493"/>
      <c r="AB72" s="413"/>
      <c r="AC72" s="413"/>
      <c r="AD72" s="413"/>
      <c r="AE72" s="413"/>
      <c r="AF72" s="413"/>
    </row>
    <row r="73" spans="1:32" x14ac:dyDescent="0.25">
      <c r="A73" s="49">
        <f>+'A) Base RI'!A74</f>
        <v>5512</v>
      </c>
      <c r="B73" s="458" t="str">
        <f>+'A) Base RI'!B74</f>
        <v>Bercher</v>
      </c>
      <c r="C73" s="298">
        <f>+'D) Ecrêtage'!C73</f>
        <v>40764.12544303797</v>
      </c>
      <c r="D73" s="430"/>
      <c r="E73" s="430"/>
      <c r="F73" s="430"/>
      <c r="G73" s="430"/>
      <c r="H73" s="428"/>
      <c r="I73" s="298">
        <f t="shared" si="9"/>
        <v>0</v>
      </c>
      <c r="J73" s="278">
        <f t="shared" si="10"/>
        <v>326113.00354430376</v>
      </c>
      <c r="K73" s="10">
        <f t="shared" si="11"/>
        <v>0</v>
      </c>
      <c r="L73" s="295" t="e">
        <f t="shared" si="12"/>
        <v>#DIV/0!</v>
      </c>
      <c r="M73" s="10"/>
      <c r="N73" s="10"/>
      <c r="O73" s="432"/>
      <c r="P73" s="10">
        <f t="shared" si="13"/>
        <v>40764.12544303797</v>
      </c>
      <c r="Q73" s="14">
        <f t="shared" si="14"/>
        <v>0</v>
      </c>
      <c r="R73" s="2" t="e">
        <f t="shared" si="15"/>
        <v>#DIV/0!</v>
      </c>
      <c r="S73" s="130" t="e">
        <f t="shared" si="16"/>
        <v>#DIV/0!</v>
      </c>
      <c r="T73" s="427" t="e">
        <f t="shared" si="17"/>
        <v>#DIV/0!</v>
      </c>
      <c r="U73" s="126"/>
      <c r="V73" s="493"/>
      <c r="W73" s="493"/>
      <c r="X73" s="493"/>
      <c r="Y73" s="493"/>
      <c r="Z73" s="493"/>
      <c r="AA73" s="493"/>
      <c r="AB73" s="413"/>
      <c r="AC73" s="413"/>
      <c r="AD73" s="413"/>
      <c r="AE73" s="413"/>
      <c r="AF73" s="413"/>
    </row>
    <row r="74" spans="1:32" x14ac:dyDescent="0.25">
      <c r="A74" s="49">
        <f>+'A) Base RI'!A75</f>
        <v>5513</v>
      </c>
      <c r="B74" s="458" t="str">
        <f>+'A) Base RI'!B75</f>
        <v>Bioley-Orjulaz</v>
      </c>
      <c r="C74" s="298">
        <f>+'D) Ecrêtage'!C74</f>
        <v>22739.022647058824</v>
      </c>
      <c r="D74" s="430"/>
      <c r="E74" s="430"/>
      <c r="F74" s="430"/>
      <c r="G74" s="430"/>
      <c r="H74" s="428"/>
      <c r="I74" s="298">
        <f t="shared" si="9"/>
        <v>0</v>
      </c>
      <c r="J74" s="278">
        <f t="shared" si="10"/>
        <v>181912.18117647059</v>
      </c>
      <c r="K74" s="10">
        <f t="shared" si="11"/>
        <v>0</v>
      </c>
      <c r="L74" s="295" t="e">
        <f t="shared" si="12"/>
        <v>#DIV/0!</v>
      </c>
      <c r="M74" s="10"/>
      <c r="N74" s="10"/>
      <c r="O74" s="432"/>
      <c r="P74" s="10">
        <f t="shared" si="13"/>
        <v>22739.022647058824</v>
      </c>
      <c r="Q74" s="14">
        <f t="shared" si="14"/>
        <v>0</v>
      </c>
      <c r="R74" s="2" t="e">
        <f t="shared" si="15"/>
        <v>#DIV/0!</v>
      </c>
      <c r="S74" s="130" t="e">
        <f t="shared" si="16"/>
        <v>#DIV/0!</v>
      </c>
      <c r="T74" s="427" t="e">
        <f t="shared" si="17"/>
        <v>#DIV/0!</v>
      </c>
      <c r="U74" s="126"/>
      <c r="V74" s="493"/>
      <c r="W74" s="493"/>
      <c r="X74" s="493"/>
      <c r="Y74" s="493"/>
      <c r="Z74" s="493"/>
      <c r="AA74" s="493"/>
      <c r="AB74" s="413"/>
      <c r="AC74" s="413"/>
      <c r="AD74" s="413"/>
      <c r="AE74" s="413"/>
      <c r="AF74" s="413"/>
    </row>
    <row r="75" spans="1:32" x14ac:dyDescent="0.25">
      <c r="A75" s="49">
        <f>+'A) Base RI'!A76</f>
        <v>5514</v>
      </c>
      <c r="B75" s="458" t="str">
        <f>+'A) Base RI'!B76</f>
        <v>Bottens</v>
      </c>
      <c r="C75" s="298">
        <f>+'D) Ecrêtage'!C75</f>
        <v>44223.41544827586</v>
      </c>
      <c r="D75" s="430"/>
      <c r="E75" s="430"/>
      <c r="F75" s="430"/>
      <c r="G75" s="430"/>
      <c r="H75" s="428"/>
      <c r="I75" s="298">
        <f t="shared" si="9"/>
        <v>0</v>
      </c>
      <c r="J75" s="278">
        <f t="shared" si="10"/>
        <v>353787.32358620688</v>
      </c>
      <c r="K75" s="10">
        <f t="shared" si="11"/>
        <v>0</v>
      </c>
      <c r="L75" s="295" t="e">
        <f t="shared" si="12"/>
        <v>#DIV/0!</v>
      </c>
      <c r="M75" s="10"/>
      <c r="N75" s="10"/>
      <c r="O75" s="432"/>
      <c r="P75" s="10">
        <f t="shared" si="13"/>
        <v>44223.41544827586</v>
      </c>
      <c r="Q75" s="14">
        <f t="shared" si="14"/>
        <v>0</v>
      </c>
      <c r="R75" s="2" t="e">
        <f t="shared" si="15"/>
        <v>#DIV/0!</v>
      </c>
      <c r="S75" s="130" t="e">
        <f t="shared" si="16"/>
        <v>#DIV/0!</v>
      </c>
      <c r="T75" s="427" t="e">
        <f t="shared" si="17"/>
        <v>#DIV/0!</v>
      </c>
      <c r="U75" s="126"/>
      <c r="V75" s="493"/>
      <c r="W75" s="493"/>
      <c r="X75" s="493"/>
      <c r="Y75" s="493"/>
      <c r="Z75" s="493"/>
      <c r="AA75" s="493"/>
      <c r="AB75" s="413"/>
      <c r="AC75" s="413"/>
      <c r="AD75" s="413"/>
      <c r="AE75" s="413"/>
      <c r="AF75" s="413"/>
    </row>
    <row r="76" spans="1:32" x14ac:dyDescent="0.25">
      <c r="A76" s="49">
        <f>+'A) Base RI'!A77</f>
        <v>5515</v>
      </c>
      <c r="B76" s="458" t="str">
        <f>+'A) Base RI'!B77</f>
        <v>Bretigny-sur-Morrens</v>
      </c>
      <c r="C76" s="298">
        <f>+'D) Ecrêtage'!C76</f>
        <v>32348.775256410252</v>
      </c>
      <c r="D76" s="430"/>
      <c r="E76" s="430"/>
      <c r="F76" s="430"/>
      <c r="G76" s="430"/>
      <c r="H76" s="428"/>
      <c r="I76" s="298">
        <f t="shared" si="9"/>
        <v>0</v>
      </c>
      <c r="J76" s="278">
        <f t="shared" si="10"/>
        <v>258790.20205128202</v>
      </c>
      <c r="K76" s="10">
        <f t="shared" si="11"/>
        <v>0</v>
      </c>
      <c r="L76" s="295" t="e">
        <f t="shared" si="12"/>
        <v>#DIV/0!</v>
      </c>
      <c r="M76" s="10"/>
      <c r="N76" s="10"/>
      <c r="O76" s="432"/>
      <c r="P76" s="10">
        <f t="shared" si="13"/>
        <v>32348.775256410252</v>
      </c>
      <c r="Q76" s="14">
        <f t="shared" si="14"/>
        <v>0</v>
      </c>
      <c r="R76" s="2" t="e">
        <f t="shared" si="15"/>
        <v>#DIV/0!</v>
      </c>
      <c r="S76" s="130" t="e">
        <f t="shared" si="16"/>
        <v>#DIV/0!</v>
      </c>
      <c r="T76" s="427" t="e">
        <f t="shared" si="17"/>
        <v>#DIV/0!</v>
      </c>
      <c r="U76" s="126"/>
      <c r="V76" s="493"/>
      <c r="W76" s="493"/>
      <c r="X76" s="493"/>
      <c r="Y76" s="493"/>
      <c r="Z76" s="493"/>
      <c r="AA76" s="493"/>
      <c r="AB76" s="413"/>
      <c r="AC76" s="413"/>
      <c r="AD76" s="413"/>
      <c r="AE76" s="413"/>
      <c r="AF76" s="413"/>
    </row>
    <row r="77" spans="1:32" x14ac:dyDescent="0.25">
      <c r="A77" s="49">
        <f>+'A) Base RI'!A78</f>
        <v>5516</v>
      </c>
      <c r="B77" s="458" t="str">
        <f>+'A) Base RI'!B78</f>
        <v>Cugy</v>
      </c>
      <c r="C77" s="298">
        <f>+'D) Ecrêtage'!C77</f>
        <v>111604.91621794872</v>
      </c>
      <c r="D77" s="430"/>
      <c r="E77" s="430"/>
      <c r="F77" s="430"/>
      <c r="G77" s="430"/>
      <c r="H77" s="428"/>
      <c r="I77" s="298">
        <f t="shared" si="9"/>
        <v>0</v>
      </c>
      <c r="J77" s="278">
        <f t="shared" si="10"/>
        <v>892839.32974358974</v>
      </c>
      <c r="K77" s="10">
        <f t="shared" si="11"/>
        <v>0</v>
      </c>
      <c r="L77" s="295" t="e">
        <f t="shared" si="12"/>
        <v>#DIV/0!</v>
      </c>
      <c r="M77" s="10"/>
      <c r="N77" s="10"/>
      <c r="O77" s="432"/>
      <c r="P77" s="10">
        <f t="shared" si="13"/>
        <v>111604.91621794872</v>
      </c>
      <c r="Q77" s="14">
        <f t="shared" si="14"/>
        <v>0</v>
      </c>
      <c r="R77" s="2" t="e">
        <f t="shared" si="15"/>
        <v>#DIV/0!</v>
      </c>
      <c r="S77" s="130" t="e">
        <f t="shared" si="16"/>
        <v>#DIV/0!</v>
      </c>
      <c r="T77" s="427" t="e">
        <f t="shared" si="17"/>
        <v>#DIV/0!</v>
      </c>
      <c r="U77" s="126"/>
      <c r="V77" s="493"/>
      <c r="W77" s="493"/>
      <c r="X77" s="493"/>
      <c r="Y77" s="493"/>
      <c r="Z77" s="493"/>
      <c r="AA77" s="493"/>
      <c r="AB77" s="413"/>
      <c r="AC77" s="413"/>
      <c r="AD77" s="413"/>
      <c r="AE77" s="413"/>
      <c r="AF77" s="413"/>
    </row>
    <row r="78" spans="1:32" x14ac:dyDescent="0.25">
      <c r="A78" s="49">
        <f>+'A) Base RI'!A79</f>
        <v>5518</v>
      </c>
      <c r="B78" s="458" t="str">
        <f>+'A) Base RI'!B79</f>
        <v>Echallens</v>
      </c>
      <c r="C78" s="298">
        <f>+'D) Ecrêtage'!C78</f>
        <v>183030.51158620688</v>
      </c>
      <c r="D78" s="430"/>
      <c r="E78" s="430"/>
      <c r="F78" s="430"/>
      <c r="G78" s="430"/>
      <c r="H78" s="428"/>
      <c r="I78" s="298">
        <f t="shared" si="9"/>
        <v>0</v>
      </c>
      <c r="J78" s="278">
        <f t="shared" si="10"/>
        <v>1464244.092689655</v>
      </c>
      <c r="K78" s="10">
        <f t="shared" si="11"/>
        <v>0</v>
      </c>
      <c r="L78" s="295" t="e">
        <f t="shared" si="12"/>
        <v>#DIV/0!</v>
      </c>
      <c r="M78" s="10"/>
      <c r="N78" s="10"/>
      <c r="O78" s="432"/>
      <c r="P78" s="10">
        <f t="shared" si="13"/>
        <v>183030.51158620688</v>
      </c>
      <c r="Q78" s="14">
        <f t="shared" si="14"/>
        <v>0</v>
      </c>
      <c r="R78" s="2" t="e">
        <f t="shared" si="15"/>
        <v>#DIV/0!</v>
      </c>
      <c r="S78" s="130" t="e">
        <f t="shared" si="16"/>
        <v>#DIV/0!</v>
      </c>
      <c r="T78" s="427" t="e">
        <f t="shared" si="17"/>
        <v>#DIV/0!</v>
      </c>
      <c r="U78" s="126"/>
      <c r="V78" s="493"/>
      <c r="W78" s="493"/>
      <c r="X78" s="493"/>
      <c r="Y78" s="493"/>
      <c r="Z78" s="493"/>
      <c r="AA78" s="493"/>
      <c r="AB78" s="413"/>
      <c r="AC78" s="413"/>
      <c r="AD78" s="413"/>
      <c r="AE78" s="413"/>
      <c r="AF78" s="413"/>
    </row>
    <row r="79" spans="1:32" x14ac:dyDescent="0.25">
      <c r="A79" s="49">
        <f>+'A) Base RI'!A80</f>
        <v>5520</v>
      </c>
      <c r="B79" s="458" t="str">
        <f>+'A) Base RI'!B80</f>
        <v>Essertines-sur-Yverdon</v>
      </c>
      <c r="C79" s="298">
        <f>+'D) Ecrêtage'!C79</f>
        <v>31696.699178082192</v>
      </c>
      <c r="D79" s="430"/>
      <c r="E79" s="430"/>
      <c r="F79" s="430"/>
      <c r="G79" s="430"/>
      <c r="H79" s="428"/>
      <c r="I79" s="298">
        <f t="shared" si="9"/>
        <v>0</v>
      </c>
      <c r="J79" s="278">
        <f t="shared" si="10"/>
        <v>253573.59342465753</v>
      </c>
      <c r="K79" s="10">
        <f t="shared" si="11"/>
        <v>0</v>
      </c>
      <c r="L79" s="295" t="e">
        <f t="shared" si="12"/>
        <v>#DIV/0!</v>
      </c>
      <c r="M79" s="10"/>
      <c r="N79" s="10"/>
      <c r="O79" s="432"/>
      <c r="P79" s="10">
        <f t="shared" si="13"/>
        <v>31696.699178082192</v>
      </c>
      <c r="Q79" s="14">
        <f t="shared" si="14"/>
        <v>0</v>
      </c>
      <c r="R79" s="2" t="e">
        <f t="shared" si="15"/>
        <v>#DIV/0!</v>
      </c>
      <c r="S79" s="130" t="e">
        <f t="shared" si="16"/>
        <v>#DIV/0!</v>
      </c>
      <c r="T79" s="427" t="e">
        <f t="shared" si="17"/>
        <v>#DIV/0!</v>
      </c>
      <c r="U79" s="126"/>
      <c r="V79" s="493"/>
      <c r="W79" s="493"/>
      <c r="X79" s="493"/>
      <c r="Y79" s="493"/>
      <c r="Z79" s="493"/>
      <c r="AA79" s="493"/>
      <c r="AB79" s="413"/>
      <c r="AC79" s="413"/>
      <c r="AD79" s="413"/>
      <c r="AE79" s="413"/>
      <c r="AF79" s="413"/>
    </row>
    <row r="80" spans="1:32" x14ac:dyDescent="0.25">
      <c r="A80" s="49">
        <f>+'A) Base RI'!A81</f>
        <v>5521</v>
      </c>
      <c r="B80" s="458" t="str">
        <f>+'A) Base RI'!B81</f>
        <v>Etagnières</v>
      </c>
      <c r="C80" s="298">
        <f>+'D) Ecrêtage'!C80</f>
        <v>42645.35479452055</v>
      </c>
      <c r="D80" s="430"/>
      <c r="E80" s="430"/>
      <c r="F80" s="430"/>
      <c r="G80" s="430"/>
      <c r="H80" s="428"/>
      <c r="I80" s="298">
        <f t="shared" si="9"/>
        <v>0</v>
      </c>
      <c r="J80" s="278">
        <f t="shared" si="10"/>
        <v>341162.8383561644</v>
      </c>
      <c r="K80" s="10">
        <f t="shared" si="11"/>
        <v>0</v>
      </c>
      <c r="L80" s="295" t="e">
        <f t="shared" si="12"/>
        <v>#DIV/0!</v>
      </c>
      <c r="M80" s="10"/>
      <c r="N80" s="10"/>
      <c r="O80" s="432"/>
      <c r="P80" s="10">
        <f t="shared" si="13"/>
        <v>42645.35479452055</v>
      </c>
      <c r="Q80" s="14">
        <f t="shared" si="14"/>
        <v>0</v>
      </c>
      <c r="R80" s="2" t="e">
        <f t="shared" si="15"/>
        <v>#DIV/0!</v>
      </c>
      <c r="S80" s="130" t="e">
        <f t="shared" si="16"/>
        <v>#DIV/0!</v>
      </c>
      <c r="T80" s="427" t="e">
        <f t="shared" si="17"/>
        <v>#DIV/0!</v>
      </c>
      <c r="U80" s="126"/>
      <c r="V80" s="493"/>
      <c r="W80" s="493"/>
      <c r="X80" s="493"/>
      <c r="Y80" s="493"/>
      <c r="Z80" s="493"/>
      <c r="AA80" s="493"/>
      <c r="AB80" s="413"/>
      <c r="AC80" s="413"/>
      <c r="AD80" s="413"/>
      <c r="AE80" s="413"/>
      <c r="AF80" s="413"/>
    </row>
    <row r="81" spans="1:32" x14ac:dyDescent="0.25">
      <c r="A81" s="49">
        <f>+'A) Base RI'!A82</f>
        <v>5522</v>
      </c>
      <c r="B81" s="458" t="str">
        <f>+'A) Base RI'!B82</f>
        <v>Fey</v>
      </c>
      <c r="C81" s="298">
        <f>+'D) Ecrêtage'!C81</f>
        <v>23924.3328</v>
      </c>
      <c r="D81" s="430"/>
      <c r="E81" s="430"/>
      <c r="F81" s="430"/>
      <c r="G81" s="430"/>
      <c r="H81" s="428"/>
      <c r="I81" s="298">
        <f t="shared" si="9"/>
        <v>0</v>
      </c>
      <c r="J81" s="278">
        <f t="shared" si="10"/>
        <v>191394.6624</v>
      </c>
      <c r="K81" s="10">
        <f t="shared" si="11"/>
        <v>0</v>
      </c>
      <c r="L81" s="295" t="e">
        <f t="shared" si="12"/>
        <v>#DIV/0!</v>
      </c>
      <c r="M81" s="10"/>
      <c r="N81" s="10"/>
      <c r="O81" s="432"/>
      <c r="P81" s="10">
        <f t="shared" si="13"/>
        <v>23924.3328</v>
      </c>
      <c r="Q81" s="14">
        <f t="shared" si="14"/>
        <v>0</v>
      </c>
      <c r="R81" s="2" t="e">
        <f t="shared" si="15"/>
        <v>#DIV/0!</v>
      </c>
      <c r="S81" s="130" t="e">
        <f t="shared" si="16"/>
        <v>#DIV/0!</v>
      </c>
      <c r="T81" s="427" t="e">
        <f t="shared" si="17"/>
        <v>#DIV/0!</v>
      </c>
      <c r="U81" s="126"/>
      <c r="V81" s="493"/>
      <c r="W81" s="493"/>
      <c r="X81" s="493"/>
      <c r="Y81" s="493"/>
      <c r="Z81" s="493"/>
      <c r="AA81" s="493"/>
      <c r="AB81" s="413"/>
      <c r="AC81" s="413"/>
      <c r="AD81" s="413"/>
      <c r="AE81" s="413"/>
      <c r="AF81" s="413"/>
    </row>
    <row r="82" spans="1:32" x14ac:dyDescent="0.25">
      <c r="A82" s="49">
        <f>+'A) Base RI'!A83</f>
        <v>5523</v>
      </c>
      <c r="B82" s="458" t="str">
        <f>+'A) Base RI'!B83</f>
        <v>Froideville</v>
      </c>
      <c r="C82" s="298">
        <f>+'D) Ecrêtage'!C82</f>
        <v>93523.863333333327</v>
      </c>
      <c r="D82" s="430"/>
      <c r="E82" s="430"/>
      <c r="F82" s="430"/>
      <c r="G82" s="430"/>
      <c r="H82" s="428"/>
      <c r="I82" s="298">
        <f t="shared" si="9"/>
        <v>0</v>
      </c>
      <c r="J82" s="278">
        <f t="shared" si="10"/>
        <v>748190.90666666662</v>
      </c>
      <c r="K82" s="10">
        <f t="shared" si="11"/>
        <v>0</v>
      </c>
      <c r="L82" s="295" t="e">
        <f t="shared" si="12"/>
        <v>#DIV/0!</v>
      </c>
      <c r="M82" s="10"/>
      <c r="N82" s="10"/>
      <c r="O82" s="432"/>
      <c r="P82" s="10">
        <f t="shared" si="13"/>
        <v>93523.863333333327</v>
      </c>
      <c r="Q82" s="14">
        <f t="shared" si="14"/>
        <v>0</v>
      </c>
      <c r="R82" s="2" t="e">
        <f t="shared" si="15"/>
        <v>#DIV/0!</v>
      </c>
      <c r="S82" s="130" t="e">
        <f t="shared" si="16"/>
        <v>#DIV/0!</v>
      </c>
      <c r="T82" s="427" t="e">
        <f t="shared" si="17"/>
        <v>#DIV/0!</v>
      </c>
      <c r="U82" s="126"/>
      <c r="V82" s="493"/>
      <c r="W82" s="493"/>
      <c r="X82" s="493"/>
      <c r="Y82" s="493"/>
      <c r="Z82" s="493"/>
      <c r="AA82" s="493"/>
      <c r="AB82" s="413"/>
      <c r="AC82" s="413"/>
      <c r="AD82" s="413"/>
      <c r="AE82" s="413"/>
      <c r="AF82" s="413"/>
    </row>
    <row r="83" spans="1:32" x14ac:dyDescent="0.25">
      <c r="A83" s="49">
        <f>+'A) Base RI'!A84</f>
        <v>5527</v>
      </c>
      <c r="B83" s="458" t="str">
        <f>+'A) Base RI'!B84</f>
        <v>Morrens</v>
      </c>
      <c r="C83" s="298">
        <f>+'D) Ecrêtage'!C83</f>
        <v>39310.302027027028</v>
      </c>
      <c r="D83" s="430"/>
      <c r="E83" s="430"/>
      <c r="F83" s="430"/>
      <c r="G83" s="430"/>
      <c r="H83" s="428"/>
      <c r="I83" s="298">
        <f t="shared" si="9"/>
        <v>0</v>
      </c>
      <c r="J83" s="278">
        <f t="shared" si="10"/>
        <v>314482.41621621622</v>
      </c>
      <c r="K83" s="10">
        <f t="shared" si="11"/>
        <v>0</v>
      </c>
      <c r="L83" s="295" t="e">
        <f t="shared" si="12"/>
        <v>#DIV/0!</v>
      </c>
      <c r="M83" s="10"/>
      <c r="N83" s="10"/>
      <c r="O83" s="432"/>
      <c r="P83" s="10">
        <f t="shared" si="13"/>
        <v>39310.302027027028</v>
      </c>
      <c r="Q83" s="14">
        <f t="shared" si="14"/>
        <v>0</v>
      </c>
      <c r="R83" s="2" t="e">
        <f t="shared" si="15"/>
        <v>#DIV/0!</v>
      </c>
      <c r="S83" s="130" t="e">
        <f t="shared" si="16"/>
        <v>#DIV/0!</v>
      </c>
      <c r="T83" s="427" t="e">
        <f t="shared" si="17"/>
        <v>#DIV/0!</v>
      </c>
      <c r="U83" s="126"/>
      <c r="V83" s="493"/>
      <c r="W83" s="493"/>
      <c r="X83" s="493"/>
      <c r="Y83" s="493"/>
      <c r="Z83" s="493"/>
      <c r="AA83" s="493"/>
      <c r="AB83" s="413"/>
      <c r="AC83" s="413"/>
      <c r="AD83" s="413"/>
      <c r="AE83" s="413"/>
      <c r="AF83" s="413"/>
    </row>
    <row r="84" spans="1:32" x14ac:dyDescent="0.25">
      <c r="A84" s="49">
        <f>+'A) Base RI'!A85</f>
        <v>5529</v>
      </c>
      <c r="B84" s="458" t="str">
        <f>+'A) Base RI'!B85</f>
        <v>Oulens-sous-Echallens</v>
      </c>
      <c r="C84" s="298">
        <f>+'D) Ecrêtage'!C84</f>
        <v>21162.231857142859</v>
      </c>
      <c r="D84" s="430"/>
      <c r="E84" s="430"/>
      <c r="F84" s="430"/>
      <c r="G84" s="430"/>
      <c r="H84" s="428"/>
      <c r="I84" s="298">
        <f t="shared" si="9"/>
        <v>0</v>
      </c>
      <c r="J84" s="278">
        <f t="shared" si="10"/>
        <v>169297.85485714287</v>
      </c>
      <c r="K84" s="10">
        <f t="shared" si="11"/>
        <v>0</v>
      </c>
      <c r="L84" s="295" t="e">
        <f t="shared" si="12"/>
        <v>#DIV/0!</v>
      </c>
      <c r="M84" s="10"/>
      <c r="N84" s="10"/>
      <c r="O84" s="432"/>
      <c r="P84" s="10">
        <f t="shared" si="13"/>
        <v>21162.231857142859</v>
      </c>
      <c r="Q84" s="14">
        <f t="shared" si="14"/>
        <v>0</v>
      </c>
      <c r="R84" s="2" t="e">
        <f t="shared" si="15"/>
        <v>#DIV/0!</v>
      </c>
      <c r="S84" s="130" t="e">
        <f t="shared" si="16"/>
        <v>#DIV/0!</v>
      </c>
      <c r="T84" s="427" t="e">
        <f t="shared" si="17"/>
        <v>#DIV/0!</v>
      </c>
      <c r="U84" s="126"/>
      <c r="V84" s="493"/>
      <c r="W84" s="493"/>
      <c r="X84" s="493"/>
      <c r="Y84" s="493"/>
      <c r="Z84" s="493"/>
      <c r="AA84" s="493"/>
      <c r="AB84" s="413"/>
      <c r="AC84" s="413"/>
      <c r="AD84" s="413"/>
      <c r="AE84" s="413"/>
      <c r="AF84" s="413"/>
    </row>
    <row r="85" spans="1:32" x14ac:dyDescent="0.25">
      <c r="A85" s="49">
        <f>+'A) Base RI'!A86</f>
        <v>5530</v>
      </c>
      <c r="B85" s="458" t="str">
        <f>+'A) Base RI'!B86</f>
        <v>Pailly</v>
      </c>
      <c r="C85" s="298">
        <f>+'D) Ecrêtage'!C85</f>
        <v>19062.750131578941</v>
      </c>
      <c r="D85" s="430"/>
      <c r="E85" s="430"/>
      <c r="F85" s="430"/>
      <c r="G85" s="430"/>
      <c r="H85" s="428"/>
      <c r="I85" s="298">
        <f t="shared" si="9"/>
        <v>0</v>
      </c>
      <c r="J85" s="278">
        <f t="shared" si="10"/>
        <v>152502.00105263153</v>
      </c>
      <c r="K85" s="10">
        <f t="shared" si="11"/>
        <v>0</v>
      </c>
      <c r="L85" s="295" t="e">
        <f t="shared" si="12"/>
        <v>#DIV/0!</v>
      </c>
      <c r="M85" s="10"/>
      <c r="N85" s="10"/>
      <c r="O85" s="432"/>
      <c r="P85" s="10">
        <f t="shared" si="13"/>
        <v>19062.750131578941</v>
      </c>
      <c r="Q85" s="14">
        <f t="shared" si="14"/>
        <v>0</v>
      </c>
      <c r="R85" s="2" t="e">
        <f t="shared" si="15"/>
        <v>#DIV/0!</v>
      </c>
      <c r="S85" s="130" t="e">
        <f t="shared" si="16"/>
        <v>#DIV/0!</v>
      </c>
      <c r="T85" s="427" t="e">
        <f t="shared" si="17"/>
        <v>#DIV/0!</v>
      </c>
      <c r="U85" s="126"/>
      <c r="V85" s="493"/>
      <c r="W85" s="493"/>
      <c r="X85" s="493"/>
      <c r="Y85" s="493"/>
      <c r="Z85" s="493"/>
      <c r="AA85" s="493"/>
      <c r="AB85" s="413"/>
      <c r="AC85" s="413"/>
      <c r="AD85" s="413"/>
      <c r="AE85" s="413"/>
      <c r="AF85" s="413"/>
    </row>
    <row r="86" spans="1:32" x14ac:dyDescent="0.25">
      <c r="A86" s="49">
        <f>+'A) Base RI'!A87</f>
        <v>5531</v>
      </c>
      <c r="B86" s="458" t="str">
        <f>+'A) Base RI'!B87</f>
        <v>Penthéréaz</v>
      </c>
      <c r="C86" s="298">
        <f>+'D) Ecrêtage'!C86</f>
        <v>14300.817432432432</v>
      </c>
      <c r="D86" s="430"/>
      <c r="E86" s="430"/>
      <c r="F86" s="430"/>
      <c r="G86" s="430"/>
      <c r="H86" s="428"/>
      <c r="I86" s="298">
        <f t="shared" si="9"/>
        <v>0</v>
      </c>
      <c r="J86" s="278">
        <f t="shared" si="10"/>
        <v>114406.53945945945</v>
      </c>
      <c r="K86" s="10">
        <f t="shared" si="11"/>
        <v>0</v>
      </c>
      <c r="L86" s="295" t="e">
        <f t="shared" si="12"/>
        <v>#DIV/0!</v>
      </c>
      <c r="M86" s="10"/>
      <c r="N86" s="10"/>
      <c r="O86" s="432"/>
      <c r="P86" s="10">
        <f t="shared" si="13"/>
        <v>14300.817432432432</v>
      </c>
      <c r="Q86" s="14">
        <f t="shared" si="14"/>
        <v>0</v>
      </c>
      <c r="R86" s="2" t="e">
        <f t="shared" si="15"/>
        <v>#DIV/0!</v>
      </c>
      <c r="S86" s="130" t="e">
        <f t="shared" si="16"/>
        <v>#DIV/0!</v>
      </c>
      <c r="T86" s="427" t="e">
        <f t="shared" si="17"/>
        <v>#DIV/0!</v>
      </c>
      <c r="U86" s="126"/>
      <c r="V86" s="493"/>
      <c r="W86" s="493"/>
      <c r="X86" s="493"/>
      <c r="Y86" s="493"/>
      <c r="Z86" s="493"/>
      <c r="AA86" s="493"/>
      <c r="AB86" s="413"/>
      <c r="AC86" s="413"/>
      <c r="AD86" s="413"/>
      <c r="AE86" s="413"/>
      <c r="AF86" s="413"/>
    </row>
    <row r="87" spans="1:32" x14ac:dyDescent="0.25">
      <c r="A87" s="49">
        <f>+'A) Base RI'!A88</f>
        <v>5533</v>
      </c>
      <c r="B87" s="458" t="str">
        <f>+'A) Base RI'!B88</f>
        <v>Poliez-Pittet</v>
      </c>
      <c r="C87" s="298">
        <f>+'D) Ecrêtage'!C87</f>
        <v>27502.031917808214</v>
      </c>
      <c r="D87" s="430"/>
      <c r="E87" s="430"/>
      <c r="F87" s="430"/>
      <c r="G87" s="430"/>
      <c r="H87" s="428"/>
      <c r="I87" s="298">
        <f t="shared" si="9"/>
        <v>0</v>
      </c>
      <c r="J87" s="278">
        <f t="shared" si="10"/>
        <v>220016.25534246571</v>
      </c>
      <c r="K87" s="10">
        <f t="shared" si="11"/>
        <v>0</v>
      </c>
      <c r="L87" s="295" t="e">
        <f t="shared" si="12"/>
        <v>#DIV/0!</v>
      </c>
      <c r="M87" s="10"/>
      <c r="N87" s="10"/>
      <c r="O87" s="432"/>
      <c r="P87" s="10">
        <f t="shared" si="13"/>
        <v>27502.031917808214</v>
      </c>
      <c r="Q87" s="14">
        <f t="shared" si="14"/>
        <v>0</v>
      </c>
      <c r="R87" s="2" t="e">
        <f t="shared" si="15"/>
        <v>#DIV/0!</v>
      </c>
      <c r="S87" s="130" t="e">
        <f t="shared" si="16"/>
        <v>#DIV/0!</v>
      </c>
      <c r="T87" s="427" t="e">
        <f t="shared" si="17"/>
        <v>#DIV/0!</v>
      </c>
      <c r="U87" s="126"/>
      <c r="V87" s="493"/>
      <c r="W87" s="493"/>
      <c r="X87" s="493"/>
      <c r="Y87" s="493"/>
      <c r="Z87" s="493"/>
      <c r="AA87" s="493"/>
      <c r="AB87" s="413"/>
      <c r="AC87" s="413"/>
      <c r="AD87" s="413"/>
      <c r="AE87" s="413"/>
      <c r="AF87" s="413"/>
    </row>
    <row r="88" spans="1:32" x14ac:dyDescent="0.25">
      <c r="A88" s="49">
        <f>+'A) Base RI'!A89</f>
        <v>5534</v>
      </c>
      <c r="B88" s="458" t="str">
        <f>+'A) Base RI'!B89</f>
        <v>Rueyres</v>
      </c>
      <c r="C88" s="298">
        <f>+'D) Ecrêtage'!C88</f>
        <v>13106.991872146118</v>
      </c>
      <c r="D88" s="430"/>
      <c r="E88" s="430"/>
      <c r="F88" s="430"/>
      <c r="G88" s="430"/>
      <c r="H88" s="428"/>
      <c r="I88" s="298">
        <f t="shared" si="9"/>
        <v>0</v>
      </c>
      <c r="J88" s="278">
        <f t="shared" si="10"/>
        <v>104855.93497716894</v>
      </c>
      <c r="K88" s="10">
        <f t="shared" si="11"/>
        <v>0</v>
      </c>
      <c r="L88" s="295" t="e">
        <f t="shared" si="12"/>
        <v>#DIV/0!</v>
      </c>
      <c r="M88" s="10"/>
      <c r="N88" s="10"/>
      <c r="O88" s="432"/>
      <c r="P88" s="10">
        <f t="shared" si="13"/>
        <v>13106.991872146118</v>
      </c>
      <c r="Q88" s="14">
        <f t="shared" si="14"/>
        <v>0</v>
      </c>
      <c r="R88" s="2" t="e">
        <f t="shared" si="15"/>
        <v>#DIV/0!</v>
      </c>
      <c r="S88" s="130" t="e">
        <f t="shared" si="16"/>
        <v>#DIV/0!</v>
      </c>
      <c r="T88" s="427" t="e">
        <f t="shared" si="17"/>
        <v>#DIV/0!</v>
      </c>
      <c r="U88" s="126"/>
      <c r="V88" s="493"/>
      <c r="W88" s="493"/>
      <c r="X88" s="493"/>
      <c r="Y88" s="493"/>
      <c r="Z88" s="493"/>
      <c r="AA88" s="493"/>
      <c r="AB88" s="413"/>
      <c r="AC88" s="413"/>
      <c r="AD88" s="413"/>
      <c r="AE88" s="413"/>
      <c r="AF88" s="413"/>
    </row>
    <row r="89" spans="1:32" x14ac:dyDescent="0.25">
      <c r="A89" s="49">
        <f>+'A) Base RI'!A90</f>
        <v>5535</v>
      </c>
      <c r="B89" s="458" t="str">
        <f>+'A) Base RI'!B90</f>
        <v>Saint-Barthélemy</v>
      </c>
      <c r="C89" s="298">
        <f>+'D) Ecrêtage'!C89</f>
        <v>25080.318533333328</v>
      </c>
      <c r="D89" s="430"/>
      <c r="E89" s="430"/>
      <c r="F89" s="430"/>
      <c r="G89" s="430"/>
      <c r="H89" s="428"/>
      <c r="I89" s="298">
        <f t="shared" si="9"/>
        <v>0</v>
      </c>
      <c r="J89" s="278">
        <f t="shared" si="10"/>
        <v>200642.54826666662</v>
      </c>
      <c r="K89" s="10">
        <f t="shared" si="11"/>
        <v>0</v>
      </c>
      <c r="L89" s="295" t="e">
        <f t="shared" si="12"/>
        <v>#DIV/0!</v>
      </c>
      <c r="M89" s="10"/>
      <c r="N89" s="10"/>
      <c r="O89" s="432"/>
      <c r="P89" s="10">
        <f t="shared" si="13"/>
        <v>25080.318533333328</v>
      </c>
      <c r="Q89" s="14">
        <f t="shared" si="14"/>
        <v>0</v>
      </c>
      <c r="R89" s="2" t="e">
        <f t="shared" si="15"/>
        <v>#DIV/0!</v>
      </c>
      <c r="S89" s="130" t="e">
        <f t="shared" si="16"/>
        <v>#DIV/0!</v>
      </c>
      <c r="T89" s="427" t="e">
        <f t="shared" si="17"/>
        <v>#DIV/0!</v>
      </c>
      <c r="U89" s="126"/>
      <c r="V89" s="493"/>
      <c r="W89" s="493"/>
      <c r="X89" s="493"/>
      <c r="Y89" s="493"/>
      <c r="Z89" s="493"/>
      <c r="AA89" s="493"/>
      <c r="AB89" s="413"/>
      <c r="AC89" s="413"/>
      <c r="AD89" s="413"/>
      <c r="AE89" s="413"/>
      <c r="AF89" s="413"/>
    </row>
    <row r="90" spans="1:32" x14ac:dyDescent="0.25">
      <c r="A90" s="49">
        <f>+'A) Base RI'!A91</f>
        <v>5537</v>
      </c>
      <c r="B90" s="458" t="str">
        <f>+'A) Base RI'!B91</f>
        <v>Villars-le-Terroir</v>
      </c>
      <c r="C90" s="298">
        <f>+'D) Ecrêtage'!C90</f>
        <v>42917.816052631584</v>
      </c>
      <c r="D90" s="430"/>
      <c r="E90" s="430"/>
      <c r="F90" s="430"/>
      <c r="G90" s="430"/>
      <c r="H90" s="428"/>
      <c r="I90" s="298">
        <f t="shared" si="9"/>
        <v>0</v>
      </c>
      <c r="J90" s="278">
        <f t="shared" si="10"/>
        <v>343342.52842105267</v>
      </c>
      <c r="K90" s="10">
        <f t="shared" si="11"/>
        <v>0</v>
      </c>
      <c r="L90" s="295" t="e">
        <f t="shared" si="12"/>
        <v>#DIV/0!</v>
      </c>
      <c r="M90" s="10"/>
      <c r="N90" s="10"/>
      <c r="O90" s="432"/>
      <c r="P90" s="10">
        <f t="shared" si="13"/>
        <v>42917.816052631584</v>
      </c>
      <c r="Q90" s="14">
        <f t="shared" si="14"/>
        <v>0</v>
      </c>
      <c r="R90" s="2" t="e">
        <f t="shared" si="15"/>
        <v>#DIV/0!</v>
      </c>
      <c r="S90" s="130" t="e">
        <f t="shared" si="16"/>
        <v>#DIV/0!</v>
      </c>
      <c r="T90" s="427" t="e">
        <f t="shared" si="17"/>
        <v>#DIV/0!</v>
      </c>
      <c r="U90" s="126"/>
      <c r="V90" s="493"/>
      <c r="W90" s="493"/>
      <c r="X90" s="493"/>
      <c r="Y90" s="493"/>
      <c r="Z90" s="493"/>
      <c r="AA90" s="493"/>
      <c r="AB90" s="413"/>
      <c r="AC90" s="413"/>
      <c r="AD90" s="413"/>
      <c r="AE90" s="413"/>
      <c r="AF90" s="413"/>
    </row>
    <row r="91" spans="1:32" x14ac:dyDescent="0.25">
      <c r="A91" s="49">
        <f>+'A) Base RI'!A92</f>
        <v>5539</v>
      </c>
      <c r="B91" s="458" t="str">
        <f>+'A) Base RI'!B92</f>
        <v>Vuarrens</v>
      </c>
      <c r="C91" s="298">
        <f>+'D) Ecrêtage'!C91</f>
        <v>34558.047482993185</v>
      </c>
      <c r="D91" s="430"/>
      <c r="E91" s="430"/>
      <c r="F91" s="430"/>
      <c r="G91" s="430"/>
      <c r="H91" s="428"/>
      <c r="I91" s="298">
        <f t="shared" si="9"/>
        <v>0</v>
      </c>
      <c r="J91" s="278">
        <f t="shared" si="10"/>
        <v>276464.37986394548</v>
      </c>
      <c r="K91" s="10">
        <f t="shared" si="11"/>
        <v>0</v>
      </c>
      <c r="L91" s="295" t="e">
        <f t="shared" si="12"/>
        <v>#DIV/0!</v>
      </c>
      <c r="M91" s="10"/>
      <c r="N91" s="10"/>
      <c r="O91" s="432"/>
      <c r="P91" s="10">
        <f t="shared" si="13"/>
        <v>34558.047482993185</v>
      </c>
      <c r="Q91" s="14">
        <f t="shared" si="14"/>
        <v>0</v>
      </c>
      <c r="R91" s="2" t="e">
        <f t="shared" si="15"/>
        <v>#DIV/0!</v>
      </c>
      <c r="S91" s="130" t="e">
        <f t="shared" si="16"/>
        <v>#DIV/0!</v>
      </c>
      <c r="T91" s="427" t="e">
        <f t="shared" si="17"/>
        <v>#DIV/0!</v>
      </c>
      <c r="U91" s="126"/>
      <c r="V91" s="493"/>
      <c r="W91" s="493"/>
      <c r="X91" s="493"/>
      <c r="Y91" s="493"/>
      <c r="Z91" s="493"/>
      <c r="AA91" s="493"/>
      <c r="AB91" s="413"/>
      <c r="AC91" s="413"/>
      <c r="AD91" s="413"/>
      <c r="AE91" s="413"/>
      <c r="AF91" s="413"/>
    </row>
    <row r="92" spans="1:32" x14ac:dyDescent="0.25">
      <c r="A92" s="49">
        <f>+'A) Base RI'!A93</f>
        <v>5540</v>
      </c>
      <c r="B92" s="458" t="str">
        <f>+'A) Base RI'!B93</f>
        <v>Montilliez</v>
      </c>
      <c r="C92" s="298">
        <f>+'D) Ecrêtage'!C92</f>
        <v>63315.990655172413</v>
      </c>
      <c r="D92" s="430"/>
      <c r="E92" s="430"/>
      <c r="F92" s="430"/>
      <c r="G92" s="430"/>
      <c r="H92" s="428"/>
      <c r="I92" s="298">
        <f t="shared" si="9"/>
        <v>0</v>
      </c>
      <c r="J92" s="278">
        <f t="shared" si="10"/>
        <v>506527.9252413793</v>
      </c>
      <c r="K92" s="10">
        <f t="shared" si="11"/>
        <v>0</v>
      </c>
      <c r="L92" s="295" t="e">
        <f t="shared" si="12"/>
        <v>#DIV/0!</v>
      </c>
      <c r="M92" s="10"/>
      <c r="N92" s="10"/>
      <c r="O92" s="432"/>
      <c r="P92" s="10">
        <f t="shared" si="13"/>
        <v>63315.990655172413</v>
      </c>
      <c r="Q92" s="14">
        <f t="shared" si="14"/>
        <v>0</v>
      </c>
      <c r="R92" s="2" t="e">
        <f t="shared" si="15"/>
        <v>#DIV/0!</v>
      </c>
      <c r="S92" s="130" t="e">
        <f t="shared" si="16"/>
        <v>#DIV/0!</v>
      </c>
      <c r="T92" s="427" t="e">
        <f t="shared" si="17"/>
        <v>#DIV/0!</v>
      </c>
      <c r="U92" s="126"/>
      <c r="V92" s="493"/>
      <c r="W92" s="493"/>
      <c r="X92" s="493"/>
      <c r="Y92" s="493"/>
      <c r="Z92" s="493"/>
      <c r="AA92" s="493"/>
      <c r="AB92" s="413"/>
      <c r="AC92" s="413"/>
      <c r="AD92" s="413"/>
      <c r="AE92" s="413"/>
      <c r="AF92" s="413"/>
    </row>
    <row r="93" spans="1:32" x14ac:dyDescent="0.25">
      <c r="A93" s="49">
        <f>+'A) Base RI'!A94</f>
        <v>5541</v>
      </c>
      <c r="B93" s="458" t="str">
        <f>+'A) Base RI'!B94</f>
        <v>Goumoëns</v>
      </c>
      <c r="C93" s="298">
        <f>+'D) Ecrêtage'!C93</f>
        <v>41279.032715231784</v>
      </c>
      <c r="D93" s="430"/>
      <c r="E93" s="430"/>
      <c r="F93" s="430"/>
      <c r="G93" s="430"/>
      <c r="H93" s="428"/>
      <c r="I93" s="298">
        <f t="shared" si="9"/>
        <v>0</v>
      </c>
      <c r="J93" s="278">
        <f t="shared" si="10"/>
        <v>330232.26172185427</v>
      </c>
      <c r="K93" s="10">
        <f t="shared" si="11"/>
        <v>0</v>
      </c>
      <c r="L93" s="295" t="e">
        <f t="shared" si="12"/>
        <v>#DIV/0!</v>
      </c>
      <c r="M93" s="10"/>
      <c r="N93" s="10"/>
      <c r="O93" s="432"/>
      <c r="P93" s="10">
        <f t="shared" si="13"/>
        <v>41279.032715231784</v>
      </c>
      <c r="Q93" s="14">
        <f t="shared" si="14"/>
        <v>0</v>
      </c>
      <c r="R93" s="2" t="e">
        <f t="shared" si="15"/>
        <v>#DIV/0!</v>
      </c>
      <c r="S93" s="130" t="e">
        <f t="shared" si="16"/>
        <v>#DIV/0!</v>
      </c>
      <c r="T93" s="427" t="e">
        <f t="shared" si="17"/>
        <v>#DIV/0!</v>
      </c>
      <c r="U93" s="126"/>
      <c r="V93" s="493"/>
      <c r="W93" s="493"/>
      <c r="X93" s="493"/>
      <c r="Y93" s="493"/>
      <c r="Z93" s="493"/>
      <c r="AA93" s="493"/>
      <c r="AB93" s="413"/>
      <c r="AC93" s="413"/>
      <c r="AD93" s="413"/>
      <c r="AE93" s="413"/>
      <c r="AF93" s="413"/>
    </row>
    <row r="94" spans="1:32" x14ac:dyDescent="0.25">
      <c r="A94" s="49">
        <f>+'A) Base RI'!A95</f>
        <v>5551</v>
      </c>
      <c r="B94" s="458" t="str">
        <f>+'A) Base RI'!B95</f>
        <v>Bonvillars</v>
      </c>
      <c r="C94" s="298">
        <f>+'D) Ecrêtage'!C94</f>
        <v>18707.412</v>
      </c>
      <c r="D94" s="430"/>
      <c r="E94" s="430"/>
      <c r="F94" s="430"/>
      <c r="G94" s="430"/>
      <c r="H94" s="428"/>
      <c r="I94" s="298">
        <f t="shared" si="9"/>
        <v>0</v>
      </c>
      <c r="J94" s="278">
        <f t="shared" si="10"/>
        <v>149659.296</v>
      </c>
      <c r="K94" s="10">
        <f t="shared" si="11"/>
        <v>0</v>
      </c>
      <c r="L94" s="295" t="e">
        <f t="shared" si="12"/>
        <v>#DIV/0!</v>
      </c>
      <c r="M94" s="10"/>
      <c r="N94" s="10"/>
      <c r="O94" s="432"/>
      <c r="P94" s="10">
        <f t="shared" si="13"/>
        <v>18707.412</v>
      </c>
      <c r="Q94" s="14">
        <f t="shared" si="14"/>
        <v>0</v>
      </c>
      <c r="R94" s="2" t="e">
        <f t="shared" si="15"/>
        <v>#DIV/0!</v>
      </c>
      <c r="S94" s="130" t="e">
        <f t="shared" si="16"/>
        <v>#DIV/0!</v>
      </c>
      <c r="T94" s="427" t="e">
        <f t="shared" si="17"/>
        <v>#DIV/0!</v>
      </c>
      <c r="U94" s="126"/>
      <c r="V94" s="493"/>
      <c r="W94" s="493"/>
      <c r="X94" s="493"/>
      <c r="Y94" s="493"/>
      <c r="Z94" s="493"/>
      <c r="AA94" s="493"/>
      <c r="AB94" s="413"/>
      <c r="AC94" s="413"/>
      <c r="AD94" s="413"/>
      <c r="AE94" s="413"/>
      <c r="AF94" s="413"/>
    </row>
    <row r="95" spans="1:32" x14ac:dyDescent="0.25">
      <c r="A95" s="49">
        <f>+'A) Base RI'!A96</f>
        <v>5552</v>
      </c>
      <c r="B95" s="458" t="str">
        <f>+'A) Base RI'!B96</f>
        <v>Bullet</v>
      </c>
      <c r="C95" s="298">
        <f>+'D) Ecrêtage'!C95</f>
        <v>19599.59230769231</v>
      </c>
      <c r="D95" s="430"/>
      <c r="E95" s="430"/>
      <c r="F95" s="430"/>
      <c r="G95" s="430"/>
      <c r="H95" s="428"/>
      <c r="I95" s="298">
        <f t="shared" si="9"/>
        <v>0</v>
      </c>
      <c r="J95" s="278">
        <f t="shared" si="10"/>
        <v>156796.73846153848</v>
      </c>
      <c r="K95" s="10">
        <f t="shared" si="11"/>
        <v>0</v>
      </c>
      <c r="L95" s="295" t="e">
        <f t="shared" si="12"/>
        <v>#DIV/0!</v>
      </c>
      <c r="M95" s="10"/>
      <c r="N95" s="10"/>
      <c r="O95" s="432"/>
      <c r="P95" s="10">
        <f t="shared" si="13"/>
        <v>19599.59230769231</v>
      </c>
      <c r="Q95" s="14">
        <f t="shared" si="14"/>
        <v>0</v>
      </c>
      <c r="R95" s="2" t="e">
        <f t="shared" si="15"/>
        <v>#DIV/0!</v>
      </c>
      <c r="S95" s="130" t="e">
        <f t="shared" si="16"/>
        <v>#DIV/0!</v>
      </c>
      <c r="T95" s="427" t="e">
        <f t="shared" si="17"/>
        <v>#DIV/0!</v>
      </c>
      <c r="U95" s="126"/>
      <c r="V95" s="493"/>
      <c r="W95" s="493"/>
      <c r="X95" s="493"/>
      <c r="Y95" s="493"/>
      <c r="Z95" s="493"/>
      <c r="AA95" s="493"/>
      <c r="AB95" s="413"/>
      <c r="AC95" s="413"/>
      <c r="AD95" s="413"/>
      <c r="AE95" s="413"/>
      <c r="AF95" s="413"/>
    </row>
    <row r="96" spans="1:32" x14ac:dyDescent="0.25">
      <c r="A96" s="49">
        <f>+'A) Base RI'!A97</f>
        <v>5553</v>
      </c>
      <c r="B96" s="458" t="str">
        <f>+'A) Base RI'!B97</f>
        <v>Champagne</v>
      </c>
      <c r="C96" s="298">
        <f>+'D) Ecrêtage'!C96</f>
        <v>40087.525538461538</v>
      </c>
      <c r="D96" s="430"/>
      <c r="E96" s="430"/>
      <c r="F96" s="430"/>
      <c r="G96" s="430"/>
      <c r="H96" s="428"/>
      <c r="I96" s="298">
        <f t="shared" si="9"/>
        <v>0</v>
      </c>
      <c r="J96" s="278">
        <f t="shared" si="10"/>
        <v>320700.2043076923</v>
      </c>
      <c r="K96" s="10">
        <f t="shared" si="11"/>
        <v>0</v>
      </c>
      <c r="L96" s="295" t="e">
        <f t="shared" si="12"/>
        <v>#DIV/0!</v>
      </c>
      <c r="M96" s="10"/>
      <c r="N96" s="10"/>
      <c r="O96" s="432"/>
      <c r="P96" s="10">
        <f t="shared" si="13"/>
        <v>40087.525538461538</v>
      </c>
      <c r="Q96" s="14">
        <f t="shared" si="14"/>
        <v>0</v>
      </c>
      <c r="R96" s="2" t="e">
        <f t="shared" si="15"/>
        <v>#DIV/0!</v>
      </c>
      <c r="S96" s="130" t="e">
        <f t="shared" si="16"/>
        <v>#DIV/0!</v>
      </c>
      <c r="T96" s="427" t="e">
        <f t="shared" si="17"/>
        <v>#DIV/0!</v>
      </c>
      <c r="U96" s="126"/>
      <c r="V96" s="493"/>
      <c r="W96" s="493"/>
      <c r="X96" s="493"/>
      <c r="Y96" s="493"/>
      <c r="Z96" s="493"/>
      <c r="AA96" s="493"/>
      <c r="AB96" s="413"/>
      <c r="AC96" s="413"/>
      <c r="AD96" s="413"/>
      <c r="AE96" s="413"/>
      <c r="AF96" s="413"/>
    </row>
    <row r="97" spans="1:32" x14ac:dyDescent="0.25">
      <c r="A97" s="49">
        <f>+'A) Base RI'!A98</f>
        <v>5554</v>
      </c>
      <c r="B97" s="458" t="str">
        <f>+'A) Base RI'!B98</f>
        <v>Concise</v>
      </c>
      <c r="C97" s="298">
        <f>+'D) Ecrêtage'!C97</f>
        <v>31501.78373333333</v>
      </c>
      <c r="D97" s="430"/>
      <c r="E97" s="430"/>
      <c r="F97" s="430"/>
      <c r="G97" s="430"/>
      <c r="H97" s="428"/>
      <c r="I97" s="298">
        <f t="shared" si="9"/>
        <v>0</v>
      </c>
      <c r="J97" s="278">
        <f t="shared" si="10"/>
        <v>252014.26986666664</v>
      </c>
      <c r="K97" s="10">
        <f t="shared" si="11"/>
        <v>0</v>
      </c>
      <c r="L97" s="295" t="e">
        <f t="shared" si="12"/>
        <v>#DIV/0!</v>
      </c>
      <c r="M97" s="10"/>
      <c r="N97" s="10"/>
      <c r="O97" s="432"/>
      <c r="P97" s="10">
        <f t="shared" si="13"/>
        <v>31501.78373333333</v>
      </c>
      <c r="Q97" s="14">
        <f t="shared" si="14"/>
        <v>0</v>
      </c>
      <c r="R97" s="2" t="e">
        <f t="shared" si="15"/>
        <v>#DIV/0!</v>
      </c>
      <c r="S97" s="130" t="e">
        <f t="shared" si="16"/>
        <v>#DIV/0!</v>
      </c>
      <c r="T97" s="427" t="e">
        <f t="shared" si="17"/>
        <v>#DIV/0!</v>
      </c>
      <c r="U97" s="126"/>
      <c r="V97" s="493"/>
      <c r="W97" s="493"/>
      <c r="X97" s="493"/>
      <c r="Y97" s="493"/>
      <c r="Z97" s="493"/>
      <c r="AA97" s="493"/>
      <c r="AB97" s="413"/>
      <c r="AC97" s="413"/>
      <c r="AD97" s="413"/>
      <c r="AE97" s="413"/>
      <c r="AF97" s="413"/>
    </row>
    <row r="98" spans="1:32" x14ac:dyDescent="0.25">
      <c r="A98" s="49">
        <f>+'A) Base RI'!A99</f>
        <v>5555</v>
      </c>
      <c r="B98" s="458" t="str">
        <f>+'A) Base RI'!B99</f>
        <v>Corcelles-près-Concise</v>
      </c>
      <c r="C98" s="298">
        <f>+'D) Ecrêtage'!C98</f>
        <v>13878.246956521738</v>
      </c>
      <c r="D98" s="430"/>
      <c r="E98" s="430"/>
      <c r="F98" s="430"/>
      <c r="G98" s="430"/>
      <c r="H98" s="428"/>
      <c r="I98" s="298">
        <f t="shared" si="9"/>
        <v>0</v>
      </c>
      <c r="J98" s="278">
        <f t="shared" si="10"/>
        <v>111025.9756521739</v>
      </c>
      <c r="K98" s="10">
        <f t="shared" si="11"/>
        <v>0</v>
      </c>
      <c r="L98" s="295" t="e">
        <f t="shared" si="12"/>
        <v>#DIV/0!</v>
      </c>
      <c r="M98" s="10"/>
      <c r="N98" s="10"/>
      <c r="O98" s="432"/>
      <c r="P98" s="10">
        <f t="shared" si="13"/>
        <v>13878.246956521738</v>
      </c>
      <c r="Q98" s="14">
        <f t="shared" si="14"/>
        <v>0</v>
      </c>
      <c r="R98" s="2" t="e">
        <f t="shared" si="15"/>
        <v>#DIV/0!</v>
      </c>
      <c r="S98" s="130" t="e">
        <f t="shared" si="16"/>
        <v>#DIV/0!</v>
      </c>
      <c r="T98" s="427" t="e">
        <f t="shared" si="17"/>
        <v>#DIV/0!</v>
      </c>
      <c r="U98" s="126"/>
      <c r="V98" s="493"/>
      <c r="W98" s="493"/>
      <c r="X98" s="493"/>
      <c r="Y98" s="493"/>
      <c r="Z98" s="493"/>
      <c r="AA98" s="493"/>
      <c r="AB98" s="413"/>
      <c r="AC98" s="413"/>
      <c r="AD98" s="413"/>
      <c r="AE98" s="413"/>
      <c r="AF98" s="413"/>
    </row>
    <row r="99" spans="1:32" x14ac:dyDescent="0.25">
      <c r="A99" s="49">
        <f>+'A) Base RI'!A100</f>
        <v>5556</v>
      </c>
      <c r="B99" s="458" t="str">
        <f>+'A) Base RI'!B100</f>
        <v>Fiez</v>
      </c>
      <c r="C99" s="298">
        <f>+'D) Ecrêtage'!C99</f>
        <v>14577.66780193237</v>
      </c>
      <c r="D99" s="430"/>
      <c r="E99" s="430"/>
      <c r="F99" s="430"/>
      <c r="G99" s="430"/>
      <c r="H99" s="428"/>
      <c r="I99" s="298">
        <f t="shared" si="9"/>
        <v>0</v>
      </c>
      <c r="J99" s="278">
        <f t="shared" si="10"/>
        <v>116621.34241545896</v>
      </c>
      <c r="K99" s="10">
        <f t="shared" si="11"/>
        <v>0</v>
      </c>
      <c r="L99" s="295" t="e">
        <f t="shared" si="12"/>
        <v>#DIV/0!</v>
      </c>
      <c r="M99" s="10"/>
      <c r="N99" s="10"/>
      <c r="O99" s="432"/>
      <c r="P99" s="10">
        <f t="shared" si="13"/>
        <v>14577.66780193237</v>
      </c>
      <c r="Q99" s="14">
        <f t="shared" si="14"/>
        <v>0</v>
      </c>
      <c r="R99" s="2" t="e">
        <f t="shared" si="15"/>
        <v>#DIV/0!</v>
      </c>
      <c r="S99" s="130" t="e">
        <f t="shared" si="16"/>
        <v>#DIV/0!</v>
      </c>
      <c r="T99" s="427" t="e">
        <f t="shared" si="17"/>
        <v>#DIV/0!</v>
      </c>
      <c r="U99" s="126"/>
      <c r="V99" s="493"/>
      <c r="W99" s="493"/>
      <c r="X99" s="493"/>
      <c r="Y99" s="493"/>
      <c r="Z99" s="493"/>
      <c r="AA99" s="493"/>
      <c r="AB99" s="413"/>
      <c r="AC99" s="413"/>
      <c r="AD99" s="413"/>
      <c r="AE99" s="413"/>
      <c r="AF99" s="413"/>
    </row>
    <row r="100" spans="1:32" x14ac:dyDescent="0.25">
      <c r="A100" s="49">
        <f>+'A) Base RI'!A101</f>
        <v>5557</v>
      </c>
      <c r="B100" s="458" t="str">
        <f>+'A) Base RI'!B101</f>
        <v>Fontaines-sur-Grandson</v>
      </c>
      <c r="C100" s="298">
        <f>+'D) Ecrêtage'!C100</f>
        <v>4232.7450724637674</v>
      </c>
      <c r="D100" s="430"/>
      <c r="E100" s="430"/>
      <c r="F100" s="430"/>
      <c r="G100" s="430"/>
      <c r="H100" s="428"/>
      <c r="I100" s="298">
        <f t="shared" si="9"/>
        <v>0</v>
      </c>
      <c r="J100" s="278">
        <f t="shared" si="10"/>
        <v>33861.960579710139</v>
      </c>
      <c r="K100" s="10">
        <f t="shared" si="11"/>
        <v>0</v>
      </c>
      <c r="L100" s="295" t="e">
        <f t="shared" si="12"/>
        <v>#DIV/0!</v>
      </c>
      <c r="M100" s="10"/>
      <c r="N100" s="10"/>
      <c r="O100" s="432"/>
      <c r="P100" s="10">
        <f t="shared" si="13"/>
        <v>4232.7450724637674</v>
      </c>
      <c r="Q100" s="14">
        <f t="shared" si="14"/>
        <v>0</v>
      </c>
      <c r="R100" s="2" t="e">
        <f t="shared" si="15"/>
        <v>#DIV/0!</v>
      </c>
      <c r="S100" s="130" t="e">
        <f t="shared" si="16"/>
        <v>#DIV/0!</v>
      </c>
      <c r="T100" s="427" t="e">
        <f t="shared" si="17"/>
        <v>#DIV/0!</v>
      </c>
      <c r="U100" s="126"/>
      <c r="V100" s="493"/>
      <c r="W100" s="493"/>
      <c r="X100" s="493"/>
      <c r="Y100" s="493"/>
      <c r="Z100" s="493"/>
      <c r="AA100" s="493"/>
      <c r="AB100" s="413"/>
      <c r="AC100" s="413"/>
      <c r="AD100" s="413"/>
      <c r="AE100" s="413"/>
      <c r="AF100" s="413"/>
    </row>
    <row r="101" spans="1:32" x14ac:dyDescent="0.25">
      <c r="A101" s="49">
        <f>+'A) Base RI'!A102</f>
        <v>5559</v>
      </c>
      <c r="B101" s="458" t="str">
        <f>+'A) Base RI'!B102</f>
        <v>Giez</v>
      </c>
      <c r="C101" s="298">
        <f>+'D) Ecrêtage'!C101</f>
        <v>23436.990303030303</v>
      </c>
      <c r="D101" s="430"/>
      <c r="E101" s="430"/>
      <c r="F101" s="430"/>
      <c r="G101" s="430"/>
      <c r="H101" s="428"/>
      <c r="I101" s="298">
        <f t="shared" si="9"/>
        <v>0</v>
      </c>
      <c r="J101" s="278">
        <f t="shared" si="10"/>
        <v>187495.92242424242</v>
      </c>
      <c r="K101" s="10">
        <f t="shared" si="11"/>
        <v>0</v>
      </c>
      <c r="L101" s="295" t="e">
        <f t="shared" si="12"/>
        <v>#DIV/0!</v>
      </c>
      <c r="M101" s="10"/>
      <c r="N101" s="10"/>
      <c r="O101" s="432"/>
      <c r="P101" s="10">
        <f t="shared" si="13"/>
        <v>23436.990303030303</v>
      </c>
      <c r="Q101" s="14">
        <f t="shared" si="14"/>
        <v>0</v>
      </c>
      <c r="R101" s="2" t="e">
        <f t="shared" si="15"/>
        <v>#DIV/0!</v>
      </c>
      <c r="S101" s="130" t="e">
        <f t="shared" si="16"/>
        <v>#DIV/0!</v>
      </c>
      <c r="T101" s="427" t="e">
        <f t="shared" si="17"/>
        <v>#DIV/0!</v>
      </c>
      <c r="U101" s="126"/>
      <c r="V101" s="493"/>
      <c r="W101" s="493"/>
      <c r="X101" s="493"/>
      <c r="Y101" s="493"/>
      <c r="Z101" s="493"/>
      <c r="AA101" s="493"/>
      <c r="AB101" s="413"/>
      <c r="AC101" s="413"/>
      <c r="AD101" s="413"/>
      <c r="AE101" s="413"/>
      <c r="AF101" s="413"/>
    </row>
    <row r="102" spans="1:32" x14ac:dyDescent="0.25">
      <c r="A102" s="49">
        <f>+'A) Base RI'!A103</f>
        <v>5560</v>
      </c>
      <c r="B102" s="458" t="str">
        <f>+'A) Base RI'!B103</f>
        <v>Grandevent</v>
      </c>
      <c r="C102" s="298">
        <f>+'D) Ecrêtage'!C102</f>
        <v>7003.7466176470589</v>
      </c>
      <c r="D102" s="430"/>
      <c r="E102" s="430"/>
      <c r="F102" s="430"/>
      <c r="G102" s="430"/>
      <c r="H102" s="428"/>
      <c r="I102" s="298">
        <f t="shared" si="9"/>
        <v>0</v>
      </c>
      <c r="J102" s="278">
        <f t="shared" si="10"/>
        <v>56029.972941176471</v>
      </c>
      <c r="K102" s="10">
        <f t="shared" si="11"/>
        <v>0</v>
      </c>
      <c r="L102" s="295" t="e">
        <f t="shared" si="12"/>
        <v>#DIV/0!</v>
      </c>
      <c r="M102" s="10"/>
      <c r="N102" s="10"/>
      <c r="O102" s="432"/>
      <c r="P102" s="10">
        <f t="shared" si="13"/>
        <v>7003.7466176470589</v>
      </c>
      <c r="Q102" s="14">
        <f t="shared" si="14"/>
        <v>0</v>
      </c>
      <c r="R102" s="2" t="e">
        <f t="shared" si="15"/>
        <v>#DIV/0!</v>
      </c>
      <c r="S102" s="130" t="e">
        <f t="shared" si="16"/>
        <v>#DIV/0!</v>
      </c>
      <c r="T102" s="427" t="e">
        <f t="shared" si="17"/>
        <v>#DIV/0!</v>
      </c>
      <c r="U102" s="126"/>
      <c r="V102" s="493"/>
      <c r="W102" s="493"/>
      <c r="X102" s="493"/>
      <c r="Y102" s="493"/>
      <c r="Z102" s="493"/>
      <c r="AA102" s="493"/>
      <c r="AB102" s="413"/>
      <c r="AC102" s="413"/>
      <c r="AD102" s="413"/>
      <c r="AE102" s="413"/>
      <c r="AF102" s="413"/>
    </row>
    <row r="103" spans="1:32" x14ac:dyDescent="0.25">
      <c r="A103" s="49">
        <f>+'A) Base RI'!A104</f>
        <v>5561</v>
      </c>
      <c r="B103" s="458" t="str">
        <f>+'A) Base RI'!B104</f>
        <v>Grandson</v>
      </c>
      <c r="C103" s="298">
        <f>+'D) Ecrêtage'!C103</f>
        <v>114506.05043478261</v>
      </c>
      <c r="D103" s="430"/>
      <c r="E103" s="430"/>
      <c r="F103" s="430"/>
      <c r="G103" s="430"/>
      <c r="H103" s="428"/>
      <c r="I103" s="298">
        <f t="shared" si="9"/>
        <v>0</v>
      </c>
      <c r="J103" s="278">
        <f t="shared" si="10"/>
        <v>916048.40347826085</v>
      </c>
      <c r="K103" s="10">
        <f t="shared" si="11"/>
        <v>0</v>
      </c>
      <c r="L103" s="295" t="e">
        <f t="shared" si="12"/>
        <v>#DIV/0!</v>
      </c>
      <c r="M103" s="10"/>
      <c r="N103" s="10"/>
      <c r="O103" s="432"/>
      <c r="P103" s="10">
        <f t="shared" si="13"/>
        <v>114506.05043478261</v>
      </c>
      <c r="Q103" s="14">
        <f t="shared" si="14"/>
        <v>0</v>
      </c>
      <c r="R103" s="2" t="e">
        <f t="shared" si="15"/>
        <v>#DIV/0!</v>
      </c>
      <c r="S103" s="130" t="e">
        <f t="shared" si="16"/>
        <v>#DIV/0!</v>
      </c>
      <c r="T103" s="427" t="e">
        <f t="shared" si="17"/>
        <v>#DIV/0!</v>
      </c>
      <c r="U103" s="126"/>
      <c r="V103" s="493"/>
      <c r="W103" s="493"/>
      <c r="X103" s="493"/>
      <c r="Y103" s="493"/>
      <c r="Z103" s="493"/>
      <c r="AA103" s="493"/>
      <c r="AB103" s="413"/>
      <c r="AC103" s="413"/>
      <c r="AD103" s="413"/>
      <c r="AE103" s="413"/>
      <c r="AF103" s="413"/>
    </row>
    <row r="104" spans="1:32" x14ac:dyDescent="0.25">
      <c r="A104" s="49">
        <f>+'A) Base RI'!A105</f>
        <v>5562</v>
      </c>
      <c r="B104" s="458" t="str">
        <f>+'A) Base RI'!B105</f>
        <v>Mauborget</v>
      </c>
      <c r="C104" s="298">
        <f>+'D) Ecrêtage'!C104</f>
        <v>6099.4916904761894</v>
      </c>
      <c r="D104" s="430"/>
      <c r="E104" s="430"/>
      <c r="F104" s="430"/>
      <c r="G104" s="430"/>
      <c r="H104" s="428"/>
      <c r="I104" s="298">
        <f t="shared" si="9"/>
        <v>0</v>
      </c>
      <c r="J104" s="278">
        <f t="shared" si="10"/>
        <v>48795.933523809515</v>
      </c>
      <c r="K104" s="10">
        <f t="shared" si="11"/>
        <v>0</v>
      </c>
      <c r="L104" s="295" t="e">
        <f t="shared" si="12"/>
        <v>#DIV/0!</v>
      </c>
      <c r="M104" s="10"/>
      <c r="N104" s="10"/>
      <c r="O104" s="432"/>
      <c r="P104" s="10">
        <f t="shared" si="13"/>
        <v>6099.4916904761894</v>
      </c>
      <c r="Q104" s="14">
        <f t="shared" si="14"/>
        <v>0</v>
      </c>
      <c r="R104" s="2" t="e">
        <f t="shared" si="15"/>
        <v>#DIV/0!</v>
      </c>
      <c r="S104" s="130" t="e">
        <f t="shared" si="16"/>
        <v>#DIV/0!</v>
      </c>
      <c r="T104" s="427" t="e">
        <f t="shared" si="17"/>
        <v>#DIV/0!</v>
      </c>
      <c r="U104" s="126"/>
      <c r="V104" s="493"/>
      <c r="W104" s="493"/>
      <c r="X104" s="493"/>
      <c r="Y104" s="493"/>
      <c r="Z104" s="493"/>
      <c r="AA104" s="493"/>
      <c r="AB104" s="413"/>
      <c r="AC104" s="413"/>
      <c r="AD104" s="413"/>
      <c r="AE104" s="413"/>
      <c r="AF104" s="413"/>
    </row>
    <row r="105" spans="1:32" x14ac:dyDescent="0.25">
      <c r="A105" s="49">
        <f>+'A) Base RI'!A106</f>
        <v>5563</v>
      </c>
      <c r="B105" s="458" t="str">
        <f>+'A) Base RI'!B106</f>
        <v>Mutrux</v>
      </c>
      <c r="C105" s="298">
        <f>+'D) Ecrêtage'!C105</f>
        <v>4282.2314999999999</v>
      </c>
      <c r="D105" s="430"/>
      <c r="E105" s="430"/>
      <c r="F105" s="430"/>
      <c r="G105" s="430"/>
      <c r="H105" s="428"/>
      <c r="I105" s="298">
        <f t="shared" si="9"/>
        <v>0</v>
      </c>
      <c r="J105" s="278">
        <f t="shared" si="10"/>
        <v>34257.851999999999</v>
      </c>
      <c r="K105" s="10">
        <f t="shared" si="11"/>
        <v>0</v>
      </c>
      <c r="L105" s="295" t="e">
        <f t="shared" si="12"/>
        <v>#DIV/0!</v>
      </c>
      <c r="M105" s="10"/>
      <c r="N105" s="10"/>
      <c r="O105" s="432"/>
      <c r="P105" s="10">
        <f t="shared" si="13"/>
        <v>4282.2314999999999</v>
      </c>
      <c r="Q105" s="14">
        <f t="shared" si="14"/>
        <v>0</v>
      </c>
      <c r="R105" s="2" t="e">
        <f t="shared" si="15"/>
        <v>#DIV/0!</v>
      </c>
      <c r="S105" s="130" t="e">
        <f t="shared" si="16"/>
        <v>#DIV/0!</v>
      </c>
      <c r="T105" s="427" t="e">
        <f t="shared" si="17"/>
        <v>#DIV/0!</v>
      </c>
      <c r="U105" s="126"/>
      <c r="V105" s="493"/>
      <c r="W105" s="493"/>
      <c r="X105" s="493"/>
      <c r="Y105" s="493"/>
      <c r="Z105" s="493"/>
      <c r="AA105" s="493"/>
      <c r="AB105" s="413"/>
      <c r="AC105" s="413"/>
      <c r="AD105" s="413"/>
      <c r="AE105" s="413"/>
      <c r="AF105" s="413"/>
    </row>
    <row r="106" spans="1:32" x14ac:dyDescent="0.25">
      <c r="A106" s="49">
        <f>+'A) Base RI'!A107</f>
        <v>5564</v>
      </c>
      <c r="B106" s="458" t="str">
        <f>+'A) Base RI'!B107</f>
        <v>Novalles</v>
      </c>
      <c r="C106" s="298">
        <f>+'D) Ecrêtage'!C106</f>
        <v>2099.5480592105264</v>
      </c>
      <c r="D106" s="430"/>
      <c r="E106" s="430"/>
      <c r="F106" s="430"/>
      <c r="G106" s="430"/>
      <c r="H106" s="428"/>
      <c r="I106" s="298">
        <f t="shared" si="9"/>
        <v>0</v>
      </c>
      <c r="J106" s="278">
        <f t="shared" si="10"/>
        <v>16796.384473684211</v>
      </c>
      <c r="K106" s="10">
        <f t="shared" si="11"/>
        <v>0</v>
      </c>
      <c r="L106" s="295" t="e">
        <f t="shared" si="12"/>
        <v>#DIV/0!</v>
      </c>
      <c r="M106" s="10"/>
      <c r="N106" s="10"/>
      <c r="O106" s="432"/>
      <c r="P106" s="10">
        <f t="shared" si="13"/>
        <v>2099.5480592105264</v>
      </c>
      <c r="Q106" s="14">
        <f t="shared" si="14"/>
        <v>0</v>
      </c>
      <c r="R106" s="2" t="e">
        <f t="shared" si="15"/>
        <v>#DIV/0!</v>
      </c>
      <c r="S106" s="130" t="e">
        <f t="shared" si="16"/>
        <v>#DIV/0!</v>
      </c>
      <c r="T106" s="427" t="e">
        <f t="shared" si="17"/>
        <v>#DIV/0!</v>
      </c>
      <c r="U106" s="126"/>
      <c r="V106" s="493"/>
      <c r="W106" s="493"/>
      <c r="X106" s="493"/>
      <c r="Y106" s="493"/>
      <c r="Z106" s="493"/>
      <c r="AA106" s="493"/>
      <c r="AB106" s="413"/>
      <c r="AC106" s="413"/>
      <c r="AD106" s="413"/>
      <c r="AE106" s="413"/>
      <c r="AF106" s="413"/>
    </row>
    <row r="107" spans="1:32" x14ac:dyDescent="0.25">
      <c r="A107" s="49">
        <f>+'A) Base RI'!A108</f>
        <v>5565</v>
      </c>
      <c r="B107" s="458" t="str">
        <f>+'A) Base RI'!B108</f>
        <v>Onnens</v>
      </c>
      <c r="C107" s="298">
        <f>+'D) Ecrêtage'!C107</f>
        <v>22703.427716535429</v>
      </c>
      <c r="D107" s="430"/>
      <c r="E107" s="430"/>
      <c r="F107" s="430"/>
      <c r="G107" s="430"/>
      <c r="H107" s="428"/>
      <c r="I107" s="298">
        <f t="shared" si="9"/>
        <v>0</v>
      </c>
      <c r="J107" s="278">
        <f t="shared" si="10"/>
        <v>181627.42173228343</v>
      </c>
      <c r="K107" s="10">
        <f t="shared" si="11"/>
        <v>0</v>
      </c>
      <c r="L107" s="295" t="e">
        <f t="shared" si="12"/>
        <v>#DIV/0!</v>
      </c>
      <c r="M107" s="10"/>
      <c r="N107" s="10"/>
      <c r="O107" s="432"/>
      <c r="P107" s="10">
        <f t="shared" si="13"/>
        <v>22703.427716535429</v>
      </c>
      <c r="Q107" s="14">
        <f t="shared" si="14"/>
        <v>0</v>
      </c>
      <c r="R107" s="2" t="e">
        <f t="shared" si="15"/>
        <v>#DIV/0!</v>
      </c>
      <c r="S107" s="130" t="e">
        <f t="shared" si="16"/>
        <v>#DIV/0!</v>
      </c>
      <c r="T107" s="427" t="e">
        <f t="shared" si="17"/>
        <v>#DIV/0!</v>
      </c>
      <c r="U107" s="126"/>
      <c r="V107" s="493"/>
      <c r="W107" s="493"/>
      <c r="X107" s="493"/>
      <c r="Y107" s="493"/>
      <c r="Z107" s="493"/>
      <c r="AA107" s="493"/>
      <c r="AB107" s="413"/>
      <c r="AC107" s="413"/>
      <c r="AD107" s="413"/>
      <c r="AE107" s="413"/>
      <c r="AF107" s="413"/>
    </row>
    <row r="108" spans="1:32" x14ac:dyDescent="0.25">
      <c r="A108" s="49">
        <f>+'A) Base RI'!A109</f>
        <v>5566</v>
      </c>
      <c r="B108" s="458" t="str">
        <f>+'A) Base RI'!B109</f>
        <v>Provence</v>
      </c>
      <c r="C108" s="298">
        <f>+'D) Ecrêtage'!C108</f>
        <v>9377.8413580246925</v>
      </c>
      <c r="D108" s="430"/>
      <c r="E108" s="430"/>
      <c r="F108" s="430"/>
      <c r="G108" s="430"/>
      <c r="H108" s="428"/>
      <c r="I108" s="298">
        <f t="shared" si="9"/>
        <v>0</v>
      </c>
      <c r="J108" s="278">
        <f t="shared" si="10"/>
        <v>75022.73086419754</v>
      </c>
      <c r="K108" s="10">
        <f t="shared" si="11"/>
        <v>0</v>
      </c>
      <c r="L108" s="295" t="e">
        <f t="shared" si="12"/>
        <v>#DIV/0!</v>
      </c>
      <c r="M108" s="10"/>
      <c r="N108" s="10"/>
      <c r="O108" s="432"/>
      <c r="P108" s="10">
        <f t="shared" si="13"/>
        <v>9377.8413580246925</v>
      </c>
      <c r="Q108" s="14">
        <f t="shared" si="14"/>
        <v>0</v>
      </c>
      <c r="R108" s="2" t="e">
        <f t="shared" si="15"/>
        <v>#DIV/0!</v>
      </c>
      <c r="S108" s="130" t="e">
        <f t="shared" si="16"/>
        <v>#DIV/0!</v>
      </c>
      <c r="T108" s="427" t="e">
        <f t="shared" si="17"/>
        <v>#DIV/0!</v>
      </c>
      <c r="U108" s="126"/>
      <c r="V108" s="493"/>
      <c r="W108" s="493"/>
      <c r="X108" s="493"/>
      <c r="Y108" s="493"/>
      <c r="Z108" s="493"/>
      <c r="AA108" s="493"/>
      <c r="AB108" s="413"/>
      <c r="AC108" s="413"/>
      <c r="AD108" s="413"/>
      <c r="AE108" s="413"/>
      <c r="AF108" s="413"/>
    </row>
    <row r="109" spans="1:32" x14ac:dyDescent="0.25">
      <c r="A109" s="49">
        <f>+'A) Base RI'!A110</f>
        <v>5568</v>
      </c>
      <c r="B109" s="458" t="str">
        <f>+'A) Base RI'!B110</f>
        <v>Sainte-Croix</v>
      </c>
      <c r="C109" s="298">
        <f>+'D) Ecrêtage'!C109</f>
        <v>109171.87199999999</v>
      </c>
      <c r="D109" s="430"/>
      <c r="E109" s="430"/>
      <c r="F109" s="430"/>
      <c r="G109" s="430"/>
      <c r="H109" s="428"/>
      <c r="I109" s="298">
        <f t="shared" si="9"/>
        <v>0</v>
      </c>
      <c r="J109" s="278">
        <f t="shared" si="10"/>
        <v>873374.97599999991</v>
      </c>
      <c r="K109" s="10">
        <f t="shared" si="11"/>
        <v>0</v>
      </c>
      <c r="L109" s="295" t="e">
        <f t="shared" si="12"/>
        <v>#DIV/0!</v>
      </c>
      <c r="M109" s="10"/>
      <c r="N109" s="10"/>
      <c r="O109" s="432"/>
      <c r="P109" s="10">
        <f t="shared" si="13"/>
        <v>109171.87199999999</v>
      </c>
      <c r="Q109" s="14">
        <f t="shared" si="14"/>
        <v>0</v>
      </c>
      <c r="R109" s="2" t="e">
        <f t="shared" si="15"/>
        <v>#DIV/0!</v>
      </c>
      <c r="S109" s="130" t="e">
        <f t="shared" si="16"/>
        <v>#DIV/0!</v>
      </c>
      <c r="T109" s="427" t="e">
        <f t="shared" si="17"/>
        <v>#DIV/0!</v>
      </c>
      <c r="U109" s="126"/>
      <c r="V109" s="493"/>
      <c r="W109" s="493"/>
      <c r="X109" s="493"/>
      <c r="Y109" s="493"/>
      <c r="Z109" s="493"/>
      <c r="AA109" s="493"/>
      <c r="AB109" s="413"/>
      <c r="AC109" s="413"/>
      <c r="AD109" s="413"/>
      <c r="AE109" s="413"/>
      <c r="AF109" s="413"/>
    </row>
    <row r="110" spans="1:32" x14ac:dyDescent="0.25">
      <c r="A110" s="49">
        <f>+'A) Base RI'!A111</f>
        <v>5571</v>
      </c>
      <c r="B110" s="458" t="str">
        <f>+'A) Base RI'!B111</f>
        <v>Tévenon</v>
      </c>
      <c r="C110" s="298">
        <f>+'D) Ecrêtage'!C110</f>
        <v>25325.239790209791</v>
      </c>
      <c r="D110" s="430"/>
      <c r="E110" s="430"/>
      <c r="F110" s="430"/>
      <c r="G110" s="430"/>
      <c r="H110" s="428"/>
      <c r="I110" s="298">
        <f t="shared" si="9"/>
        <v>0</v>
      </c>
      <c r="J110" s="278">
        <f t="shared" si="10"/>
        <v>202601.91832167833</v>
      </c>
      <c r="K110" s="10">
        <f t="shared" si="11"/>
        <v>0</v>
      </c>
      <c r="L110" s="295" t="e">
        <f t="shared" si="12"/>
        <v>#DIV/0!</v>
      </c>
      <c r="M110" s="10"/>
      <c r="N110" s="10"/>
      <c r="O110" s="432"/>
      <c r="P110" s="10">
        <f t="shared" si="13"/>
        <v>25325.239790209791</v>
      </c>
      <c r="Q110" s="14">
        <f t="shared" si="14"/>
        <v>0</v>
      </c>
      <c r="R110" s="2" t="e">
        <f t="shared" si="15"/>
        <v>#DIV/0!</v>
      </c>
      <c r="S110" s="130" t="e">
        <f t="shared" si="16"/>
        <v>#DIV/0!</v>
      </c>
      <c r="T110" s="427" t="e">
        <f t="shared" si="17"/>
        <v>#DIV/0!</v>
      </c>
      <c r="U110" s="126"/>
      <c r="V110" s="493"/>
      <c r="W110" s="493"/>
      <c r="X110" s="493"/>
      <c r="Y110" s="493"/>
      <c r="Z110" s="493"/>
      <c r="AA110" s="493"/>
      <c r="AB110" s="413"/>
      <c r="AC110" s="413"/>
      <c r="AD110" s="413"/>
      <c r="AE110" s="413"/>
      <c r="AF110" s="413"/>
    </row>
    <row r="111" spans="1:32" x14ac:dyDescent="0.25">
      <c r="A111" s="49">
        <f>+'A) Base RI'!A112</f>
        <v>5581</v>
      </c>
      <c r="B111" s="458" t="str">
        <f>+'A) Base RI'!B112</f>
        <v>Belmont-sur-Lausanne</v>
      </c>
      <c r="C111" s="298">
        <f>+'D) Ecrêtage'!C111</f>
        <v>215435.94296296299</v>
      </c>
      <c r="D111" s="430"/>
      <c r="E111" s="430"/>
      <c r="F111" s="430"/>
      <c r="G111" s="430"/>
      <c r="H111" s="428"/>
      <c r="I111" s="298">
        <f t="shared" si="9"/>
        <v>0</v>
      </c>
      <c r="J111" s="278">
        <f t="shared" si="10"/>
        <v>1723487.5437037039</v>
      </c>
      <c r="K111" s="10">
        <f t="shared" si="11"/>
        <v>0</v>
      </c>
      <c r="L111" s="295" t="e">
        <f t="shared" si="12"/>
        <v>#DIV/0!</v>
      </c>
      <c r="M111" s="10"/>
      <c r="N111" s="10"/>
      <c r="O111" s="432"/>
      <c r="P111" s="10">
        <f t="shared" si="13"/>
        <v>215435.94296296299</v>
      </c>
      <c r="Q111" s="14">
        <f t="shared" si="14"/>
        <v>0</v>
      </c>
      <c r="R111" s="2" t="e">
        <f t="shared" si="15"/>
        <v>#DIV/0!</v>
      </c>
      <c r="S111" s="130" t="e">
        <f t="shared" si="16"/>
        <v>#DIV/0!</v>
      </c>
      <c r="T111" s="427" t="e">
        <f t="shared" si="17"/>
        <v>#DIV/0!</v>
      </c>
      <c r="U111" s="126"/>
      <c r="V111" s="493"/>
      <c r="W111" s="493"/>
      <c r="X111" s="493"/>
      <c r="Y111" s="493"/>
      <c r="Z111" s="493"/>
      <c r="AA111" s="493"/>
      <c r="AB111" s="413"/>
      <c r="AC111" s="413"/>
      <c r="AD111" s="413"/>
      <c r="AE111" s="413"/>
      <c r="AF111" s="413"/>
    </row>
    <row r="112" spans="1:32" x14ac:dyDescent="0.25">
      <c r="A112" s="49">
        <f>+'A) Base RI'!A113</f>
        <v>5582</v>
      </c>
      <c r="B112" s="458" t="str">
        <f>+'A) Base RI'!B113</f>
        <v>Cheseaux-sur-Lausanne</v>
      </c>
      <c r="C112" s="298">
        <f>+'D) Ecrêtage'!C112</f>
        <v>167506.84698630136</v>
      </c>
      <c r="D112" s="430"/>
      <c r="E112" s="430"/>
      <c r="F112" s="430"/>
      <c r="G112" s="430"/>
      <c r="H112" s="428"/>
      <c r="I112" s="298">
        <f t="shared" si="9"/>
        <v>0</v>
      </c>
      <c r="J112" s="278">
        <f t="shared" si="10"/>
        <v>1340054.7758904109</v>
      </c>
      <c r="K112" s="10">
        <f t="shared" si="11"/>
        <v>0</v>
      </c>
      <c r="L112" s="295" t="e">
        <f t="shared" si="12"/>
        <v>#DIV/0!</v>
      </c>
      <c r="M112" s="10"/>
      <c r="N112" s="10"/>
      <c r="O112" s="432"/>
      <c r="P112" s="10">
        <f t="shared" si="13"/>
        <v>167506.84698630136</v>
      </c>
      <c r="Q112" s="14">
        <f t="shared" si="14"/>
        <v>0</v>
      </c>
      <c r="R112" s="2" t="e">
        <f t="shared" si="15"/>
        <v>#DIV/0!</v>
      </c>
      <c r="S112" s="130" t="e">
        <f t="shared" si="16"/>
        <v>#DIV/0!</v>
      </c>
      <c r="T112" s="427" t="e">
        <f t="shared" si="17"/>
        <v>#DIV/0!</v>
      </c>
      <c r="U112" s="126"/>
      <c r="V112" s="493"/>
      <c r="W112" s="493"/>
      <c r="X112" s="493"/>
      <c r="Y112" s="493"/>
      <c r="Z112" s="493"/>
      <c r="AA112" s="493"/>
      <c r="AB112" s="413"/>
      <c r="AC112" s="413"/>
      <c r="AD112" s="413"/>
      <c r="AE112" s="413"/>
      <c r="AF112" s="413"/>
    </row>
    <row r="113" spans="1:32" x14ac:dyDescent="0.25">
      <c r="A113" s="49">
        <f>+'A) Base RI'!A114</f>
        <v>5583</v>
      </c>
      <c r="B113" s="458" t="str">
        <f>+'A) Base RI'!B114</f>
        <v>Crissier</v>
      </c>
      <c r="C113" s="298">
        <f>+'D) Ecrêtage'!C113</f>
        <v>337550.36173228343</v>
      </c>
      <c r="D113" s="430"/>
      <c r="E113" s="430"/>
      <c r="F113" s="430"/>
      <c r="G113" s="430"/>
      <c r="H113" s="428"/>
      <c r="I113" s="298">
        <f t="shared" si="9"/>
        <v>0</v>
      </c>
      <c r="J113" s="278">
        <f t="shared" si="10"/>
        <v>2700402.8938582675</v>
      </c>
      <c r="K113" s="10">
        <f t="shared" si="11"/>
        <v>0</v>
      </c>
      <c r="L113" s="295" t="e">
        <f t="shared" si="12"/>
        <v>#DIV/0!</v>
      </c>
      <c r="M113" s="10"/>
      <c r="N113" s="10"/>
      <c r="O113" s="432"/>
      <c r="P113" s="10">
        <f t="shared" si="13"/>
        <v>337550.36173228343</v>
      </c>
      <c r="Q113" s="14">
        <f t="shared" si="14"/>
        <v>0</v>
      </c>
      <c r="R113" s="2" t="e">
        <f t="shared" si="15"/>
        <v>#DIV/0!</v>
      </c>
      <c r="S113" s="130" t="e">
        <f t="shared" si="16"/>
        <v>#DIV/0!</v>
      </c>
      <c r="T113" s="427" t="e">
        <f t="shared" si="17"/>
        <v>#DIV/0!</v>
      </c>
      <c r="U113" s="126"/>
      <c r="V113" s="493"/>
      <c r="W113" s="493"/>
      <c r="X113" s="493"/>
      <c r="Y113" s="493"/>
      <c r="Z113" s="493"/>
      <c r="AA113" s="493"/>
      <c r="AB113" s="413"/>
      <c r="AC113" s="413"/>
      <c r="AD113" s="413"/>
      <c r="AE113" s="413"/>
      <c r="AF113" s="413"/>
    </row>
    <row r="114" spans="1:32" x14ac:dyDescent="0.25">
      <c r="A114" s="49">
        <f>+'A) Base RI'!A115</f>
        <v>5584</v>
      </c>
      <c r="B114" s="458" t="str">
        <f>+'A) Base RI'!B115</f>
        <v>Epalinges</v>
      </c>
      <c r="C114" s="298">
        <f>+'D) Ecrêtage'!C114</f>
        <v>516766.84201550385</v>
      </c>
      <c r="D114" s="430"/>
      <c r="E114" s="430"/>
      <c r="F114" s="430"/>
      <c r="G114" s="430"/>
      <c r="H114" s="428"/>
      <c r="I114" s="298">
        <f t="shared" si="9"/>
        <v>0</v>
      </c>
      <c r="J114" s="278">
        <f t="shared" si="10"/>
        <v>4134134.7361240308</v>
      </c>
      <c r="K114" s="10">
        <f t="shared" si="11"/>
        <v>0</v>
      </c>
      <c r="L114" s="295" t="e">
        <f t="shared" si="12"/>
        <v>#DIV/0!</v>
      </c>
      <c r="M114" s="10"/>
      <c r="N114" s="10"/>
      <c r="O114" s="432"/>
      <c r="P114" s="10">
        <f t="shared" si="13"/>
        <v>516766.84201550385</v>
      </c>
      <c r="Q114" s="14">
        <f t="shared" si="14"/>
        <v>0</v>
      </c>
      <c r="R114" s="2" t="e">
        <f t="shared" si="15"/>
        <v>#DIV/0!</v>
      </c>
      <c r="S114" s="130" t="e">
        <f t="shared" si="16"/>
        <v>#DIV/0!</v>
      </c>
      <c r="T114" s="427" t="e">
        <f t="shared" si="17"/>
        <v>#DIV/0!</v>
      </c>
      <c r="U114" s="126"/>
      <c r="V114" s="493"/>
      <c r="W114" s="493"/>
      <c r="X114" s="493"/>
      <c r="Y114" s="493"/>
      <c r="Z114" s="493"/>
      <c r="AA114" s="493"/>
      <c r="AB114" s="413"/>
      <c r="AC114" s="413"/>
      <c r="AD114" s="413"/>
      <c r="AE114" s="413"/>
      <c r="AF114" s="413"/>
    </row>
    <row r="115" spans="1:32" x14ac:dyDescent="0.25">
      <c r="A115" s="49">
        <f>+'A) Base RI'!A116</f>
        <v>5585</v>
      </c>
      <c r="B115" s="458" t="str">
        <f>+'A) Base RI'!B116</f>
        <v>Jouxtens-Mézery</v>
      </c>
      <c r="C115" s="298">
        <f>+'D) Ecrêtage'!C115</f>
        <v>191744.87050847456</v>
      </c>
      <c r="D115" s="430"/>
      <c r="E115" s="430"/>
      <c r="F115" s="430"/>
      <c r="G115" s="430"/>
      <c r="H115" s="428"/>
      <c r="I115" s="298">
        <f t="shared" si="9"/>
        <v>0</v>
      </c>
      <c r="J115" s="278">
        <f t="shared" si="10"/>
        <v>1533958.9640677965</v>
      </c>
      <c r="K115" s="10">
        <f t="shared" si="11"/>
        <v>0</v>
      </c>
      <c r="L115" s="295" t="e">
        <f t="shared" si="12"/>
        <v>#DIV/0!</v>
      </c>
      <c r="M115" s="10"/>
      <c r="N115" s="10"/>
      <c r="O115" s="432"/>
      <c r="P115" s="10">
        <f t="shared" si="13"/>
        <v>191744.87050847456</v>
      </c>
      <c r="Q115" s="14">
        <f t="shared" si="14"/>
        <v>0</v>
      </c>
      <c r="R115" s="2" t="e">
        <f t="shared" si="15"/>
        <v>#DIV/0!</v>
      </c>
      <c r="S115" s="130" t="e">
        <f t="shared" si="16"/>
        <v>#DIV/0!</v>
      </c>
      <c r="T115" s="427" t="e">
        <f t="shared" si="17"/>
        <v>#DIV/0!</v>
      </c>
      <c r="U115" s="126"/>
      <c r="V115" s="493"/>
      <c r="W115" s="493"/>
      <c r="X115" s="493"/>
      <c r="Y115" s="493"/>
      <c r="Z115" s="493"/>
      <c r="AA115" s="493"/>
      <c r="AB115" s="413"/>
      <c r="AC115" s="413"/>
      <c r="AD115" s="413"/>
      <c r="AE115" s="413"/>
      <c r="AF115" s="413"/>
    </row>
    <row r="116" spans="1:32" x14ac:dyDescent="0.25">
      <c r="A116" s="49">
        <f>+'A) Base RI'!A117</f>
        <v>5586</v>
      </c>
      <c r="B116" s="458" t="str">
        <f>+'A) Base RI'!B117</f>
        <v>Lausanne</v>
      </c>
      <c r="C116" s="298">
        <f>+'D) Ecrêtage'!C116</f>
        <v>6461491.7137154993</v>
      </c>
      <c r="D116" s="430"/>
      <c r="E116" s="430"/>
      <c r="F116" s="430"/>
      <c r="G116" s="430"/>
      <c r="H116" s="428"/>
      <c r="I116" s="298">
        <f t="shared" si="9"/>
        <v>0</v>
      </c>
      <c r="J116" s="278">
        <f t="shared" si="10"/>
        <v>51691933.709723994</v>
      </c>
      <c r="K116" s="10">
        <f t="shared" si="11"/>
        <v>0</v>
      </c>
      <c r="L116" s="295" t="e">
        <f t="shared" si="12"/>
        <v>#DIV/0!</v>
      </c>
      <c r="M116" s="10"/>
      <c r="N116" s="10"/>
      <c r="O116" s="432"/>
      <c r="P116" s="10">
        <f t="shared" si="13"/>
        <v>6461491.7137154993</v>
      </c>
      <c r="Q116" s="14">
        <f t="shared" si="14"/>
        <v>0</v>
      </c>
      <c r="R116" s="2" t="e">
        <f t="shared" si="15"/>
        <v>#DIV/0!</v>
      </c>
      <c r="S116" s="130" t="e">
        <f t="shared" si="16"/>
        <v>#DIV/0!</v>
      </c>
      <c r="T116" s="427" t="e">
        <f t="shared" si="17"/>
        <v>#DIV/0!</v>
      </c>
      <c r="U116" s="126"/>
      <c r="V116" s="493"/>
      <c r="W116" s="493"/>
      <c r="X116" s="493"/>
      <c r="Y116" s="493"/>
      <c r="Z116" s="493"/>
      <c r="AA116" s="493"/>
      <c r="AB116" s="413"/>
      <c r="AC116" s="413"/>
      <c r="AD116" s="413"/>
      <c r="AE116" s="413"/>
      <c r="AF116" s="413"/>
    </row>
    <row r="117" spans="1:32" x14ac:dyDescent="0.25">
      <c r="A117" s="49">
        <f>+'A) Base RI'!A118</f>
        <v>5587</v>
      </c>
      <c r="B117" s="458" t="str">
        <f>+'A) Base RI'!B118</f>
        <v>Le Mont-sur-Lausanne</v>
      </c>
      <c r="C117" s="298">
        <f>+'D) Ecrêtage'!C117</f>
        <v>495058.05378684809</v>
      </c>
      <c r="D117" s="430"/>
      <c r="E117" s="430"/>
      <c r="F117" s="430"/>
      <c r="G117" s="430"/>
      <c r="H117" s="428"/>
      <c r="I117" s="298">
        <f t="shared" si="9"/>
        <v>0</v>
      </c>
      <c r="J117" s="278">
        <f t="shared" si="10"/>
        <v>3960464.4302947847</v>
      </c>
      <c r="K117" s="10">
        <f t="shared" si="11"/>
        <v>0</v>
      </c>
      <c r="L117" s="295" t="e">
        <f t="shared" si="12"/>
        <v>#DIV/0!</v>
      </c>
      <c r="M117" s="10"/>
      <c r="N117" s="10"/>
      <c r="O117" s="432"/>
      <c r="P117" s="10">
        <f t="shared" si="13"/>
        <v>495058.05378684809</v>
      </c>
      <c r="Q117" s="14">
        <f t="shared" si="14"/>
        <v>0</v>
      </c>
      <c r="R117" s="2" t="e">
        <f t="shared" si="15"/>
        <v>#DIV/0!</v>
      </c>
      <c r="S117" s="130" t="e">
        <f t="shared" si="16"/>
        <v>#DIV/0!</v>
      </c>
      <c r="T117" s="427" t="e">
        <f t="shared" si="17"/>
        <v>#DIV/0!</v>
      </c>
      <c r="U117" s="126"/>
      <c r="V117" s="493"/>
      <c r="W117" s="493"/>
      <c r="X117" s="493"/>
      <c r="Y117" s="493"/>
      <c r="Z117" s="493"/>
      <c r="AA117" s="493"/>
      <c r="AB117" s="413"/>
      <c r="AC117" s="413"/>
      <c r="AD117" s="413"/>
      <c r="AE117" s="413"/>
      <c r="AF117" s="413"/>
    </row>
    <row r="118" spans="1:32" x14ac:dyDescent="0.25">
      <c r="A118" s="49">
        <f>+'A) Base RI'!A119</f>
        <v>5588</v>
      </c>
      <c r="B118" s="458" t="str">
        <f>+'A) Base RI'!B119</f>
        <v>Paudex</v>
      </c>
      <c r="C118" s="298">
        <f>+'D) Ecrêtage'!C118</f>
        <v>215756.29785177234</v>
      </c>
      <c r="D118" s="430"/>
      <c r="E118" s="430"/>
      <c r="F118" s="430"/>
      <c r="G118" s="430"/>
      <c r="H118" s="428"/>
      <c r="I118" s="298">
        <f t="shared" si="9"/>
        <v>0</v>
      </c>
      <c r="J118" s="278">
        <f t="shared" si="10"/>
        <v>1726050.3828141787</v>
      </c>
      <c r="K118" s="10">
        <f t="shared" si="11"/>
        <v>0</v>
      </c>
      <c r="L118" s="295" t="e">
        <f t="shared" si="12"/>
        <v>#DIV/0!</v>
      </c>
      <c r="M118" s="10"/>
      <c r="N118" s="10"/>
      <c r="O118" s="432"/>
      <c r="P118" s="10">
        <f t="shared" si="13"/>
        <v>215756.29785177234</v>
      </c>
      <c r="Q118" s="14">
        <f t="shared" si="14"/>
        <v>0</v>
      </c>
      <c r="R118" s="2" t="e">
        <f t="shared" si="15"/>
        <v>#DIV/0!</v>
      </c>
      <c r="S118" s="130" t="e">
        <f t="shared" si="16"/>
        <v>#DIV/0!</v>
      </c>
      <c r="T118" s="427" t="e">
        <f t="shared" si="17"/>
        <v>#DIV/0!</v>
      </c>
      <c r="U118" s="126"/>
      <c r="V118" s="493"/>
      <c r="W118" s="493"/>
      <c r="X118" s="493"/>
      <c r="Y118" s="493"/>
      <c r="Z118" s="493"/>
      <c r="AA118" s="493"/>
      <c r="AB118" s="413"/>
      <c r="AC118" s="413"/>
      <c r="AD118" s="413"/>
      <c r="AE118" s="413"/>
      <c r="AF118" s="413"/>
    </row>
    <row r="119" spans="1:32" x14ac:dyDescent="0.25">
      <c r="A119" s="49">
        <f>+'A) Base RI'!A120</f>
        <v>5589</v>
      </c>
      <c r="B119" s="458" t="str">
        <f>+'A) Base RI'!B120</f>
        <v>Prilly</v>
      </c>
      <c r="C119" s="298">
        <f>+'D) Ecrêtage'!C119</f>
        <v>419549.81642440322</v>
      </c>
      <c r="D119" s="430"/>
      <c r="E119" s="430"/>
      <c r="F119" s="430"/>
      <c r="G119" s="430"/>
      <c r="H119" s="428"/>
      <c r="I119" s="298">
        <f t="shared" si="9"/>
        <v>0</v>
      </c>
      <c r="J119" s="278">
        <f t="shared" si="10"/>
        <v>3356398.5313952258</v>
      </c>
      <c r="K119" s="10">
        <f t="shared" si="11"/>
        <v>0</v>
      </c>
      <c r="L119" s="295" t="e">
        <f t="shared" si="12"/>
        <v>#DIV/0!</v>
      </c>
      <c r="M119" s="10"/>
      <c r="N119" s="10"/>
      <c r="O119" s="432"/>
      <c r="P119" s="10">
        <f t="shared" si="13"/>
        <v>419549.81642440322</v>
      </c>
      <c r="Q119" s="14">
        <f t="shared" si="14"/>
        <v>0</v>
      </c>
      <c r="R119" s="2" t="e">
        <f t="shared" si="15"/>
        <v>#DIV/0!</v>
      </c>
      <c r="S119" s="130" t="e">
        <f t="shared" si="16"/>
        <v>#DIV/0!</v>
      </c>
      <c r="T119" s="427" t="e">
        <f t="shared" si="17"/>
        <v>#DIV/0!</v>
      </c>
      <c r="U119" s="126"/>
      <c r="V119" s="493"/>
      <c r="W119" s="493"/>
      <c r="X119" s="493"/>
      <c r="Y119" s="493"/>
      <c r="Z119" s="493"/>
      <c r="AA119" s="493"/>
      <c r="AB119" s="413"/>
      <c r="AC119" s="413"/>
      <c r="AD119" s="413"/>
      <c r="AE119" s="413"/>
      <c r="AF119" s="413"/>
    </row>
    <row r="120" spans="1:32" x14ac:dyDescent="0.25">
      <c r="A120" s="49">
        <f>+'A) Base RI'!A121</f>
        <v>5590</v>
      </c>
      <c r="B120" s="458" t="str">
        <f>+'A) Base RI'!B121</f>
        <v>Pully</v>
      </c>
      <c r="C120" s="298">
        <f>+'D) Ecrêtage'!C120</f>
        <v>1603030.9692740045</v>
      </c>
      <c r="D120" s="430"/>
      <c r="E120" s="430"/>
      <c r="F120" s="430"/>
      <c r="G120" s="430"/>
      <c r="H120" s="428"/>
      <c r="I120" s="298">
        <f t="shared" si="9"/>
        <v>0</v>
      </c>
      <c r="J120" s="278">
        <f t="shared" si="10"/>
        <v>12824247.754192036</v>
      </c>
      <c r="K120" s="10">
        <f t="shared" si="11"/>
        <v>0</v>
      </c>
      <c r="L120" s="295" t="e">
        <f t="shared" si="12"/>
        <v>#DIV/0!</v>
      </c>
      <c r="M120" s="10"/>
      <c r="N120" s="10"/>
      <c r="O120" s="432"/>
      <c r="P120" s="10">
        <f t="shared" si="13"/>
        <v>1603030.9692740045</v>
      </c>
      <c r="Q120" s="14">
        <f t="shared" si="14"/>
        <v>0</v>
      </c>
      <c r="R120" s="2" t="e">
        <f t="shared" si="15"/>
        <v>#DIV/0!</v>
      </c>
      <c r="S120" s="130" t="e">
        <f t="shared" si="16"/>
        <v>#DIV/0!</v>
      </c>
      <c r="T120" s="427" t="e">
        <f t="shared" si="17"/>
        <v>#DIV/0!</v>
      </c>
      <c r="U120" s="126"/>
      <c r="V120" s="493"/>
      <c r="W120" s="493"/>
      <c r="X120" s="493"/>
      <c r="Y120" s="493"/>
      <c r="Z120" s="493"/>
      <c r="AA120" s="493"/>
      <c r="AB120" s="413"/>
      <c r="AC120" s="413"/>
      <c r="AD120" s="413"/>
      <c r="AE120" s="413"/>
      <c r="AF120" s="413"/>
    </row>
    <row r="121" spans="1:32" x14ac:dyDescent="0.25">
      <c r="A121" s="49">
        <f>+'A) Base RI'!A122</f>
        <v>5591</v>
      </c>
      <c r="B121" s="458" t="str">
        <f>+'A) Base RI'!B122</f>
        <v>Renens</v>
      </c>
      <c r="C121" s="298">
        <f>+'D) Ecrêtage'!C121</f>
        <v>569784.47115027823</v>
      </c>
      <c r="D121" s="430"/>
      <c r="E121" s="430"/>
      <c r="F121" s="430"/>
      <c r="G121" s="430"/>
      <c r="H121" s="428"/>
      <c r="I121" s="298">
        <f t="shared" si="9"/>
        <v>0</v>
      </c>
      <c r="J121" s="278">
        <f t="shared" si="10"/>
        <v>4558275.7692022258</v>
      </c>
      <c r="K121" s="10">
        <f t="shared" si="11"/>
        <v>0</v>
      </c>
      <c r="L121" s="295" t="e">
        <f t="shared" si="12"/>
        <v>#DIV/0!</v>
      </c>
      <c r="M121" s="10"/>
      <c r="N121" s="10"/>
      <c r="O121" s="432"/>
      <c r="P121" s="10">
        <f t="shared" si="13"/>
        <v>569784.47115027823</v>
      </c>
      <c r="Q121" s="14">
        <f t="shared" si="14"/>
        <v>0</v>
      </c>
      <c r="R121" s="2" t="e">
        <f t="shared" si="15"/>
        <v>#DIV/0!</v>
      </c>
      <c r="S121" s="130" t="e">
        <f t="shared" si="16"/>
        <v>#DIV/0!</v>
      </c>
      <c r="T121" s="427" t="e">
        <f t="shared" si="17"/>
        <v>#DIV/0!</v>
      </c>
      <c r="U121" s="126"/>
      <c r="V121" s="493"/>
      <c r="W121" s="493"/>
      <c r="X121" s="493"/>
      <c r="Y121" s="493"/>
      <c r="Z121" s="493"/>
      <c r="AA121" s="493"/>
      <c r="AB121" s="413"/>
      <c r="AC121" s="413"/>
      <c r="AD121" s="413"/>
      <c r="AE121" s="413"/>
      <c r="AF121" s="413"/>
    </row>
    <row r="122" spans="1:32" x14ac:dyDescent="0.25">
      <c r="A122" s="49">
        <f>+'A) Base RI'!A123</f>
        <v>5592</v>
      </c>
      <c r="B122" s="458" t="str">
        <f>+'A) Base RI'!B123</f>
        <v>Romanel-sur-Lausanne</v>
      </c>
      <c r="C122" s="298">
        <f>+'D) Ecrêtage'!C122</f>
        <v>121086.56368794327</v>
      </c>
      <c r="D122" s="430"/>
      <c r="E122" s="430"/>
      <c r="F122" s="430"/>
      <c r="G122" s="430"/>
      <c r="H122" s="428"/>
      <c r="I122" s="298">
        <f t="shared" si="9"/>
        <v>0</v>
      </c>
      <c r="J122" s="278">
        <f t="shared" si="10"/>
        <v>968692.50950354617</v>
      </c>
      <c r="K122" s="10">
        <f t="shared" si="11"/>
        <v>0</v>
      </c>
      <c r="L122" s="295" t="e">
        <f t="shared" si="12"/>
        <v>#DIV/0!</v>
      </c>
      <c r="M122" s="10"/>
      <c r="N122" s="10"/>
      <c r="O122" s="432"/>
      <c r="P122" s="10">
        <f t="shared" si="13"/>
        <v>121086.56368794327</v>
      </c>
      <c r="Q122" s="14">
        <f t="shared" si="14"/>
        <v>0</v>
      </c>
      <c r="R122" s="2" t="e">
        <f t="shared" si="15"/>
        <v>#DIV/0!</v>
      </c>
      <c r="S122" s="130" t="e">
        <f t="shared" si="16"/>
        <v>#DIV/0!</v>
      </c>
      <c r="T122" s="427" t="e">
        <f t="shared" si="17"/>
        <v>#DIV/0!</v>
      </c>
      <c r="U122" s="126"/>
      <c r="V122" s="493"/>
      <c r="W122" s="493"/>
      <c r="X122" s="493"/>
      <c r="Y122" s="493"/>
      <c r="Z122" s="493"/>
      <c r="AA122" s="493"/>
      <c r="AB122" s="413"/>
      <c r="AC122" s="413"/>
      <c r="AD122" s="413"/>
      <c r="AE122" s="413"/>
      <c r="AF122" s="413"/>
    </row>
    <row r="123" spans="1:32" x14ac:dyDescent="0.25">
      <c r="A123" s="49">
        <f>+'A) Base RI'!A124</f>
        <v>5601</v>
      </c>
      <c r="B123" s="458" t="str">
        <f>+'A) Base RI'!B124</f>
        <v>Chexbres</v>
      </c>
      <c r="C123" s="298">
        <f>+'D) Ecrêtage'!C123</f>
        <v>105973.06044444445</v>
      </c>
      <c r="D123" s="430"/>
      <c r="E123" s="430"/>
      <c r="F123" s="430"/>
      <c r="G123" s="430"/>
      <c r="H123" s="428"/>
      <c r="I123" s="298">
        <f t="shared" si="9"/>
        <v>0</v>
      </c>
      <c r="J123" s="278">
        <f t="shared" si="10"/>
        <v>847784.48355555558</v>
      </c>
      <c r="K123" s="10">
        <f t="shared" si="11"/>
        <v>0</v>
      </c>
      <c r="L123" s="295" t="e">
        <f t="shared" si="12"/>
        <v>#DIV/0!</v>
      </c>
      <c r="M123" s="10"/>
      <c r="N123" s="10"/>
      <c r="O123" s="432"/>
      <c r="P123" s="10">
        <f t="shared" si="13"/>
        <v>105973.06044444445</v>
      </c>
      <c r="Q123" s="14">
        <f t="shared" si="14"/>
        <v>0</v>
      </c>
      <c r="R123" s="2" t="e">
        <f t="shared" si="15"/>
        <v>#DIV/0!</v>
      </c>
      <c r="S123" s="130" t="e">
        <f t="shared" si="16"/>
        <v>#DIV/0!</v>
      </c>
      <c r="T123" s="427" t="e">
        <f t="shared" si="17"/>
        <v>#DIV/0!</v>
      </c>
      <c r="U123" s="126"/>
      <c r="V123" s="493"/>
      <c r="W123" s="493"/>
      <c r="X123" s="493"/>
      <c r="Y123" s="493"/>
      <c r="Z123" s="493"/>
      <c r="AA123" s="493"/>
      <c r="AB123" s="413"/>
      <c r="AC123" s="413"/>
      <c r="AD123" s="413"/>
      <c r="AE123" s="413"/>
      <c r="AF123" s="413"/>
    </row>
    <row r="124" spans="1:32" x14ac:dyDescent="0.25">
      <c r="A124" s="49">
        <f>+'A) Base RI'!A125</f>
        <v>5604</v>
      </c>
      <c r="B124" s="458" t="str">
        <f>+'A) Base RI'!B125</f>
        <v>Forel (Lavaux)</v>
      </c>
      <c r="C124" s="298">
        <f>+'D) Ecrêtage'!C124</f>
        <v>75818.919130434777</v>
      </c>
      <c r="D124" s="430"/>
      <c r="E124" s="430"/>
      <c r="F124" s="430"/>
      <c r="G124" s="430"/>
      <c r="H124" s="428"/>
      <c r="I124" s="298">
        <f t="shared" si="9"/>
        <v>0</v>
      </c>
      <c r="J124" s="278">
        <f t="shared" si="10"/>
        <v>606551.35304347822</v>
      </c>
      <c r="K124" s="10">
        <f t="shared" si="11"/>
        <v>0</v>
      </c>
      <c r="L124" s="295" t="e">
        <f t="shared" si="12"/>
        <v>#DIV/0!</v>
      </c>
      <c r="M124" s="10"/>
      <c r="N124" s="10"/>
      <c r="O124" s="432"/>
      <c r="P124" s="10">
        <f t="shared" si="13"/>
        <v>75818.919130434777</v>
      </c>
      <c r="Q124" s="14">
        <f t="shared" si="14"/>
        <v>0</v>
      </c>
      <c r="R124" s="2" t="e">
        <f t="shared" si="15"/>
        <v>#DIV/0!</v>
      </c>
      <c r="S124" s="130" t="e">
        <f t="shared" si="16"/>
        <v>#DIV/0!</v>
      </c>
      <c r="T124" s="427" t="e">
        <f t="shared" si="17"/>
        <v>#DIV/0!</v>
      </c>
      <c r="U124" s="126"/>
      <c r="V124" s="493"/>
      <c r="W124" s="493"/>
      <c r="X124" s="493"/>
      <c r="Y124" s="493"/>
      <c r="Z124" s="493"/>
      <c r="AA124" s="493"/>
      <c r="AB124" s="413"/>
      <c r="AC124" s="413"/>
      <c r="AD124" s="413"/>
      <c r="AE124" s="413"/>
      <c r="AF124" s="413"/>
    </row>
    <row r="125" spans="1:32" x14ac:dyDescent="0.25">
      <c r="A125" s="49">
        <f>+'A) Base RI'!A126</f>
        <v>5606</v>
      </c>
      <c r="B125" s="458" t="str">
        <f>+'A) Base RI'!B126</f>
        <v>Lutry</v>
      </c>
      <c r="C125" s="298">
        <f>+'D) Ecrêtage'!C125</f>
        <v>941137.19529100519</v>
      </c>
      <c r="D125" s="430"/>
      <c r="E125" s="430"/>
      <c r="F125" s="430"/>
      <c r="G125" s="430"/>
      <c r="H125" s="428"/>
      <c r="I125" s="298">
        <f t="shared" si="9"/>
        <v>0</v>
      </c>
      <c r="J125" s="278">
        <f t="shared" si="10"/>
        <v>7529097.5623280415</v>
      </c>
      <c r="K125" s="10">
        <f t="shared" si="11"/>
        <v>0</v>
      </c>
      <c r="L125" s="295" t="e">
        <f t="shared" si="12"/>
        <v>#DIV/0!</v>
      </c>
      <c r="M125" s="10"/>
      <c r="N125" s="10"/>
      <c r="O125" s="432"/>
      <c r="P125" s="10">
        <f t="shared" si="13"/>
        <v>941137.19529100519</v>
      </c>
      <c r="Q125" s="14">
        <f t="shared" si="14"/>
        <v>0</v>
      </c>
      <c r="R125" s="2" t="e">
        <f t="shared" si="15"/>
        <v>#DIV/0!</v>
      </c>
      <c r="S125" s="130" t="e">
        <f t="shared" si="16"/>
        <v>#DIV/0!</v>
      </c>
      <c r="T125" s="427" t="e">
        <f t="shared" si="17"/>
        <v>#DIV/0!</v>
      </c>
      <c r="U125" s="126"/>
      <c r="V125" s="493"/>
      <c r="W125" s="493"/>
      <c r="X125" s="493"/>
      <c r="Y125" s="493"/>
      <c r="Z125" s="493"/>
      <c r="AA125" s="493"/>
      <c r="AB125" s="413"/>
      <c r="AC125" s="413"/>
      <c r="AD125" s="413"/>
      <c r="AE125" s="413"/>
      <c r="AF125" s="413"/>
    </row>
    <row r="126" spans="1:32" x14ac:dyDescent="0.25">
      <c r="A126" s="49">
        <f>+'A) Base RI'!A127</f>
        <v>5607</v>
      </c>
      <c r="B126" s="458" t="str">
        <f>+'A) Base RI'!B127</f>
        <v>Puidoux</v>
      </c>
      <c r="C126" s="298">
        <f>+'D) Ecrêtage'!C126</f>
        <v>111580.38136464616</v>
      </c>
      <c r="D126" s="430"/>
      <c r="E126" s="430"/>
      <c r="F126" s="430"/>
      <c r="G126" s="430"/>
      <c r="H126" s="428"/>
      <c r="I126" s="298">
        <f t="shared" si="9"/>
        <v>0</v>
      </c>
      <c r="J126" s="278">
        <f t="shared" si="10"/>
        <v>892643.05091716931</v>
      </c>
      <c r="K126" s="10">
        <f t="shared" si="11"/>
        <v>0</v>
      </c>
      <c r="L126" s="295" t="e">
        <f t="shared" si="12"/>
        <v>#DIV/0!</v>
      </c>
      <c r="M126" s="10"/>
      <c r="N126" s="10"/>
      <c r="O126" s="432"/>
      <c r="P126" s="10">
        <f t="shared" si="13"/>
        <v>111580.38136464616</v>
      </c>
      <c r="Q126" s="14">
        <f t="shared" si="14"/>
        <v>0</v>
      </c>
      <c r="R126" s="2" t="e">
        <f t="shared" si="15"/>
        <v>#DIV/0!</v>
      </c>
      <c r="S126" s="130" t="e">
        <f t="shared" si="16"/>
        <v>#DIV/0!</v>
      </c>
      <c r="T126" s="427" t="e">
        <f t="shared" si="17"/>
        <v>#DIV/0!</v>
      </c>
      <c r="U126" s="126"/>
      <c r="V126" s="493"/>
      <c r="W126" s="493"/>
      <c r="X126" s="493"/>
      <c r="Y126" s="493"/>
      <c r="Z126" s="493"/>
      <c r="AA126" s="493"/>
      <c r="AB126" s="413"/>
      <c r="AC126" s="413"/>
      <c r="AD126" s="413"/>
      <c r="AE126" s="413"/>
      <c r="AF126" s="413"/>
    </row>
    <row r="127" spans="1:32" x14ac:dyDescent="0.25">
      <c r="A127" s="49">
        <f>+'A) Base RI'!A128</f>
        <v>5609</v>
      </c>
      <c r="B127" s="458" t="str">
        <f>+'A) Base RI'!B128</f>
        <v>Rivaz</v>
      </c>
      <c r="C127" s="298">
        <f>+'D) Ecrêtage'!C127</f>
        <v>14896.510161290325</v>
      </c>
      <c r="D127" s="430"/>
      <c r="E127" s="430"/>
      <c r="F127" s="430"/>
      <c r="G127" s="430"/>
      <c r="H127" s="428"/>
      <c r="I127" s="298">
        <f t="shared" si="9"/>
        <v>0</v>
      </c>
      <c r="J127" s="278">
        <f t="shared" si="10"/>
        <v>119172.0812903226</v>
      </c>
      <c r="K127" s="10">
        <f t="shared" si="11"/>
        <v>0</v>
      </c>
      <c r="L127" s="295" t="e">
        <f t="shared" si="12"/>
        <v>#DIV/0!</v>
      </c>
      <c r="M127" s="10"/>
      <c r="N127" s="10"/>
      <c r="O127" s="432"/>
      <c r="P127" s="10">
        <f t="shared" si="13"/>
        <v>14896.510161290325</v>
      </c>
      <c r="Q127" s="14">
        <f t="shared" si="14"/>
        <v>0</v>
      </c>
      <c r="R127" s="2" t="e">
        <f t="shared" si="15"/>
        <v>#DIV/0!</v>
      </c>
      <c r="S127" s="130" t="e">
        <f t="shared" si="16"/>
        <v>#DIV/0!</v>
      </c>
      <c r="T127" s="427" t="e">
        <f t="shared" si="17"/>
        <v>#DIV/0!</v>
      </c>
      <c r="U127" s="126"/>
      <c r="V127" s="493"/>
      <c r="W127" s="493"/>
      <c r="X127" s="493"/>
      <c r="Y127" s="493"/>
      <c r="Z127" s="493"/>
      <c r="AA127" s="493"/>
      <c r="AB127" s="413"/>
      <c r="AC127" s="413"/>
      <c r="AD127" s="413"/>
      <c r="AE127" s="413"/>
      <c r="AF127" s="413"/>
    </row>
    <row r="128" spans="1:32" x14ac:dyDescent="0.25">
      <c r="A128" s="49">
        <f>+'A) Base RI'!A129</f>
        <v>5610</v>
      </c>
      <c r="B128" s="458" t="str">
        <f>+'A) Base RI'!B129</f>
        <v>St-Saphorin (Lavaux)</v>
      </c>
      <c r="C128" s="298">
        <f>+'D) Ecrêtage'!C128</f>
        <v>23448.462152777778</v>
      </c>
      <c r="D128" s="430"/>
      <c r="E128" s="430"/>
      <c r="F128" s="430"/>
      <c r="G128" s="430"/>
      <c r="H128" s="428"/>
      <c r="I128" s="298">
        <f t="shared" si="9"/>
        <v>0</v>
      </c>
      <c r="J128" s="278">
        <f t="shared" si="10"/>
        <v>187587.69722222222</v>
      </c>
      <c r="K128" s="10">
        <f t="shared" si="11"/>
        <v>0</v>
      </c>
      <c r="L128" s="295" t="e">
        <f t="shared" si="12"/>
        <v>#DIV/0!</v>
      </c>
      <c r="M128" s="10"/>
      <c r="N128" s="10"/>
      <c r="O128" s="432"/>
      <c r="P128" s="10">
        <f t="shared" si="13"/>
        <v>23448.462152777778</v>
      </c>
      <c r="Q128" s="14">
        <f t="shared" si="14"/>
        <v>0</v>
      </c>
      <c r="R128" s="2" t="e">
        <f t="shared" si="15"/>
        <v>#DIV/0!</v>
      </c>
      <c r="S128" s="130" t="e">
        <f t="shared" si="16"/>
        <v>#DIV/0!</v>
      </c>
      <c r="T128" s="427" t="e">
        <f t="shared" si="17"/>
        <v>#DIV/0!</v>
      </c>
      <c r="U128" s="126"/>
      <c r="V128" s="493"/>
      <c r="W128" s="493"/>
      <c r="X128" s="493"/>
      <c r="Y128" s="493"/>
      <c r="Z128" s="493"/>
      <c r="AA128" s="493"/>
      <c r="AB128" s="413"/>
      <c r="AC128" s="413"/>
      <c r="AD128" s="413"/>
      <c r="AE128" s="413"/>
      <c r="AF128" s="413"/>
    </row>
    <row r="129" spans="1:32" x14ac:dyDescent="0.25">
      <c r="A129" s="49">
        <f>+'A) Base RI'!A130</f>
        <v>5611</v>
      </c>
      <c r="B129" s="458" t="str">
        <f>+'A) Base RI'!B130</f>
        <v>Savigny</v>
      </c>
      <c r="C129" s="298">
        <f>+'D) Ecrêtage'!C129</f>
        <v>140983.13330917869</v>
      </c>
      <c r="D129" s="430"/>
      <c r="E129" s="430"/>
      <c r="F129" s="430"/>
      <c r="G129" s="430"/>
      <c r="H129" s="428"/>
      <c r="I129" s="298">
        <f t="shared" si="9"/>
        <v>0</v>
      </c>
      <c r="J129" s="278">
        <f t="shared" si="10"/>
        <v>1127865.0664734296</v>
      </c>
      <c r="K129" s="10">
        <f t="shared" si="11"/>
        <v>0</v>
      </c>
      <c r="L129" s="295" t="e">
        <f t="shared" si="12"/>
        <v>#DIV/0!</v>
      </c>
      <c r="M129" s="10"/>
      <c r="N129" s="10"/>
      <c r="O129" s="432"/>
      <c r="P129" s="10">
        <f t="shared" si="13"/>
        <v>140983.13330917869</v>
      </c>
      <c r="Q129" s="14">
        <f t="shared" si="14"/>
        <v>0</v>
      </c>
      <c r="R129" s="2" t="e">
        <f t="shared" si="15"/>
        <v>#DIV/0!</v>
      </c>
      <c r="S129" s="130" t="e">
        <f t="shared" si="16"/>
        <v>#DIV/0!</v>
      </c>
      <c r="T129" s="427" t="e">
        <f t="shared" si="17"/>
        <v>#DIV/0!</v>
      </c>
      <c r="U129" s="126"/>
      <c r="V129" s="493"/>
      <c r="W129" s="493"/>
      <c r="X129" s="493"/>
      <c r="Y129" s="493"/>
      <c r="Z129" s="493"/>
      <c r="AA129" s="493"/>
      <c r="AB129" s="413"/>
      <c r="AC129" s="413"/>
      <c r="AD129" s="413"/>
      <c r="AE129" s="413"/>
      <c r="AF129" s="413"/>
    </row>
    <row r="130" spans="1:32" x14ac:dyDescent="0.25">
      <c r="A130" s="49">
        <f>+'A) Base RI'!A131</f>
        <v>5613</v>
      </c>
      <c r="B130" s="458" t="str">
        <f>+'A) Base RI'!B131</f>
        <v>Bourg-en-Lavaux</v>
      </c>
      <c r="C130" s="298">
        <f>+'D) Ecrêtage'!C130</f>
        <v>357210.57141333341</v>
      </c>
      <c r="D130" s="430"/>
      <c r="E130" s="430"/>
      <c r="F130" s="430"/>
      <c r="G130" s="430"/>
      <c r="H130" s="428"/>
      <c r="I130" s="298">
        <f t="shared" si="9"/>
        <v>0</v>
      </c>
      <c r="J130" s="278">
        <f t="shared" si="10"/>
        <v>2857684.5713066673</v>
      </c>
      <c r="K130" s="10">
        <f t="shared" si="11"/>
        <v>0</v>
      </c>
      <c r="L130" s="295" t="e">
        <f t="shared" si="12"/>
        <v>#DIV/0!</v>
      </c>
      <c r="M130" s="10"/>
      <c r="N130" s="10"/>
      <c r="O130" s="432"/>
      <c r="P130" s="10">
        <f t="shared" si="13"/>
        <v>357210.57141333341</v>
      </c>
      <c r="Q130" s="14">
        <f t="shared" si="14"/>
        <v>0</v>
      </c>
      <c r="R130" s="2" t="e">
        <f t="shared" si="15"/>
        <v>#DIV/0!</v>
      </c>
      <c r="S130" s="130" t="e">
        <f t="shared" si="16"/>
        <v>#DIV/0!</v>
      </c>
      <c r="T130" s="427" t="e">
        <f t="shared" si="17"/>
        <v>#DIV/0!</v>
      </c>
      <c r="U130" s="126"/>
      <c r="V130" s="493"/>
      <c r="W130" s="493"/>
      <c r="X130" s="493"/>
      <c r="Y130" s="493"/>
      <c r="Z130" s="493"/>
      <c r="AA130" s="493"/>
      <c r="AB130" s="413"/>
      <c r="AC130" s="413"/>
      <c r="AD130" s="413"/>
      <c r="AE130" s="413"/>
      <c r="AF130" s="413"/>
    </row>
    <row r="131" spans="1:32" x14ac:dyDescent="0.25">
      <c r="A131" s="49">
        <f>+'A) Base RI'!A132</f>
        <v>5621</v>
      </c>
      <c r="B131" s="458" t="str">
        <f>+'A) Base RI'!B132</f>
        <v>Aclens</v>
      </c>
      <c r="C131" s="298">
        <f>+'D) Ecrêtage'!C131</f>
        <v>32271.293782991204</v>
      </c>
      <c r="D131" s="430"/>
      <c r="E131" s="430"/>
      <c r="F131" s="430"/>
      <c r="G131" s="430"/>
      <c r="H131" s="428"/>
      <c r="I131" s="298">
        <f t="shared" si="9"/>
        <v>0</v>
      </c>
      <c r="J131" s="278">
        <f t="shared" si="10"/>
        <v>258170.35026392963</v>
      </c>
      <c r="K131" s="10">
        <f t="shared" si="11"/>
        <v>0</v>
      </c>
      <c r="L131" s="295" t="e">
        <f t="shared" si="12"/>
        <v>#DIV/0!</v>
      </c>
      <c r="M131" s="10"/>
      <c r="N131" s="10"/>
      <c r="O131" s="432"/>
      <c r="P131" s="10">
        <f t="shared" si="13"/>
        <v>32271.293782991204</v>
      </c>
      <c r="Q131" s="14">
        <f t="shared" si="14"/>
        <v>0</v>
      </c>
      <c r="R131" s="2" t="e">
        <f t="shared" si="15"/>
        <v>#DIV/0!</v>
      </c>
      <c r="S131" s="130" t="e">
        <f t="shared" si="16"/>
        <v>#DIV/0!</v>
      </c>
      <c r="T131" s="427" t="e">
        <f t="shared" si="17"/>
        <v>#DIV/0!</v>
      </c>
      <c r="U131" s="126"/>
      <c r="V131" s="493"/>
      <c r="W131" s="493"/>
      <c r="X131" s="493"/>
      <c r="Y131" s="493"/>
      <c r="Z131" s="493"/>
      <c r="AA131" s="493"/>
      <c r="AB131" s="413"/>
      <c r="AC131" s="413"/>
      <c r="AD131" s="413"/>
      <c r="AE131" s="413"/>
      <c r="AF131" s="413"/>
    </row>
    <row r="132" spans="1:32" x14ac:dyDescent="0.25">
      <c r="A132" s="49">
        <f>+'A) Base RI'!A133</f>
        <v>5622</v>
      </c>
      <c r="B132" s="458" t="str">
        <f>+'A) Base RI'!B133</f>
        <v>Bremblens</v>
      </c>
      <c r="C132" s="298">
        <f>+'D) Ecrêtage'!C132</f>
        <v>28643.938676470589</v>
      </c>
      <c r="D132" s="430"/>
      <c r="E132" s="430"/>
      <c r="F132" s="430"/>
      <c r="G132" s="430"/>
      <c r="H132" s="428"/>
      <c r="I132" s="298">
        <f t="shared" si="9"/>
        <v>0</v>
      </c>
      <c r="J132" s="278">
        <f t="shared" si="10"/>
        <v>229151.50941176471</v>
      </c>
      <c r="K132" s="10">
        <f t="shared" si="11"/>
        <v>0</v>
      </c>
      <c r="L132" s="295" t="e">
        <f t="shared" si="12"/>
        <v>#DIV/0!</v>
      </c>
      <c r="M132" s="10"/>
      <c r="N132" s="10"/>
      <c r="O132" s="432"/>
      <c r="P132" s="10">
        <f t="shared" si="13"/>
        <v>28643.938676470589</v>
      </c>
      <c r="Q132" s="14">
        <f t="shared" si="14"/>
        <v>0</v>
      </c>
      <c r="R132" s="2" t="e">
        <f t="shared" si="15"/>
        <v>#DIV/0!</v>
      </c>
      <c r="S132" s="130" t="e">
        <f t="shared" si="16"/>
        <v>#DIV/0!</v>
      </c>
      <c r="T132" s="427" t="e">
        <f t="shared" si="17"/>
        <v>#DIV/0!</v>
      </c>
      <c r="U132" s="126"/>
      <c r="V132" s="493"/>
      <c r="W132" s="493"/>
      <c r="X132" s="493"/>
      <c r="Y132" s="493"/>
      <c r="Z132" s="493"/>
      <c r="AA132" s="493"/>
      <c r="AB132" s="413"/>
      <c r="AC132" s="413"/>
      <c r="AD132" s="413"/>
      <c r="AE132" s="413"/>
      <c r="AF132" s="413"/>
    </row>
    <row r="133" spans="1:32" x14ac:dyDescent="0.25">
      <c r="A133" s="49">
        <f>+'A) Base RI'!A134</f>
        <v>5623</v>
      </c>
      <c r="B133" s="458" t="str">
        <f>+'A) Base RI'!B134</f>
        <v>Buchillon</v>
      </c>
      <c r="C133" s="298">
        <f>+'D) Ecrêtage'!C133</f>
        <v>89231.951153846152</v>
      </c>
      <c r="D133" s="430"/>
      <c r="E133" s="430"/>
      <c r="F133" s="430"/>
      <c r="G133" s="430"/>
      <c r="H133" s="428"/>
      <c r="I133" s="298">
        <f t="shared" si="9"/>
        <v>0</v>
      </c>
      <c r="J133" s="278">
        <f t="shared" si="10"/>
        <v>713855.60923076922</v>
      </c>
      <c r="K133" s="10">
        <f t="shared" si="11"/>
        <v>0</v>
      </c>
      <c r="L133" s="295" t="e">
        <f t="shared" si="12"/>
        <v>#DIV/0!</v>
      </c>
      <c r="M133" s="10"/>
      <c r="N133" s="10"/>
      <c r="O133" s="432"/>
      <c r="P133" s="10">
        <f t="shared" si="13"/>
        <v>89231.951153846152</v>
      </c>
      <c r="Q133" s="14">
        <f t="shared" si="14"/>
        <v>0</v>
      </c>
      <c r="R133" s="2" t="e">
        <f t="shared" si="15"/>
        <v>#DIV/0!</v>
      </c>
      <c r="S133" s="130" t="e">
        <f t="shared" si="16"/>
        <v>#DIV/0!</v>
      </c>
      <c r="T133" s="427" t="e">
        <f t="shared" si="17"/>
        <v>#DIV/0!</v>
      </c>
      <c r="U133" s="126"/>
      <c r="V133" s="493"/>
      <c r="W133" s="493"/>
      <c r="X133" s="493"/>
      <c r="Y133" s="493"/>
      <c r="Z133" s="493"/>
      <c r="AA133" s="493"/>
      <c r="AB133" s="413"/>
      <c r="AC133" s="413"/>
      <c r="AD133" s="413"/>
      <c r="AE133" s="413"/>
      <c r="AF133" s="413"/>
    </row>
    <row r="134" spans="1:32" x14ac:dyDescent="0.25">
      <c r="A134" s="49">
        <f>+'A) Base RI'!A135</f>
        <v>5624</v>
      </c>
      <c r="B134" s="458" t="str">
        <f>+'A) Base RI'!B135</f>
        <v>Bussigny</v>
      </c>
      <c r="C134" s="298">
        <f>+'D) Ecrêtage'!C134</f>
        <v>441939.99008000002</v>
      </c>
      <c r="D134" s="430"/>
      <c r="E134" s="430"/>
      <c r="F134" s="430"/>
      <c r="G134" s="430"/>
      <c r="H134" s="428"/>
      <c r="I134" s="298">
        <f t="shared" ref="I134:I197" si="18">SUM(F134:H134)</f>
        <v>0</v>
      </c>
      <c r="J134" s="278">
        <f t="shared" ref="J134:J197" si="19">+C134*$K$5</f>
        <v>3535519.9206400001</v>
      </c>
      <c r="K134" s="10">
        <f t="shared" ref="K134:K197" si="20">IF(I134&gt;J134,I134-J134,0)</f>
        <v>0</v>
      </c>
      <c r="L134" s="295" t="e">
        <f t="shared" ref="L134:L197" si="21">-K134*L$5</f>
        <v>#DIV/0!</v>
      </c>
      <c r="M134" s="10"/>
      <c r="N134" s="10"/>
      <c r="O134" s="432"/>
      <c r="P134" s="10">
        <f t="shared" ref="P134:P197" si="22">C134*Q$5</f>
        <v>441939.99008000002</v>
      </c>
      <c r="Q134" s="14">
        <f t="shared" ref="Q134:Q197" si="23">IF(O134&gt;P134,O134-P134,0)</f>
        <v>0</v>
      </c>
      <c r="R134" s="2" t="e">
        <f t="shared" ref="R134:R197" si="24">-Q134*R$5</f>
        <v>#DIV/0!</v>
      </c>
      <c r="S134" s="130" t="e">
        <f t="shared" ref="S134:S197" si="25">R134+L134</f>
        <v>#DIV/0!</v>
      </c>
      <c r="T134" s="427" t="e">
        <f t="shared" ref="T134:T197" si="26">+S134/C134</f>
        <v>#DIV/0!</v>
      </c>
      <c r="U134" s="126"/>
      <c r="V134" s="493"/>
      <c r="W134" s="493"/>
      <c r="X134" s="493"/>
      <c r="Y134" s="493"/>
      <c r="Z134" s="493"/>
      <c r="AA134" s="493"/>
      <c r="AB134" s="413"/>
      <c r="AC134" s="413"/>
      <c r="AD134" s="413"/>
      <c r="AE134" s="413"/>
      <c r="AF134" s="413"/>
    </row>
    <row r="135" spans="1:32" x14ac:dyDescent="0.25">
      <c r="A135" s="49">
        <f>+'A) Base RI'!A136</f>
        <v>5625</v>
      </c>
      <c r="B135" s="458" t="str">
        <f>+'A) Base RI'!B136</f>
        <v>Bussy-Chardonney</v>
      </c>
      <c r="C135" s="298">
        <f>+'D) Ecrêtage'!C135</f>
        <v>21108.495740740738</v>
      </c>
      <c r="D135" s="430"/>
      <c r="E135" s="430"/>
      <c r="F135" s="430"/>
      <c r="G135" s="430"/>
      <c r="H135" s="428"/>
      <c r="I135" s="298">
        <f t="shared" si="18"/>
        <v>0</v>
      </c>
      <c r="J135" s="278">
        <f t="shared" si="19"/>
        <v>168867.96592592591</v>
      </c>
      <c r="K135" s="10">
        <f t="shared" si="20"/>
        <v>0</v>
      </c>
      <c r="L135" s="295" t="e">
        <f t="shared" si="21"/>
        <v>#DIV/0!</v>
      </c>
      <c r="M135" s="10"/>
      <c r="N135" s="10"/>
      <c r="O135" s="432"/>
      <c r="P135" s="10">
        <f t="shared" si="22"/>
        <v>21108.495740740738</v>
      </c>
      <c r="Q135" s="14">
        <f t="shared" si="23"/>
        <v>0</v>
      </c>
      <c r="R135" s="2" t="e">
        <f t="shared" si="24"/>
        <v>#DIV/0!</v>
      </c>
      <c r="S135" s="130" t="e">
        <f t="shared" si="25"/>
        <v>#DIV/0!</v>
      </c>
      <c r="T135" s="427" t="e">
        <f t="shared" si="26"/>
        <v>#DIV/0!</v>
      </c>
      <c r="U135" s="126"/>
      <c r="V135" s="493"/>
      <c r="W135" s="493"/>
      <c r="X135" s="493"/>
      <c r="Y135" s="493"/>
      <c r="Z135" s="493"/>
      <c r="AA135" s="493"/>
      <c r="AB135" s="413"/>
      <c r="AC135" s="413"/>
      <c r="AD135" s="413"/>
      <c r="AE135" s="413"/>
      <c r="AF135" s="413"/>
    </row>
    <row r="136" spans="1:32" x14ac:dyDescent="0.25">
      <c r="A136" s="49">
        <f>+'A) Base RI'!A137</f>
        <v>5627</v>
      </c>
      <c r="B136" s="458" t="str">
        <f>+'A) Base RI'!B137</f>
        <v>Chavannes-près-Renens</v>
      </c>
      <c r="C136" s="298">
        <f>+'D) Ecrêtage'!C136</f>
        <v>194072.91458064516</v>
      </c>
      <c r="D136" s="430"/>
      <c r="E136" s="430"/>
      <c r="F136" s="430"/>
      <c r="G136" s="430"/>
      <c r="H136" s="428"/>
      <c r="I136" s="298">
        <f t="shared" si="18"/>
        <v>0</v>
      </c>
      <c r="J136" s="278">
        <f t="shared" si="19"/>
        <v>1552583.3166451612</v>
      </c>
      <c r="K136" s="10">
        <f t="shared" si="20"/>
        <v>0</v>
      </c>
      <c r="L136" s="295" t="e">
        <f t="shared" si="21"/>
        <v>#DIV/0!</v>
      </c>
      <c r="M136" s="10"/>
      <c r="N136" s="10"/>
      <c r="O136" s="432"/>
      <c r="P136" s="10">
        <f t="shared" si="22"/>
        <v>194072.91458064516</v>
      </c>
      <c r="Q136" s="14">
        <f t="shared" si="23"/>
        <v>0</v>
      </c>
      <c r="R136" s="2" t="e">
        <f t="shared" si="24"/>
        <v>#DIV/0!</v>
      </c>
      <c r="S136" s="130" t="e">
        <f t="shared" si="25"/>
        <v>#DIV/0!</v>
      </c>
      <c r="T136" s="427" t="e">
        <f t="shared" si="26"/>
        <v>#DIV/0!</v>
      </c>
      <c r="U136" s="126"/>
      <c r="V136" s="493"/>
      <c r="W136" s="493"/>
      <c r="X136" s="493"/>
      <c r="Y136" s="493"/>
      <c r="Z136" s="493"/>
      <c r="AA136" s="493"/>
      <c r="AB136" s="413"/>
      <c r="AC136" s="413"/>
      <c r="AD136" s="413"/>
      <c r="AE136" s="413"/>
      <c r="AF136" s="413"/>
    </row>
    <row r="137" spans="1:32" x14ac:dyDescent="0.25">
      <c r="A137" s="49">
        <f>+'A) Base RI'!A138</f>
        <v>5628</v>
      </c>
      <c r="B137" s="458" t="str">
        <f>+'A) Base RI'!B138</f>
        <v>Chigny</v>
      </c>
      <c r="C137" s="298">
        <f>+'D) Ecrêtage'!C137</f>
        <v>25790.901129032256</v>
      </c>
      <c r="D137" s="430"/>
      <c r="E137" s="430"/>
      <c r="F137" s="430"/>
      <c r="G137" s="430"/>
      <c r="H137" s="428"/>
      <c r="I137" s="298">
        <f t="shared" si="18"/>
        <v>0</v>
      </c>
      <c r="J137" s="278">
        <f t="shared" si="19"/>
        <v>206327.20903225805</v>
      </c>
      <c r="K137" s="10">
        <f t="shared" si="20"/>
        <v>0</v>
      </c>
      <c r="L137" s="295" t="e">
        <f t="shared" si="21"/>
        <v>#DIV/0!</v>
      </c>
      <c r="M137" s="10"/>
      <c r="N137" s="10"/>
      <c r="O137" s="432"/>
      <c r="P137" s="10">
        <f t="shared" si="22"/>
        <v>25790.901129032256</v>
      </c>
      <c r="Q137" s="14">
        <f t="shared" si="23"/>
        <v>0</v>
      </c>
      <c r="R137" s="2" t="e">
        <f t="shared" si="24"/>
        <v>#DIV/0!</v>
      </c>
      <c r="S137" s="130" t="e">
        <f t="shared" si="25"/>
        <v>#DIV/0!</v>
      </c>
      <c r="T137" s="427" t="e">
        <f t="shared" si="26"/>
        <v>#DIV/0!</v>
      </c>
      <c r="U137" s="126"/>
      <c r="V137" s="493"/>
      <c r="W137" s="493"/>
      <c r="X137" s="493"/>
      <c r="Y137" s="493"/>
      <c r="Z137" s="493"/>
      <c r="AA137" s="493"/>
      <c r="AB137" s="413"/>
      <c r="AC137" s="413"/>
      <c r="AD137" s="413"/>
      <c r="AE137" s="413"/>
      <c r="AF137" s="413"/>
    </row>
    <row r="138" spans="1:32" x14ac:dyDescent="0.25">
      <c r="A138" s="49">
        <f>+'A) Base RI'!A139</f>
        <v>5629</v>
      </c>
      <c r="B138" s="458" t="str">
        <f>+'A) Base RI'!B139</f>
        <v>Clarmont</v>
      </c>
      <c r="C138" s="298">
        <f>+'D) Ecrêtage'!C138</f>
        <v>9948.0614965986406</v>
      </c>
      <c r="D138" s="430"/>
      <c r="E138" s="430"/>
      <c r="F138" s="430"/>
      <c r="G138" s="430"/>
      <c r="H138" s="428"/>
      <c r="I138" s="298">
        <f t="shared" si="18"/>
        <v>0</v>
      </c>
      <c r="J138" s="278">
        <f t="shared" si="19"/>
        <v>79584.491972789125</v>
      </c>
      <c r="K138" s="10">
        <f t="shared" si="20"/>
        <v>0</v>
      </c>
      <c r="L138" s="295" t="e">
        <f t="shared" si="21"/>
        <v>#DIV/0!</v>
      </c>
      <c r="M138" s="10"/>
      <c r="N138" s="10"/>
      <c r="O138" s="432"/>
      <c r="P138" s="10">
        <f t="shared" si="22"/>
        <v>9948.0614965986406</v>
      </c>
      <c r="Q138" s="14">
        <f t="shared" si="23"/>
        <v>0</v>
      </c>
      <c r="R138" s="2" t="e">
        <f t="shared" si="24"/>
        <v>#DIV/0!</v>
      </c>
      <c r="S138" s="130" t="e">
        <f t="shared" si="25"/>
        <v>#DIV/0!</v>
      </c>
      <c r="T138" s="427" t="e">
        <f t="shared" si="26"/>
        <v>#DIV/0!</v>
      </c>
      <c r="U138" s="126"/>
      <c r="V138" s="493"/>
      <c r="W138" s="493"/>
      <c r="X138" s="493"/>
      <c r="Y138" s="493"/>
      <c r="Z138" s="493"/>
      <c r="AA138" s="493"/>
      <c r="AB138" s="413"/>
      <c r="AC138" s="413"/>
      <c r="AD138" s="413"/>
      <c r="AE138" s="413"/>
      <c r="AF138" s="413"/>
    </row>
    <row r="139" spans="1:32" x14ac:dyDescent="0.25">
      <c r="A139" s="49">
        <f>+'A) Base RI'!A140</f>
        <v>5631</v>
      </c>
      <c r="B139" s="458" t="str">
        <f>+'A) Base RI'!B140</f>
        <v>Denens</v>
      </c>
      <c r="C139" s="298">
        <f>+'D) Ecrêtage'!C139</f>
        <v>43290.229264705871</v>
      </c>
      <c r="D139" s="430"/>
      <c r="E139" s="430"/>
      <c r="F139" s="430"/>
      <c r="G139" s="430"/>
      <c r="H139" s="428"/>
      <c r="I139" s="298">
        <f t="shared" si="18"/>
        <v>0</v>
      </c>
      <c r="J139" s="278">
        <f t="shared" si="19"/>
        <v>346321.83411764697</v>
      </c>
      <c r="K139" s="10">
        <f t="shared" si="20"/>
        <v>0</v>
      </c>
      <c r="L139" s="295" t="e">
        <f t="shared" si="21"/>
        <v>#DIV/0!</v>
      </c>
      <c r="M139" s="10"/>
      <c r="N139" s="10"/>
      <c r="O139" s="432"/>
      <c r="P139" s="10">
        <f t="shared" si="22"/>
        <v>43290.229264705871</v>
      </c>
      <c r="Q139" s="14">
        <f t="shared" si="23"/>
        <v>0</v>
      </c>
      <c r="R139" s="2" t="e">
        <f t="shared" si="24"/>
        <v>#DIV/0!</v>
      </c>
      <c r="S139" s="130" t="e">
        <f t="shared" si="25"/>
        <v>#DIV/0!</v>
      </c>
      <c r="T139" s="427" t="e">
        <f t="shared" si="26"/>
        <v>#DIV/0!</v>
      </c>
      <c r="U139" s="126"/>
      <c r="V139" s="493"/>
      <c r="W139" s="493"/>
      <c r="X139" s="493"/>
      <c r="Y139" s="493"/>
      <c r="Z139" s="493"/>
      <c r="AA139" s="493"/>
      <c r="AB139" s="413"/>
      <c r="AC139" s="413"/>
      <c r="AD139" s="413"/>
      <c r="AE139" s="413"/>
      <c r="AF139" s="413"/>
    </row>
    <row r="140" spans="1:32" x14ac:dyDescent="0.25">
      <c r="A140" s="49">
        <f>+'A) Base RI'!A141</f>
        <v>5632</v>
      </c>
      <c r="B140" s="458" t="str">
        <f>+'A) Base RI'!B141</f>
        <v>Denges</v>
      </c>
      <c r="C140" s="298">
        <f>+'D) Ecrêtage'!C140</f>
        <v>80521.21435483871</v>
      </c>
      <c r="D140" s="430"/>
      <c r="E140" s="430"/>
      <c r="F140" s="430"/>
      <c r="G140" s="430"/>
      <c r="H140" s="428"/>
      <c r="I140" s="298">
        <f t="shared" si="18"/>
        <v>0</v>
      </c>
      <c r="J140" s="278">
        <f t="shared" si="19"/>
        <v>644169.71483870968</v>
      </c>
      <c r="K140" s="10">
        <f t="shared" si="20"/>
        <v>0</v>
      </c>
      <c r="L140" s="295" t="e">
        <f t="shared" si="21"/>
        <v>#DIV/0!</v>
      </c>
      <c r="M140" s="10"/>
      <c r="N140" s="10"/>
      <c r="O140" s="432"/>
      <c r="P140" s="10">
        <f t="shared" si="22"/>
        <v>80521.21435483871</v>
      </c>
      <c r="Q140" s="14">
        <f t="shared" si="23"/>
        <v>0</v>
      </c>
      <c r="R140" s="2" t="e">
        <f t="shared" si="24"/>
        <v>#DIV/0!</v>
      </c>
      <c r="S140" s="130" t="e">
        <f t="shared" si="25"/>
        <v>#DIV/0!</v>
      </c>
      <c r="T140" s="427" t="e">
        <f t="shared" si="26"/>
        <v>#DIV/0!</v>
      </c>
      <c r="U140" s="126"/>
      <c r="V140" s="493"/>
      <c r="W140" s="493"/>
      <c r="X140" s="493"/>
      <c r="Y140" s="493"/>
      <c r="Z140" s="493"/>
      <c r="AA140" s="493"/>
      <c r="AB140" s="413"/>
      <c r="AC140" s="413"/>
      <c r="AD140" s="413"/>
      <c r="AE140" s="413"/>
      <c r="AF140" s="413"/>
    </row>
    <row r="141" spans="1:32" x14ac:dyDescent="0.25">
      <c r="A141" s="49">
        <f>+'A) Base RI'!A142</f>
        <v>5633</v>
      </c>
      <c r="B141" s="458" t="str">
        <f>+'A) Base RI'!B142</f>
        <v>Echandens</v>
      </c>
      <c r="C141" s="298">
        <f>+'D) Ecrêtage'!C141</f>
        <v>170287.16859504132</v>
      </c>
      <c r="D141" s="430"/>
      <c r="E141" s="430"/>
      <c r="F141" s="430"/>
      <c r="G141" s="430"/>
      <c r="H141" s="428"/>
      <c r="I141" s="298">
        <f t="shared" si="18"/>
        <v>0</v>
      </c>
      <c r="J141" s="278">
        <f t="shared" si="19"/>
        <v>1362297.3487603306</v>
      </c>
      <c r="K141" s="10">
        <f t="shared" si="20"/>
        <v>0</v>
      </c>
      <c r="L141" s="295" t="e">
        <f t="shared" si="21"/>
        <v>#DIV/0!</v>
      </c>
      <c r="M141" s="10"/>
      <c r="N141" s="10"/>
      <c r="O141" s="432"/>
      <c r="P141" s="10">
        <f t="shared" si="22"/>
        <v>170287.16859504132</v>
      </c>
      <c r="Q141" s="14">
        <f t="shared" si="23"/>
        <v>0</v>
      </c>
      <c r="R141" s="2" t="e">
        <f t="shared" si="24"/>
        <v>#DIV/0!</v>
      </c>
      <c r="S141" s="130" t="e">
        <f t="shared" si="25"/>
        <v>#DIV/0!</v>
      </c>
      <c r="T141" s="427" t="e">
        <f t="shared" si="26"/>
        <v>#DIV/0!</v>
      </c>
      <c r="U141" s="126"/>
      <c r="V141" s="493"/>
      <c r="W141" s="493"/>
      <c r="X141" s="493"/>
      <c r="Y141" s="493"/>
      <c r="Z141" s="493"/>
      <c r="AA141" s="493"/>
      <c r="AB141" s="413"/>
      <c r="AC141" s="413"/>
      <c r="AD141" s="413"/>
      <c r="AE141" s="413"/>
      <c r="AF141" s="413"/>
    </row>
    <row r="142" spans="1:32" x14ac:dyDescent="0.25">
      <c r="A142" s="49">
        <f>+'A) Base RI'!A143</f>
        <v>5634</v>
      </c>
      <c r="B142" s="458" t="str">
        <f>+'A) Base RI'!B143</f>
        <v>Echichens</v>
      </c>
      <c r="C142" s="298">
        <f>+'D) Ecrêtage'!C142</f>
        <v>152568.89227272727</v>
      </c>
      <c r="D142" s="430"/>
      <c r="E142" s="430"/>
      <c r="F142" s="430"/>
      <c r="G142" s="430"/>
      <c r="H142" s="428"/>
      <c r="I142" s="298">
        <f t="shared" si="18"/>
        <v>0</v>
      </c>
      <c r="J142" s="278">
        <f t="shared" si="19"/>
        <v>1220551.1381818182</v>
      </c>
      <c r="K142" s="10">
        <f t="shared" si="20"/>
        <v>0</v>
      </c>
      <c r="L142" s="295" t="e">
        <f t="shared" si="21"/>
        <v>#DIV/0!</v>
      </c>
      <c r="M142" s="10"/>
      <c r="N142" s="10"/>
      <c r="O142" s="432"/>
      <c r="P142" s="10">
        <f t="shared" si="22"/>
        <v>152568.89227272727</v>
      </c>
      <c r="Q142" s="14">
        <f t="shared" si="23"/>
        <v>0</v>
      </c>
      <c r="R142" s="2" t="e">
        <f t="shared" si="24"/>
        <v>#DIV/0!</v>
      </c>
      <c r="S142" s="130" t="e">
        <f t="shared" si="25"/>
        <v>#DIV/0!</v>
      </c>
      <c r="T142" s="427" t="e">
        <f t="shared" si="26"/>
        <v>#DIV/0!</v>
      </c>
      <c r="U142" s="126"/>
      <c r="V142" s="493"/>
      <c r="W142" s="493"/>
      <c r="X142" s="493"/>
      <c r="Y142" s="493"/>
      <c r="Z142" s="493"/>
      <c r="AA142" s="493"/>
      <c r="AB142" s="413"/>
      <c r="AC142" s="413"/>
      <c r="AD142" s="413"/>
      <c r="AE142" s="413"/>
      <c r="AF142" s="413"/>
    </row>
    <row r="143" spans="1:32" x14ac:dyDescent="0.25">
      <c r="A143" s="49">
        <f>+'A) Base RI'!A144</f>
        <v>5635</v>
      </c>
      <c r="B143" s="458" t="str">
        <f>+'A) Base RI'!B144</f>
        <v>Ecublens</v>
      </c>
      <c r="C143" s="298">
        <f>+'D) Ecrêtage'!C143</f>
        <v>872367.07997333352</v>
      </c>
      <c r="D143" s="430"/>
      <c r="E143" s="430"/>
      <c r="F143" s="430"/>
      <c r="G143" s="430"/>
      <c r="H143" s="428"/>
      <c r="I143" s="298">
        <f t="shared" si="18"/>
        <v>0</v>
      </c>
      <c r="J143" s="278">
        <f t="shared" si="19"/>
        <v>6978936.6397866681</v>
      </c>
      <c r="K143" s="10">
        <f t="shared" si="20"/>
        <v>0</v>
      </c>
      <c r="L143" s="295" t="e">
        <f t="shared" si="21"/>
        <v>#DIV/0!</v>
      </c>
      <c r="M143" s="10"/>
      <c r="N143" s="10"/>
      <c r="O143" s="432"/>
      <c r="P143" s="10">
        <f t="shared" si="22"/>
        <v>872367.07997333352</v>
      </c>
      <c r="Q143" s="14">
        <f t="shared" si="23"/>
        <v>0</v>
      </c>
      <c r="R143" s="2" t="e">
        <f t="shared" si="24"/>
        <v>#DIV/0!</v>
      </c>
      <c r="S143" s="130" t="e">
        <f t="shared" si="25"/>
        <v>#DIV/0!</v>
      </c>
      <c r="T143" s="427" t="e">
        <f t="shared" si="26"/>
        <v>#DIV/0!</v>
      </c>
      <c r="U143" s="126"/>
      <c r="V143" s="493"/>
      <c r="W143" s="493"/>
      <c r="X143" s="493"/>
      <c r="Y143" s="493"/>
      <c r="Z143" s="493"/>
      <c r="AA143" s="493"/>
      <c r="AB143" s="413"/>
      <c r="AC143" s="413"/>
      <c r="AD143" s="413"/>
      <c r="AE143" s="413"/>
      <c r="AF143" s="413"/>
    </row>
    <row r="144" spans="1:32" x14ac:dyDescent="0.25">
      <c r="A144" s="49">
        <f>+'A) Base RI'!A145</f>
        <v>5636</v>
      </c>
      <c r="B144" s="458" t="str">
        <f>+'A) Base RI'!B145</f>
        <v>Etoy</v>
      </c>
      <c r="C144" s="298">
        <f>+'D) Ecrêtage'!C144</f>
        <v>187063.54000000004</v>
      </c>
      <c r="D144" s="430"/>
      <c r="E144" s="430"/>
      <c r="F144" s="430"/>
      <c r="G144" s="430"/>
      <c r="H144" s="428"/>
      <c r="I144" s="298">
        <f t="shared" si="18"/>
        <v>0</v>
      </c>
      <c r="J144" s="278">
        <f t="shared" si="19"/>
        <v>1496508.3200000003</v>
      </c>
      <c r="K144" s="10">
        <f t="shared" si="20"/>
        <v>0</v>
      </c>
      <c r="L144" s="295" t="e">
        <f t="shared" si="21"/>
        <v>#DIV/0!</v>
      </c>
      <c r="M144" s="10"/>
      <c r="N144" s="10"/>
      <c r="O144" s="432"/>
      <c r="P144" s="10">
        <f t="shared" si="22"/>
        <v>187063.54000000004</v>
      </c>
      <c r="Q144" s="14">
        <f t="shared" si="23"/>
        <v>0</v>
      </c>
      <c r="R144" s="2" t="e">
        <f t="shared" si="24"/>
        <v>#DIV/0!</v>
      </c>
      <c r="S144" s="130" t="e">
        <f t="shared" si="25"/>
        <v>#DIV/0!</v>
      </c>
      <c r="T144" s="427" t="e">
        <f t="shared" si="26"/>
        <v>#DIV/0!</v>
      </c>
      <c r="U144" s="126"/>
      <c r="V144" s="493"/>
      <c r="W144" s="493"/>
      <c r="X144" s="493"/>
      <c r="Y144" s="493"/>
      <c r="Z144" s="493"/>
      <c r="AA144" s="493"/>
      <c r="AB144" s="413"/>
      <c r="AC144" s="413"/>
      <c r="AD144" s="413"/>
      <c r="AE144" s="413"/>
      <c r="AF144" s="413"/>
    </row>
    <row r="145" spans="1:32" x14ac:dyDescent="0.25">
      <c r="A145" s="49">
        <f>+'A) Base RI'!A146</f>
        <v>5637</v>
      </c>
      <c r="B145" s="458" t="str">
        <f>+'A) Base RI'!B146</f>
        <v>Lavigny</v>
      </c>
      <c r="C145" s="298">
        <f>+'D) Ecrêtage'!C145</f>
        <v>37900.997397260275</v>
      </c>
      <c r="D145" s="430"/>
      <c r="E145" s="430"/>
      <c r="F145" s="430"/>
      <c r="G145" s="430"/>
      <c r="H145" s="428"/>
      <c r="I145" s="298">
        <f t="shared" si="18"/>
        <v>0</v>
      </c>
      <c r="J145" s="278">
        <f t="shared" si="19"/>
        <v>303207.9791780822</v>
      </c>
      <c r="K145" s="10">
        <f t="shared" si="20"/>
        <v>0</v>
      </c>
      <c r="L145" s="295" t="e">
        <f t="shared" si="21"/>
        <v>#DIV/0!</v>
      </c>
      <c r="M145" s="10"/>
      <c r="N145" s="10"/>
      <c r="O145" s="432"/>
      <c r="P145" s="10">
        <f t="shared" si="22"/>
        <v>37900.997397260275</v>
      </c>
      <c r="Q145" s="14">
        <f t="shared" si="23"/>
        <v>0</v>
      </c>
      <c r="R145" s="2" t="e">
        <f t="shared" si="24"/>
        <v>#DIV/0!</v>
      </c>
      <c r="S145" s="130" t="e">
        <f t="shared" si="25"/>
        <v>#DIV/0!</v>
      </c>
      <c r="T145" s="427" t="e">
        <f t="shared" si="26"/>
        <v>#DIV/0!</v>
      </c>
      <c r="U145" s="126"/>
      <c r="V145" s="493"/>
      <c r="W145" s="493"/>
      <c r="X145" s="493"/>
      <c r="Y145" s="493"/>
      <c r="Z145" s="493"/>
      <c r="AA145" s="493"/>
      <c r="AB145" s="413"/>
      <c r="AC145" s="413"/>
      <c r="AD145" s="413"/>
      <c r="AE145" s="413"/>
      <c r="AF145" s="413"/>
    </row>
    <row r="146" spans="1:32" x14ac:dyDescent="0.25">
      <c r="A146" s="49">
        <f>+'A) Base RI'!A147</f>
        <v>5638</v>
      </c>
      <c r="B146" s="458" t="str">
        <f>+'A) Base RI'!B147</f>
        <v>Lonay</v>
      </c>
      <c r="C146" s="298">
        <f>+'D) Ecrêtage'!C146</f>
        <v>174154.93872727267</v>
      </c>
      <c r="D146" s="430"/>
      <c r="E146" s="430"/>
      <c r="F146" s="430"/>
      <c r="G146" s="430"/>
      <c r="H146" s="428"/>
      <c r="I146" s="298">
        <f t="shared" si="18"/>
        <v>0</v>
      </c>
      <c r="J146" s="278">
        <f t="shared" si="19"/>
        <v>1393239.5098181814</v>
      </c>
      <c r="K146" s="10">
        <f t="shared" si="20"/>
        <v>0</v>
      </c>
      <c r="L146" s="295" t="e">
        <f t="shared" si="21"/>
        <v>#DIV/0!</v>
      </c>
      <c r="M146" s="10"/>
      <c r="N146" s="10"/>
      <c r="O146" s="432"/>
      <c r="P146" s="10">
        <f t="shared" si="22"/>
        <v>174154.93872727267</v>
      </c>
      <c r="Q146" s="14">
        <f t="shared" si="23"/>
        <v>0</v>
      </c>
      <c r="R146" s="2" t="e">
        <f t="shared" si="24"/>
        <v>#DIV/0!</v>
      </c>
      <c r="S146" s="130" t="e">
        <f t="shared" si="25"/>
        <v>#DIV/0!</v>
      </c>
      <c r="T146" s="427" t="e">
        <f t="shared" si="26"/>
        <v>#DIV/0!</v>
      </c>
      <c r="U146" s="126"/>
      <c r="V146" s="493"/>
      <c r="W146" s="493"/>
      <c r="X146" s="493"/>
      <c r="Y146" s="493"/>
      <c r="Z146" s="493"/>
      <c r="AA146" s="493"/>
      <c r="AB146" s="413"/>
      <c r="AC146" s="413"/>
      <c r="AD146" s="413"/>
      <c r="AE146" s="413"/>
      <c r="AF146" s="413"/>
    </row>
    <row r="147" spans="1:32" x14ac:dyDescent="0.25">
      <c r="A147" s="49">
        <f>+'A) Base RI'!A148</f>
        <v>5639</v>
      </c>
      <c r="B147" s="458" t="str">
        <f>+'A) Base RI'!B148</f>
        <v>Lully</v>
      </c>
      <c r="C147" s="298">
        <f>+'D) Ecrêtage'!C147</f>
        <v>53711.269344262299</v>
      </c>
      <c r="D147" s="430"/>
      <c r="E147" s="430"/>
      <c r="F147" s="430"/>
      <c r="G147" s="430"/>
      <c r="H147" s="428"/>
      <c r="I147" s="298">
        <f t="shared" si="18"/>
        <v>0</v>
      </c>
      <c r="J147" s="278">
        <f t="shared" si="19"/>
        <v>429690.15475409839</v>
      </c>
      <c r="K147" s="10">
        <f t="shared" si="20"/>
        <v>0</v>
      </c>
      <c r="L147" s="295" t="e">
        <f t="shared" si="21"/>
        <v>#DIV/0!</v>
      </c>
      <c r="M147" s="10"/>
      <c r="N147" s="10"/>
      <c r="O147" s="432"/>
      <c r="P147" s="10">
        <f t="shared" si="22"/>
        <v>53711.269344262299</v>
      </c>
      <c r="Q147" s="14">
        <f t="shared" si="23"/>
        <v>0</v>
      </c>
      <c r="R147" s="2" t="e">
        <f t="shared" si="24"/>
        <v>#DIV/0!</v>
      </c>
      <c r="S147" s="130" t="e">
        <f t="shared" si="25"/>
        <v>#DIV/0!</v>
      </c>
      <c r="T147" s="427" t="e">
        <f t="shared" si="26"/>
        <v>#DIV/0!</v>
      </c>
      <c r="U147" s="126"/>
      <c r="V147" s="493"/>
      <c r="W147" s="493"/>
      <c r="X147" s="493"/>
      <c r="Y147" s="493"/>
      <c r="Z147" s="493"/>
      <c r="AA147" s="493"/>
      <c r="AB147" s="413"/>
      <c r="AC147" s="413"/>
      <c r="AD147" s="413"/>
      <c r="AE147" s="413"/>
      <c r="AF147" s="413"/>
    </row>
    <row r="148" spans="1:32" x14ac:dyDescent="0.25">
      <c r="A148" s="49">
        <f>+'A) Base RI'!A149</f>
        <v>5640</v>
      </c>
      <c r="B148" s="458" t="str">
        <f>+'A) Base RI'!B149</f>
        <v>Lussy-sur-Morges</v>
      </c>
      <c r="C148" s="298">
        <f>+'D) Ecrêtage'!C148</f>
        <v>70527.814108527149</v>
      </c>
      <c r="D148" s="430"/>
      <c r="E148" s="430"/>
      <c r="F148" s="430"/>
      <c r="G148" s="430"/>
      <c r="H148" s="428"/>
      <c r="I148" s="298">
        <f t="shared" si="18"/>
        <v>0</v>
      </c>
      <c r="J148" s="278">
        <f t="shared" si="19"/>
        <v>564222.51286821719</v>
      </c>
      <c r="K148" s="10">
        <f t="shared" si="20"/>
        <v>0</v>
      </c>
      <c r="L148" s="295" t="e">
        <f t="shared" si="21"/>
        <v>#DIV/0!</v>
      </c>
      <c r="M148" s="10"/>
      <c r="N148" s="10"/>
      <c r="O148" s="432"/>
      <c r="P148" s="10">
        <f t="shared" si="22"/>
        <v>70527.814108527149</v>
      </c>
      <c r="Q148" s="14">
        <f t="shared" si="23"/>
        <v>0</v>
      </c>
      <c r="R148" s="2" t="e">
        <f t="shared" si="24"/>
        <v>#DIV/0!</v>
      </c>
      <c r="S148" s="130" t="e">
        <f t="shared" si="25"/>
        <v>#DIV/0!</v>
      </c>
      <c r="T148" s="427" t="e">
        <f t="shared" si="26"/>
        <v>#DIV/0!</v>
      </c>
      <c r="U148" s="126"/>
      <c r="V148" s="493"/>
      <c r="W148" s="493"/>
      <c r="X148" s="493"/>
      <c r="Y148" s="493"/>
      <c r="Z148" s="493"/>
      <c r="AA148" s="493"/>
      <c r="AB148" s="413"/>
      <c r="AC148" s="413"/>
      <c r="AD148" s="413"/>
      <c r="AE148" s="413"/>
      <c r="AF148" s="413"/>
    </row>
    <row r="149" spans="1:32" x14ac:dyDescent="0.25">
      <c r="A149" s="49">
        <f>+'A) Base RI'!A150</f>
        <v>5642</v>
      </c>
      <c r="B149" s="458" t="str">
        <f>+'A) Base RI'!B150</f>
        <v>Morges</v>
      </c>
      <c r="C149" s="298">
        <f>+'D) Ecrêtage'!C149</f>
        <v>999726.82119402988</v>
      </c>
      <c r="D149" s="430"/>
      <c r="E149" s="430"/>
      <c r="F149" s="430"/>
      <c r="G149" s="430"/>
      <c r="H149" s="428"/>
      <c r="I149" s="298">
        <f t="shared" si="18"/>
        <v>0</v>
      </c>
      <c r="J149" s="278">
        <f t="shared" si="19"/>
        <v>7997814.569552239</v>
      </c>
      <c r="K149" s="10">
        <f t="shared" si="20"/>
        <v>0</v>
      </c>
      <c r="L149" s="295" t="e">
        <f t="shared" si="21"/>
        <v>#DIV/0!</v>
      </c>
      <c r="M149" s="10"/>
      <c r="N149" s="10"/>
      <c r="O149" s="432"/>
      <c r="P149" s="10">
        <f t="shared" si="22"/>
        <v>999726.82119402988</v>
      </c>
      <c r="Q149" s="14">
        <f t="shared" si="23"/>
        <v>0</v>
      </c>
      <c r="R149" s="2" t="e">
        <f t="shared" si="24"/>
        <v>#DIV/0!</v>
      </c>
      <c r="S149" s="130" t="e">
        <f t="shared" si="25"/>
        <v>#DIV/0!</v>
      </c>
      <c r="T149" s="427" t="e">
        <f t="shared" si="26"/>
        <v>#DIV/0!</v>
      </c>
      <c r="U149" s="126"/>
      <c r="V149" s="493"/>
      <c r="W149" s="493"/>
      <c r="X149" s="493"/>
      <c r="Y149" s="493"/>
      <c r="Z149" s="493"/>
      <c r="AA149" s="493"/>
      <c r="AB149" s="413"/>
      <c r="AC149" s="413"/>
      <c r="AD149" s="413"/>
      <c r="AE149" s="413"/>
      <c r="AF149" s="413"/>
    </row>
    <row r="150" spans="1:32" x14ac:dyDescent="0.25">
      <c r="A150" s="49">
        <f>+'A) Base RI'!A151</f>
        <v>5643</v>
      </c>
      <c r="B150" s="458" t="str">
        <f>+'A) Base RI'!B151</f>
        <v>Préverenges</v>
      </c>
      <c r="C150" s="298">
        <f>+'D) Ecrêtage'!C150</f>
        <v>257752.82112000001</v>
      </c>
      <c r="D150" s="430"/>
      <c r="E150" s="430"/>
      <c r="F150" s="430"/>
      <c r="G150" s="430"/>
      <c r="H150" s="428"/>
      <c r="I150" s="298">
        <f t="shared" si="18"/>
        <v>0</v>
      </c>
      <c r="J150" s="278">
        <f t="shared" si="19"/>
        <v>2062022.5689600001</v>
      </c>
      <c r="K150" s="10">
        <f t="shared" si="20"/>
        <v>0</v>
      </c>
      <c r="L150" s="295" t="e">
        <f t="shared" si="21"/>
        <v>#DIV/0!</v>
      </c>
      <c r="M150" s="10"/>
      <c r="N150" s="10"/>
      <c r="O150" s="432"/>
      <c r="P150" s="10">
        <f t="shared" si="22"/>
        <v>257752.82112000001</v>
      </c>
      <c r="Q150" s="14">
        <f t="shared" si="23"/>
        <v>0</v>
      </c>
      <c r="R150" s="2" t="e">
        <f t="shared" si="24"/>
        <v>#DIV/0!</v>
      </c>
      <c r="S150" s="130" t="e">
        <f t="shared" si="25"/>
        <v>#DIV/0!</v>
      </c>
      <c r="T150" s="427" t="e">
        <f t="shared" si="26"/>
        <v>#DIV/0!</v>
      </c>
      <c r="U150" s="126"/>
      <c r="V150" s="493"/>
      <c r="W150" s="493"/>
      <c r="X150" s="493"/>
      <c r="Y150" s="493"/>
      <c r="Z150" s="493"/>
      <c r="AA150" s="493"/>
      <c r="AB150" s="413"/>
      <c r="AC150" s="413"/>
      <c r="AD150" s="413"/>
      <c r="AE150" s="413"/>
      <c r="AF150" s="413"/>
    </row>
    <row r="151" spans="1:32" x14ac:dyDescent="0.25">
      <c r="A151" s="49">
        <f>+'A) Base RI'!A152</f>
        <v>5644</v>
      </c>
      <c r="B151" s="458" t="str">
        <f>+'A) Base RI'!B152</f>
        <v>Reverolle</v>
      </c>
      <c r="C151" s="298">
        <f>+'D) Ecrêtage'!C151</f>
        <v>16363.457972972968</v>
      </c>
      <c r="D151" s="430"/>
      <c r="E151" s="430"/>
      <c r="F151" s="430"/>
      <c r="G151" s="430"/>
      <c r="H151" s="428"/>
      <c r="I151" s="298">
        <f t="shared" si="18"/>
        <v>0</v>
      </c>
      <c r="J151" s="278">
        <f t="shared" si="19"/>
        <v>130907.66378378375</v>
      </c>
      <c r="K151" s="10">
        <f t="shared" si="20"/>
        <v>0</v>
      </c>
      <c r="L151" s="295" t="e">
        <f t="shared" si="21"/>
        <v>#DIV/0!</v>
      </c>
      <c r="M151" s="10"/>
      <c r="N151" s="10"/>
      <c r="O151" s="432"/>
      <c r="P151" s="10">
        <f t="shared" si="22"/>
        <v>16363.457972972968</v>
      </c>
      <c r="Q151" s="14">
        <f t="shared" si="23"/>
        <v>0</v>
      </c>
      <c r="R151" s="2" t="e">
        <f t="shared" si="24"/>
        <v>#DIV/0!</v>
      </c>
      <c r="S151" s="130" t="e">
        <f t="shared" si="25"/>
        <v>#DIV/0!</v>
      </c>
      <c r="T151" s="427" t="e">
        <f t="shared" si="26"/>
        <v>#DIV/0!</v>
      </c>
      <c r="U151" s="126"/>
      <c r="V151" s="493"/>
      <c r="W151" s="493"/>
      <c r="X151" s="493"/>
      <c r="Y151" s="493"/>
      <c r="Z151" s="493"/>
      <c r="AA151" s="493"/>
      <c r="AB151" s="413"/>
      <c r="AC151" s="413"/>
      <c r="AD151" s="413"/>
      <c r="AE151" s="413"/>
      <c r="AF151" s="413"/>
    </row>
    <row r="152" spans="1:32" x14ac:dyDescent="0.25">
      <c r="A152" s="49">
        <f>+'A) Base RI'!A153</f>
        <v>5645</v>
      </c>
      <c r="B152" s="458" t="str">
        <f>+'A) Base RI'!B153</f>
        <v>Romanel-sur-Morges</v>
      </c>
      <c r="C152" s="298">
        <f>+'D) Ecrêtage'!C152</f>
        <v>26586.021785714285</v>
      </c>
      <c r="D152" s="430"/>
      <c r="E152" s="430"/>
      <c r="F152" s="430"/>
      <c r="G152" s="430"/>
      <c r="H152" s="428"/>
      <c r="I152" s="298">
        <f t="shared" si="18"/>
        <v>0</v>
      </c>
      <c r="J152" s="278">
        <f t="shared" si="19"/>
        <v>212688.17428571428</v>
      </c>
      <c r="K152" s="10">
        <f t="shared" si="20"/>
        <v>0</v>
      </c>
      <c r="L152" s="295" t="e">
        <f t="shared" si="21"/>
        <v>#DIV/0!</v>
      </c>
      <c r="M152" s="10"/>
      <c r="N152" s="10"/>
      <c r="O152" s="432"/>
      <c r="P152" s="10">
        <f t="shared" si="22"/>
        <v>26586.021785714285</v>
      </c>
      <c r="Q152" s="14">
        <f t="shared" si="23"/>
        <v>0</v>
      </c>
      <c r="R152" s="2" t="e">
        <f t="shared" si="24"/>
        <v>#DIV/0!</v>
      </c>
      <c r="S152" s="130" t="e">
        <f t="shared" si="25"/>
        <v>#DIV/0!</v>
      </c>
      <c r="T152" s="427" t="e">
        <f t="shared" si="26"/>
        <v>#DIV/0!</v>
      </c>
      <c r="U152" s="126"/>
      <c r="V152" s="493"/>
      <c r="W152" s="493"/>
      <c r="X152" s="493"/>
      <c r="Y152" s="493"/>
      <c r="Z152" s="493"/>
      <c r="AA152" s="493"/>
      <c r="AB152" s="413"/>
      <c r="AC152" s="413"/>
      <c r="AD152" s="413"/>
      <c r="AE152" s="413"/>
      <c r="AF152" s="413"/>
    </row>
    <row r="153" spans="1:32" x14ac:dyDescent="0.25">
      <c r="A153" s="49">
        <f>+'A) Base RI'!A154</f>
        <v>5646</v>
      </c>
      <c r="B153" s="458" t="str">
        <f>+'A) Base RI'!B154</f>
        <v>Saint-Prex</v>
      </c>
      <c r="C153" s="298">
        <f>+'D) Ecrêtage'!C153</f>
        <v>527982.74983050849</v>
      </c>
      <c r="D153" s="430"/>
      <c r="E153" s="430"/>
      <c r="F153" s="430"/>
      <c r="G153" s="430"/>
      <c r="H153" s="428"/>
      <c r="I153" s="298">
        <f t="shared" si="18"/>
        <v>0</v>
      </c>
      <c r="J153" s="278">
        <f t="shared" si="19"/>
        <v>4223861.9986440679</v>
      </c>
      <c r="K153" s="10">
        <f t="shared" si="20"/>
        <v>0</v>
      </c>
      <c r="L153" s="295" t="e">
        <f t="shared" si="21"/>
        <v>#DIV/0!</v>
      </c>
      <c r="M153" s="10"/>
      <c r="N153" s="10"/>
      <c r="O153" s="432"/>
      <c r="P153" s="10">
        <f t="shared" si="22"/>
        <v>527982.74983050849</v>
      </c>
      <c r="Q153" s="14">
        <f t="shared" si="23"/>
        <v>0</v>
      </c>
      <c r="R153" s="2" t="e">
        <f t="shared" si="24"/>
        <v>#DIV/0!</v>
      </c>
      <c r="S153" s="130" t="e">
        <f t="shared" si="25"/>
        <v>#DIV/0!</v>
      </c>
      <c r="T153" s="427" t="e">
        <f t="shared" si="26"/>
        <v>#DIV/0!</v>
      </c>
      <c r="U153" s="126"/>
      <c r="V153" s="493"/>
      <c r="W153" s="493"/>
      <c r="X153" s="493"/>
      <c r="Y153" s="493"/>
      <c r="Z153" s="493"/>
      <c r="AA153" s="493"/>
      <c r="AB153" s="413"/>
      <c r="AC153" s="413"/>
      <c r="AD153" s="413"/>
      <c r="AE153" s="413"/>
      <c r="AF153" s="413"/>
    </row>
    <row r="154" spans="1:32" x14ac:dyDescent="0.25">
      <c r="A154" s="49">
        <f>+'A) Base RI'!A155</f>
        <v>5648</v>
      </c>
      <c r="B154" s="458" t="str">
        <f>+'A) Base RI'!B155</f>
        <v>Saint-Sulpice</v>
      </c>
      <c r="C154" s="298">
        <f>+'D) Ecrêtage'!C154</f>
        <v>394426.68886363629</v>
      </c>
      <c r="D154" s="430"/>
      <c r="E154" s="430"/>
      <c r="F154" s="430"/>
      <c r="G154" s="430"/>
      <c r="H154" s="428"/>
      <c r="I154" s="298">
        <f t="shared" si="18"/>
        <v>0</v>
      </c>
      <c r="J154" s="278">
        <f t="shared" si="19"/>
        <v>3155413.5109090903</v>
      </c>
      <c r="K154" s="10">
        <f t="shared" si="20"/>
        <v>0</v>
      </c>
      <c r="L154" s="295" t="e">
        <f t="shared" si="21"/>
        <v>#DIV/0!</v>
      </c>
      <c r="M154" s="10"/>
      <c r="N154" s="10"/>
      <c r="O154" s="432"/>
      <c r="P154" s="10">
        <f t="shared" si="22"/>
        <v>394426.68886363629</v>
      </c>
      <c r="Q154" s="14">
        <f t="shared" si="23"/>
        <v>0</v>
      </c>
      <c r="R154" s="2" t="e">
        <f t="shared" si="24"/>
        <v>#DIV/0!</v>
      </c>
      <c r="S154" s="130" t="e">
        <f t="shared" si="25"/>
        <v>#DIV/0!</v>
      </c>
      <c r="T154" s="427" t="e">
        <f t="shared" si="26"/>
        <v>#DIV/0!</v>
      </c>
      <c r="U154" s="126"/>
      <c r="V154" s="493"/>
      <c r="W154" s="493"/>
      <c r="X154" s="493"/>
      <c r="Y154" s="493"/>
      <c r="Z154" s="493"/>
      <c r="AA154" s="493"/>
      <c r="AB154" s="413"/>
      <c r="AC154" s="413"/>
      <c r="AD154" s="413"/>
      <c r="AE154" s="413"/>
      <c r="AF154" s="413"/>
    </row>
    <row r="155" spans="1:32" x14ac:dyDescent="0.25">
      <c r="A155" s="49">
        <f>+'A) Base RI'!A156</f>
        <v>5649</v>
      </c>
      <c r="B155" s="458" t="str">
        <f>+'A) Base RI'!B156</f>
        <v>Tolochenaz</v>
      </c>
      <c r="C155" s="298">
        <f>+'D) Ecrêtage'!C155</f>
        <v>155778.42171874997</v>
      </c>
      <c r="D155" s="430"/>
      <c r="E155" s="430"/>
      <c r="F155" s="430"/>
      <c r="G155" s="430"/>
      <c r="H155" s="428"/>
      <c r="I155" s="298">
        <f t="shared" si="18"/>
        <v>0</v>
      </c>
      <c r="J155" s="278">
        <f t="shared" si="19"/>
        <v>1246227.3737499998</v>
      </c>
      <c r="K155" s="10">
        <f t="shared" si="20"/>
        <v>0</v>
      </c>
      <c r="L155" s="295" t="e">
        <f t="shared" si="21"/>
        <v>#DIV/0!</v>
      </c>
      <c r="M155" s="10"/>
      <c r="N155" s="10"/>
      <c r="O155" s="432"/>
      <c r="P155" s="10">
        <f t="shared" si="22"/>
        <v>155778.42171874997</v>
      </c>
      <c r="Q155" s="14">
        <f t="shared" si="23"/>
        <v>0</v>
      </c>
      <c r="R155" s="2" t="e">
        <f t="shared" si="24"/>
        <v>#DIV/0!</v>
      </c>
      <c r="S155" s="130" t="e">
        <f t="shared" si="25"/>
        <v>#DIV/0!</v>
      </c>
      <c r="T155" s="427" t="e">
        <f t="shared" si="26"/>
        <v>#DIV/0!</v>
      </c>
      <c r="U155" s="126"/>
      <c r="V155" s="493"/>
      <c r="W155" s="493"/>
      <c r="X155" s="493"/>
      <c r="Y155" s="493"/>
      <c r="Z155" s="493"/>
      <c r="AA155" s="493"/>
      <c r="AB155" s="413"/>
      <c r="AC155" s="413"/>
      <c r="AD155" s="413"/>
      <c r="AE155" s="413"/>
      <c r="AF155" s="413"/>
    </row>
    <row r="156" spans="1:32" x14ac:dyDescent="0.25">
      <c r="A156" s="49">
        <f>+'A) Base RI'!A157</f>
        <v>5650</v>
      </c>
      <c r="B156" s="458" t="str">
        <f>+'A) Base RI'!B157</f>
        <v>Vaux-sur-Morges</v>
      </c>
      <c r="C156" s="298">
        <f>+'D) Ecrêtage'!C156</f>
        <v>83125.71642857141</v>
      </c>
      <c r="D156" s="430"/>
      <c r="E156" s="430"/>
      <c r="F156" s="430"/>
      <c r="G156" s="430"/>
      <c r="H156" s="428"/>
      <c r="I156" s="298">
        <f t="shared" si="18"/>
        <v>0</v>
      </c>
      <c r="J156" s="278">
        <f t="shared" si="19"/>
        <v>665005.73142857128</v>
      </c>
      <c r="K156" s="10">
        <f t="shared" si="20"/>
        <v>0</v>
      </c>
      <c r="L156" s="295" t="e">
        <f t="shared" si="21"/>
        <v>#DIV/0!</v>
      </c>
      <c r="M156" s="10"/>
      <c r="N156" s="10"/>
      <c r="O156" s="432"/>
      <c r="P156" s="10">
        <f t="shared" si="22"/>
        <v>83125.71642857141</v>
      </c>
      <c r="Q156" s="14">
        <f t="shared" si="23"/>
        <v>0</v>
      </c>
      <c r="R156" s="2" t="e">
        <f t="shared" si="24"/>
        <v>#DIV/0!</v>
      </c>
      <c r="S156" s="130" t="e">
        <f t="shared" si="25"/>
        <v>#DIV/0!</v>
      </c>
      <c r="T156" s="427" t="e">
        <f t="shared" si="26"/>
        <v>#DIV/0!</v>
      </c>
      <c r="U156" s="126"/>
      <c r="V156" s="493"/>
      <c r="W156" s="493"/>
      <c r="X156" s="493"/>
      <c r="Y156" s="493"/>
      <c r="Z156" s="493"/>
      <c r="AA156" s="493"/>
      <c r="AB156" s="413"/>
      <c r="AC156" s="413"/>
      <c r="AD156" s="413"/>
      <c r="AE156" s="413"/>
      <c r="AF156" s="413"/>
    </row>
    <row r="157" spans="1:32" x14ac:dyDescent="0.25">
      <c r="A157" s="49">
        <f>+'A) Base RI'!A158</f>
        <v>5651</v>
      </c>
      <c r="B157" s="458" t="str">
        <f>+'A) Base RI'!B158</f>
        <v>Villars-Sainte-Croix</v>
      </c>
      <c r="C157" s="298">
        <f>+'D) Ecrêtage'!C157</f>
        <v>57697.031735537188</v>
      </c>
      <c r="D157" s="430"/>
      <c r="E157" s="430"/>
      <c r="F157" s="430"/>
      <c r="G157" s="430"/>
      <c r="H157" s="428"/>
      <c r="I157" s="298">
        <f t="shared" si="18"/>
        <v>0</v>
      </c>
      <c r="J157" s="278">
        <f t="shared" si="19"/>
        <v>461576.2538842975</v>
      </c>
      <c r="K157" s="10">
        <f t="shared" si="20"/>
        <v>0</v>
      </c>
      <c r="L157" s="295" t="e">
        <f t="shared" si="21"/>
        <v>#DIV/0!</v>
      </c>
      <c r="M157" s="10"/>
      <c r="N157" s="10"/>
      <c r="O157" s="432"/>
      <c r="P157" s="10">
        <f t="shared" si="22"/>
        <v>57697.031735537188</v>
      </c>
      <c r="Q157" s="14">
        <f t="shared" si="23"/>
        <v>0</v>
      </c>
      <c r="R157" s="2" t="e">
        <f t="shared" si="24"/>
        <v>#DIV/0!</v>
      </c>
      <c r="S157" s="130" t="e">
        <f t="shared" si="25"/>
        <v>#DIV/0!</v>
      </c>
      <c r="T157" s="427" t="e">
        <f t="shared" si="26"/>
        <v>#DIV/0!</v>
      </c>
      <c r="U157" s="126"/>
      <c r="V157" s="493"/>
      <c r="W157" s="493"/>
      <c r="X157" s="493"/>
      <c r="Y157" s="493"/>
      <c r="Z157" s="493"/>
      <c r="AA157" s="493"/>
      <c r="AB157" s="413"/>
      <c r="AC157" s="413"/>
      <c r="AD157" s="413"/>
      <c r="AE157" s="413"/>
      <c r="AF157" s="413"/>
    </row>
    <row r="158" spans="1:32" x14ac:dyDescent="0.25">
      <c r="A158" s="49">
        <f>+'A) Base RI'!A159</f>
        <v>5652</v>
      </c>
      <c r="B158" s="458" t="str">
        <f>+'A) Base RI'!B159</f>
        <v>Villars-sous-Yens</v>
      </c>
      <c r="C158" s="298">
        <f>+'D) Ecrêtage'!C158</f>
        <v>25902.630833333329</v>
      </c>
      <c r="D158" s="430"/>
      <c r="E158" s="430"/>
      <c r="F158" s="430"/>
      <c r="G158" s="430"/>
      <c r="H158" s="428"/>
      <c r="I158" s="298">
        <f t="shared" si="18"/>
        <v>0</v>
      </c>
      <c r="J158" s="278">
        <f t="shared" si="19"/>
        <v>207221.04666666663</v>
      </c>
      <c r="K158" s="10">
        <f t="shared" si="20"/>
        <v>0</v>
      </c>
      <c r="L158" s="295" t="e">
        <f t="shared" si="21"/>
        <v>#DIV/0!</v>
      </c>
      <c r="M158" s="10"/>
      <c r="N158" s="10"/>
      <c r="O158" s="432"/>
      <c r="P158" s="10">
        <f t="shared" si="22"/>
        <v>25902.630833333329</v>
      </c>
      <c r="Q158" s="14">
        <f t="shared" si="23"/>
        <v>0</v>
      </c>
      <c r="R158" s="2" t="e">
        <f t="shared" si="24"/>
        <v>#DIV/0!</v>
      </c>
      <c r="S158" s="130" t="e">
        <f t="shared" si="25"/>
        <v>#DIV/0!</v>
      </c>
      <c r="T158" s="427" t="e">
        <f t="shared" si="26"/>
        <v>#DIV/0!</v>
      </c>
      <c r="U158" s="126"/>
      <c r="V158" s="493"/>
      <c r="W158" s="493"/>
      <c r="X158" s="493"/>
      <c r="Y158" s="493"/>
      <c r="Z158" s="493"/>
      <c r="AA158" s="493"/>
      <c r="AB158" s="413"/>
      <c r="AC158" s="413"/>
      <c r="AD158" s="413"/>
      <c r="AE158" s="413"/>
      <c r="AF158" s="413"/>
    </row>
    <row r="159" spans="1:32" x14ac:dyDescent="0.25">
      <c r="A159" s="49">
        <f>+'A) Base RI'!A160</f>
        <v>5653</v>
      </c>
      <c r="B159" s="458" t="str">
        <f>+'A) Base RI'!B160</f>
        <v>Vufflens-le-Château</v>
      </c>
      <c r="C159" s="298">
        <f>+'D) Ecrêtage'!C159</f>
        <v>67496.149401709394</v>
      </c>
      <c r="D159" s="430"/>
      <c r="E159" s="430"/>
      <c r="F159" s="430"/>
      <c r="G159" s="430"/>
      <c r="H159" s="428"/>
      <c r="I159" s="298">
        <f t="shared" si="18"/>
        <v>0</v>
      </c>
      <c r="J159" s="278">
        <f t="shared" si="19"/>
        <v>539969.19521367515</v>
      </c>
      <c r="K159" s="10">
        <f t="shared" si="20"/>
        <v>0</v>
      </c>
      <c r="L159" s="295" t="e">
        <f t="shared" si="21"/>
        <v>#DIV/0!</v>
      </c>
      <c r="M159" s="10"/>
      <c r="N159" s="10"/>
      <c r="O159" s="432"/>
      <c r="P159" s="10">
        <f t="shared" si="22"/>
        <v>67496.149401709394</v>
      </c>
      <c r="Q159" s="14">
        <f t="shared" si="23"/>
        <v>0</v>
      </c>
      <c r="R159" s="2" t="e">
        <f t="shared" si="24"/>
        <v>#DIV/0!</v>
      </c>
      <c r="S159" s="130" t="e">
        <f t="shared" si="25"/>
        <v>#DIV/0!</v>
      </c>
      <c r="T159" s="427" t="e">
        <f t="shared" si="26"/>
        <v>#DIV/0!</v>
      </c>
      <c r="U159" s="126"/>
      <c r="V159" s="493"/>
      <c r="W159" s="493"/>
      <c r="X159" s="493"/>
      <c r="Y159" s="493"/>
      <c r="Z159" s="493"/>
      <c r="AA159" s="493"/>
      <c r="AB159" s="413"/>
      <c r="AC159" s="413"/>
      <c r="AD159" s="413"/>
      <c r="AE159" s="413"/>
      <c r="AF159" s="413"/>
    </row>
    <row r="160" spans="1:32" x14ac:dyDescent="0.25">
      <c r="A160" s="49">
        <f>+'A) Base RI'!A161</f>
        <v>5654</v>
      </c>
      <c r="B160" s="458" t="str">
        <f>+'A) Base RI'!B161</f>
        <v>Vullierens</v>
      </c>
      <c r="C160" s="298">
        <f>+'D) Ecrêtage'!C160</f>
        <v>20665.692500000001</v>
      </c>
      <c r="D160" s="430"/>
      <c r="E160" s="430"/>
      <c r="F160" s="430"/>
      <c r="G160" s="430"/>
      <c r="H160" s="428"/>
      <c r="I160" s="298">
        <f t="shared" si="18"/>
        <v>0</v>
      </c>
      <c r="J160" s="278">
        <f t="shared" si="19"/>
        <v>165325.54</v>
      </c>
      <c r="K160" s="10">
        <f t="shared" si="20"/>
        <v>0</v>
      </c>
      <c r="L160" s="295" t="e">
        <f t="shared" si="21"/>
        <v>#DIV/0!</v>
      </c>
      <c r="M160" s="10"/>
      <c r="N160" s="10"/>
      <c r="O160" s="432"/>
      <c r="P160" s="10">
        <f t="shared" si="22"/>
        <v>20665.692500000001</v>
      </c>
      <c r="Q160" s="14">
        <f t="shared" si="23"/>
        <v>0</v>
      </c>
      <c r="R160" s="2" t="e">
        <f t="shared" si="24"/>
        <v>#DIV/0!</v>
      </c>
      <c r="S160" s="130" t="e">
        <f t="shared" si="25"/>
        <v>#DIV/0!</v>
      </c>
      <c r="T160" s="427" t="e">
        <f t="shared" si="26"/>
        <v>#DIV/0!</v>
      </c>
      <c r="U160" s="126"/>
      <c r="V160" s="493"/>
      <c r="W160" s="493"/>
      <c r="X160" s="493"/>
      <c r="Y160" s="493"/>
      <c r="Z160" s="493"/>
      <c r="AA160" s="493"/>
      <c r="AB160" s="413"/>
      <c r="AC160" s="413"/>
      <c r="AD160" s="413"/>
      <c r="AE160" s="413"/>
      <c r="AF160" s="413"/>
    </row>
    <row r="161" spans="1:32" x14ac:dyDescent="0.25">
      <c r="A161" s="49">
        <f>+'A) Base RI'!A162</f>
        <v>5655</v>
      </c>
      <c r="B161" s="458" t="str">
        <f>+'A) Base RI'!B162</f>
        <v>Yens</v>
      </c>
      <c r="C161" s="298">
        <f>+'D) Ecrêtage'!C161</f>
        <v>73454.856083916078</v>
      </c>
      <c r="D161" s="430"/>
      <c r="E161" s="430"/>
      <c r="F161" s="430"/>
      <c r="G161" s="430"/>
      <c r="H161" s="428"/>
      <c r="I161" s="298">
        <f t="shared" si="18"/>
        <v>0</v>
      </c>
      <c r="J161" s="278">
        <f t="shared" si="19"/>
        <v>587638.84867132863</v>
      </c>
      <c r="K161" s="10">
        <f t="shared" si="20"/>
        <v>0</v>
      </c>
      <c r="L161" s="295" t="e">
        <f t="shared" si="21"/>
        <v>#DIV/0!</v>
      </c>
      <c r="M161" s="10"/>
      <c r="N161" s="10"/>
      <c r="O161" s="432"/>
      <c r="P161" s="10">
        <f t="shared" si="22"/>
        <v>73454.856083916078</v>
      </c>
      <c r="Q161" s="14">
        <f t="shared" si="23"/>
        <v>0</v>
      </c>
      <c r="R161" s="2" t="e">
        <f t="shared" si="24"/>
        <v>#DIV/0!</v>
      </c>
      <c r="S161" s="130" t="e">
        <f t="shared" si="25"/>
        <v>#DIV/0!</v>
      </c>
      <c r="T161" s="427" t="e">
        <f t="shared" si="26"/>
        <v>#DIV/0!</v>
      </c>
      <c r="U161" s="126"/>
      <c r="V161" s="493"/>
      <c r="W161" s="493"/>
      <c r="X161" s="493"/>
      <c r="Y161" s="493"/>
      <c r="Z161" s="493"/>
      <c r="AA161" s="493"/>
      <c r="AB161" s="413"/>
      <c r="AC161" s="413"/>
      <c r="AD161" s="413"/>
      <c r="AE161" s="413"/>
      <c r="AF161" s="413"/>
    </row>
    <row r="162" spans="1:32" x14ac:dyDescent="0.25">
      <c r="A162" s="49">
        <f>+'A) Base RI'!A163</f>
        <v>5661</v>
      </c>
      <c r="B162" s="458" t="str">
        <f>+'A) Base RI'!B163</f>
        <v>Boulens</v>
      </c>
      <c r="C162" s="298">
        <f>+'D) Ecrêtage'!C162</f>
        <v>11226.588951048951</v>
      </c>
      <c r="D162" s="430"/>
      <c r="E162" s="430"/>
      <c r="F162" s="430"/>
      <c r="G162" s="430"/>
      <c r="H162" s="428"/>
      <c r="I162" s="298">
        <f t="shared" si="18"/>
        <v>0</v>
      </c>
      <c r="J162" s="278">
        <f t="shared" si="19"/>
        <v>89812.711608391604</v>
      </c>
      <c r="K162" s="10">
        <f t="shared" si="20"/>
        <v>0</v>
      </c>
      <c r="L162" s="295" t="e">
        <f t="shared" si="21"/>
        <v>#DIV/0!</v>
      </c>
      <c r="M162" s="10"/>
      <c r="N162" s="10"/>
      <c r="O162" s="432"/>
      <c r="P162" s="10">
        <f t="shared" si="22"/>
        <v>11226.588951048951</v>
      </c>
      <c r="Q162" s="14">
        <f t="shared" si="23"/>
        <v>0</v>
      </c>
      <c r="R162" s="2" t="e">
        <f t="shared" si="24"/>
        <v>#DIV/0!</v>
      </c>
      <c r="S162" s="130" t="e">
        <f t="shared" si="25"/>
        <v>#DIV/0!</v>
      </c>
      <c r="T162" s="427" t="e">
        <f t="shared" si="26"/>
        <v>#DIV/0!</v>
      </c>
      <c r="U162" s="126"/>
      <c r="V162" s="493"/>
      <c r="W162" s="493"/>
      <c r="X162" s="493"/>
      <c r="Y162" s="493"/>
      <c r="Z162" s="493"/>
      <c r="AA162" s="493"/>
      <c r="AB162" s="413"/>
      <c r="AC162" s="413"/>
      <c r="AD162" s="413"/>
      <c r="AE162" s="413"/>
      <c r="AF162" s="413"/>
    </row>
    <row r="163" spans="1:32" x14ac:dyDescent="0.25">
      <c r="A163" s="49">
        <f>+'A) Base RI'!A164</f>
        <v>5663</v>
      </c>
      <c r="B163" s="458" t="str">
        <f>+'A) Base RI'!B164</f>
        <v>Bussy-sur-Moudon</v>
      </c>
      <c r="C163" s="298">
        <f>+'D) Ecrêtage'!C163</f>
        <v>5263.6754140127387</v>
      </c>
      <c r="D163" s="430"/>
      <c r="E163" s="430"/>
      <c r="F163" s="430"/>
      <c r="G163" s="430"/>
      <c r="H163" s="428"/>
      <c r="I163" s="298">
        <f t="shared" si="18"/>
        <v>0</v>
      </c>
      <c r="J163" s="278">
        <f t="shared" si="19"/>
        <v>42109.403312101909</v>
      </c>
      <c r="K163" s="10">
        <f t="shared" si="20"/>
        <v>0</v>
      </c>
      <c r="L163" s="295" t="e">
        <f t="shared" si="21"/>
        <v>#DIV/0!</v>
      </c>
      <c r="M163" s="10"/>
      <c r="N163" s="10"/>
      <c r="O163" s="432"/>
      <c r="P163" s="10">
        <f t="shared" si="22"/>
        <v>5263.6754140127387</v>
      </c>
      <c r="Q163" s="14">
        <f t="shared" si="23"/>
        <v>0</v>
      </c>
      <c r="R163" s="2" t="e">
        <f t="shared" si="24"/>
        <v>#DIV/0!</v>
      </c>
      <c r="S163" s="130" t="e">
        <f t="shared" si="25"/>
        <v>#DIV/0!</v>
      </c>
      <c r="T163" s="427" t="e">
        <f t="shared" si="26"/>
        <v>#DIV/0!</v>
      </c>
      <c r="U163" s="126"/>
      <c r="V163" s="493"/>
      <c r="W163" s="493"/>
      <c r="X163" s="493"/>
      <c r="Y163" s="493"/>
      <c r="Z163" s="493"/>
      <c r="AA163" s="493"/>
      <c r="AB163" s="413"/>
      <c r="AC163" s="413"/>
      <c r="AD163" s="413"/>
      <c r="AE163" s="413"/>
      <c r="AF163" s="413"/>
    </row>
    <row r="164" spans="1:32" x14ac:dyDescent="0.25">
      <c r="A164" s="49">
        <f>+'A) Base RI'!A165</f>
        <v>5665</v>
      </c>
      <c r="B164" s="458" t="str">
        <f>+'A) Base RI'!B165</f>
        <v>Chavannes-sur-Moudon</v>
      </c>
      <c r="C164" s="298">
        <f>+'D) Ecrêtage'!C164</f>
        <v>4920.86942857143</v>
      </c>
      <c r="D164" s="430"/>
      <c r="E164" s="430"/>
      <c r="F164" s="430"/>
      <c r="G164" s="430"/>
      <c r="H164" s="428"/>
      <c r="I164" s="298">
        <f t="shared" si="18"/>
        <v>0</v>
      </c>
      <c r="J164" s="278">
        <f t="shared" si="19"/>
        <v>39366.95542857144</v>
      </c>
      <c r="K164" s="10">
        <f t="shared" si="20"/>
        <v>0</v>
      </c>
      <c r="L164" s="295" t="e">
        <f t="shared" si="21"/>
        <v>#DIV/0!</v>
      </c>
      <c r="M164" s="10"/>
      <c r="N164" s="10"/>
      <c r="O164" s="432"/>
      <c r="P164" s="10">
        <f t="shared" si="22"/>
        <v>4920.86942857143</v>
      </c>
      <c r="Q164" s="14">
        <f t="shared" si="23"/>
        <v>0</v>
      </c>
      <c r="R164" s="2" t="e">
        <f t="shared" si="24"/>
        <v>#DIV/0!</v>
      </c>
      <c r="S164" s="130" t="e">
        <f t="shared" si="25"/>
        <v>#DIV/0!</v>
      </c>
      <c r="T164" s="427" t="e">
        <f t="shared" si="26"/>
        <v>#DIV/0!</v>
      </c>
      <c r="U164" s="126"/>
      <c r="V164" s="493"/>
      <c r="W164" s="493"/>
      <c r="X164" s="493"/>
      <c r="Y164" s="493"/>
      <c r="Z164" s="493"/>
      <c r="AA164" s="493"/>
      <c r="AB164" s="413"/>
      <c r="AC164" s="413"/>
      <c r="AD164" s="413"/>
      <c r="AE164" s="413"/>
      <c r="AF164" s="413"/>
    </row>
    <row r="165" spans="1:32" x14ac:dyDescent="0.25">
      <c r="A165" s="49">
        <f>+'A) Base RI'!A166</f>
        <v>5669</v>
      </c>
      <c r="B165" s="458" t="str">
        <f>+'A) Base RI'!B166</f>
        <v>Curtilles</v>
      </c>
      <c r="C165" s="298">
        <f>+'D) Ecrêtage'!C165</f>
        <v>9338.3773972602739</v>
      </c>
      <c r="D165" s="430"/>
      <c r="E165" s="430"/>
      <c r="F165" s="430"/>
      <c r="G165" s="430"/>
      <c r="H165" s="428"/>
      <c r="I165" s="298">
        <f t="shared" si="18"/>
        <v>0</v>
      </c>
      <c r="J165" s="278">
        <f t="shared" si="19"/>
        <v>74707.019178082192</v>
      </c>
      <c r="K165" s="10">
        <f t="shared" si="20"/>
        <v>0</v>
      </c>
      <c r="L165" s="295" t="e">
        <f t="shared" si="21"/>
        <v>#DIV/0!</v>
      </c>
      <c r="M165" s="10"/>
      <c r="N165" s="10"/>
      <c r="O165" s="432"/>
      <c r="P165" s="10">
        <f t="shared" si="22"/>
        <v>9338.3773972602739</v>
      </c>
      <c r="Q165" s="14">
        <f t="shared" si="23"/>
        <v>0</v>
      </c>
      <c r="R165" s="2" t="e">
        <f t="shared" si="24"/>
        <v>#DIV/0!</v>
      </c>
      <c r="S165" s="130" t="e">
        <f t="shared" si="25"/>
        <v>#DIV/0!</v>
      </c>
      <c r="T165" s="427" t="e">
        <f t="shared" si="26"/>
        <v>#DIV/0!</v>
      </c>
      <c r="U165" s="126"/>
      <c r="V165" s="493"/>
      <c r="W165" s="493"/>
      <c r="X165" s="493"/>
      <c r="Y165" s="493"/>
      <c r="Z165" s="493"/>
      <c r="AA165" s="493"/>
      <c r="AB165" s="413"/>
      <c r="AC165" s="413"/>
      <c r="AD165" s="413"/>
      <c r="AE165" s="413"/>
      <c r="AF165" s="413"/>
    </row>
    <row r="166" spans="1:32" x14ac:dyDescent="0.25">
      <c r="A166" s="49">
        <f>+'A) Base RI'!A167</f>
        <v>5671</v>
      </c>
      <c r="B166" s="458" t="str">
        <f>+'A) Base RI'!B167</f>
        <v>Dompierre</v>
      </c>
      <c r="C166" s="298">
        <f>+'D) Ecrêtage'!C166</f>
        <v>6463.9784615384606</v>
      </c>
      <c r="D166" s="430"/>
      <c r="E166" s="430"/>
      <c r="F166" s="430"/>
      <c r="G166" s="430"/>
      <c r="H166" s="428"/>
      <c r="I166" s="298">
        <f t="shared" si="18"/>
        <v>0</v>
      </c>
      <c r="J166" s="278">
        <f t="shared" si="19"/>
        <v>51711.827692307685</v>
      </c>
      <c r="K166" s="10">
        <f t="shared" si="20"/>
        <v>0</v>
      </c>
      <c r="L166" s="295" t="e">
        <f t="shared" si="21"/>
        <v>#DIV/0!</v>
      </c>
      <c r="M166" s="10"/>
      <c r="N166" s="10"/>
      <c r="O166" s="432"/>
      <c r="P166" s="10">
        <f t="shared" si="22"/>
        <v>6463.9784615384606</v>
      </c>
      <c r="Q166" s="14">
        <f t="shared" si="23"/>
        <v>0</v>
      </c>
      <c r="R166" s="2" t="e">
        <f t="shared" si="24"/>
        <v>#DIV/0!</v>
      </c>
      <c r="S166" s="130" t="e">
        <f t="shared" si="25"/>
        <v>#DIV/0!</v>
      </c>
      <c r="T166" s="427" t="e">
        <f t="shared" si="26"/>
        <v>#DIV/0!</v>
      </c>
      <c r="U166" s="126"/>
      <c r="V166" s="493"/>
      <c r="W166" s="493"/>
      <c r="X166" s="493"/>
      <c r="Y166" s="493"/>
      <c r="Z166" s="493"/>
      <c r="AA166" s="493"/>
      <c r="AB166" s="413"/>
      <c r="AC166" s="413"/>
      <c r="AD166" s="413"/>
      <c r="AE166" s="413"/>
      <c r="AF166" s="413"/>
    </row>
    <row r="167" spans="1:32" x14ac:dyDescent="0.25">
      <c r="A167" s="49">
        <f>+'A) Base RI'!A168</f>
        <v>5673</v>
      </c>
      <c r="B167" s="458" t="str">
        <f>+'A) Base RI'!B168</f>
        <v>Hermenches</v>
      </c>
      <c r="C167" s="298">
        <f>+'D) Ecrêtage'!C167</f>
        <v>10227.431292517007</v>
      </c>
      <c r="D167" s="430"/>
      <c r="E167" s="430"/>
      <c r="F167" s="430"/>
      <c r="G167" s="430"/>
      <c r="H167" s="428"/>
      <c r="I167" s="298">
        <f t="shared" si="18"/>
        <v>0</v>
      </c>
      <c r="J167" s="278">
        <f t="shared" si="19"/>
        <v>81819.450340136056</v>
      </c>
      <c r="K167" s="10">
        <f t="shared" si="20"/>
        <v>0</v>
      </c>
      <c r="L167" s="295" t="e">
        <f t="shared" si="21"/>
        <v>#DIV/0!</v>
      </c>
      <c r="M167" s="10"/>
      <c r="N167" s="10"/>
      <c r="O167" s="432"/>
      <c r="P167" s="10">
        <f t="shared" si="22"/>
        <v>10227.431292517007</v>
      </c>
      <c r="Q167" s="14">
        <f t="shared" si="23"/>
        <v>0</v>
      </c>
      <c r="R167" s="2" t="e">
        <f t="shared" si="24"/>
        <v>#DIV/0!</v>
      </c>
      <c r="S167" s="130" t="e">
        <f t="shared" si="25"/>
        <v>#DIV/0!</v>
      </c>
      <c r="T167" s="427" t="e">
        <f t="shared" si="26"/>
        <v>#DIV/0!</v>
      </c>
      <c r="U167" s="126"/>
      <c r="V167" s="493"/>
      <c r="W167" s="493"/>
      <c r="X167" s="493"/>
      <c r="Y167" s="493"/>
      <c r="Z167" s="493"/>
      <c r="AA167" s="493"/>
      <c r="AB167" s="413"/>
      <c r="AC167" s="413"/>
      <c r="AD167" s="413"/>
      <c r="AE167" s="413"/>
      <c r="AF167" s="413"/>
    </row>
    <row r="168" spans="1:32" x14ac:dyDescent="0.25">
      <c r="A168" s="49">
        <f>+'A) Base RI'!A169</f>
        <v>5674</v>
      </c>
      <c r="B168" s="458" t="str">
        <f>+'A) Base RI'!B169</f>
        <v>Lovatens</v>
      </c>
      <c r="C168" s="298">
        <f>+'D) Ecrêtage'!C168</f>
        <v>4217.2714666666661</v>
      </c>
      <c r="D168" s="430"/>
      <c r="E168" s="457"/>
      <c r="F168" s="430"/>
      <c r="G168" s="430"/>
      <c r="H168" s="428"/>
      <c r="I168" s="298">
        <f t="shared" si="18"/>
        <v>0</v>
      </c>
      <c r="J168" s="278">
        <f t="shared" si="19"/>
        <v>33738.171733333329</v>
      </c>
      <c r="K168" s="10">
        <f t="shared" si="20"/>
        <v>0</v>
      </c>
      <c r="L168" s="295" t="e">
        <f t="shared" si="21"/>
        <v>#DIV/0!</v>
      </c>
      <c r="M168" s="10"/>
      <c r="N168" s="10"/>
      <c r="O168" s="432"/>
      <c r="P168" s="10">
        <f t="shared" si="22"/>
        <v>4217.2714666666661</v>
      </c>
      <c r="Q168" s="14">
        <f t="shared" si="23"/>
        <v>0</v>
      </c>
      <c r="R168" s="2" t="e">
        <f t="shared" si="24"/>
        <v>#DIV/0!</v>
      </c>
      <c r="S168" s="130" t="e">
        <f t="shared" si="25"/>
        <v>#DIV/0!</v>
      </c>
      <c r="T168" s="427" t="e">
        <f t="shared" si="26"/>
        <v>#DIV/0!</v>
      </c>
      <c r="U168" s="126"/>
      <c r="V168" s="493"/>
      <c r="W168" s="493"/>
      <c r="X168" s="493"/>
      <c r="Y168" s="493"/>
      <c r="Z168" s="493"/>
      <c r="AA168" s="493"/>
      <c r="AB168" s="413"/>
      <c r="AC168" s="413"/>
      <c r="AD168" s="413"/>
      <c r="AE168" s="413"/>
      <c r="AF168" s="413"/>
    </row>
    <row r="169" spans="1:32" x14ac:dyDescent="0.25">
      <c r="A169" s="49">
        <f>+'A) Base RI'!A170</f>
        <v>5675</v>
      </c>
      <c r="B169" s="458" t="str">
        <f>+'A) Base RI'!B170</f>
        <v>Lucens</v>
      </c>
      <c r="C169" s="298">
        <f>+'D) Ecrêtage'!C169</f>
        <v>105170.58216835017</v>
      </c>
      <c r="D169" s="430"/>
      <c r="E169" s="430"/>
      <c r="F169" s="430"/>
      <c r="G169" s="430"/>
      <c r="H169" s="428"/>
      <c r="I169" s="298">
        <f t="shared" si="18"/>
        <v>0</v>
      </c>
      <c r="J169" s="278">
        <f t="shared" si="19"/>
        <v>841364.65734680137</v>
      </c>
      <c r="K169" s="10">
        <f t="shared" si="20"/>
        <v>0</v>
      </c>
      <c r="L169" s="295" t="e">
        <f t="shared" si="21"/>
        <v>#DIV/0!</v>
      </c>
      <c r="M169" s="10"/>
      <c r="N169" s="10"/>
      <c r="O169" s="432"/>
      <c r="P169" s="10">
        <f t="shared" si="22"/>
        <v>105170.58216835017</v>
      </c>
      <c r="Q169" s="14">
        <f t="shared" si="23"/>
        <v>0</v>
      </c>
      <c r="R169" s="2" t="e">
        <f t="shared" si="24"/>
        <v>#DIV/0!</v>
      </c>
      <c r="S169" s="130" t="e">
        <f t="shared" si="25"/>
        <v>#DIV/0!</v>
      </c>
      <c r="T169" s="427" t="e">
        <f t="shared" si="26"/>
        <v>#DIV/0!</v>
      </c>
      <c r="U169" s="126"/>
      <c r="V169" s="493"/>
      <c r="W169" s="493"/>
      <c r="X169" s="493"/>
      <c r="Y169" s="493"/>
      <c r="Z169" s="493"/>
      <c r="AA169" s="493"/>
      <c r="AB169" s="413"/>
      <c r="AC169" s="413"/>
      <c r="AD169" s="413"/>
      <c r="AE169" s="413"/>
      <c r="AF169" s="413"/>
    </row>
    <row r="170" spans="1:32" x14ac:dyDescent="0.25">
      <c r="A170" s="49">
        <f>+'A) Base RI'!A171</f>
        <v>5678</v>
      </c>
      <c r="B170" s="458" t="str">
        <f>+'A) Base RI'!B171</f>
        <v>Moudon</v>
      </c>
      <c r="C170" s="298">
        <f>+'D) Ecrêtage'!C170</f>
        <v>124836.852</v>
      </c>
      <c r="D170" s="430"/>
      <c r="E170" s="430"/>
      <c r="F170" s="430"/>
      <c r="G170" s="430"/>
      <c r="H170" s="428"/>
      <c r="I170" s="298">
        <f t="shared" si="18"/>
        <v>0</v>
      </c>
      <c r="J170" s="278">
        <f t="shared" si="19"/>
        <v>998694.81599999999</v>
      </c>
      <c r="K170" s="10">
        <f t="shared" si="20"/>
        <v>0</v>
      </c>
      <c r="L170" s="295" t="e">
        <f t="shared" si="21"/>
        <v>#DIV/0!</v>
      </c>
      <c r="M170" s="10"/>
      <c r="N170" s="10"/>
      <c r="O170" s="432"/>
      <c r="P170" s="10">
        <f t="shared" si="22"/>
        <v>124836.852</v>
      </c>
      <c r="Q170" s="14">
        <f t="shared" si="23"/>
        <v>0</v>
      </c>
      <c r="R170" s="2" t="e">
        <f t="shared" si="24"/>
        <v>#DIV/0!</v>
      </c>
      <c r="S170" s="130" t="e">
        <f t="shared" si="25"/>
        <v>#DIV/0!</v>
      </c>
      <c r="T170" s="427" t="e">
        <f t="shared" si="26"/>
        <v>#DIV/0!</v>
      </c>
      <c r="U170" s="126"/>
      <c r="V170" s="493"/>
      <c r="W170" s="493"/>
      <c r="X170" s="493"/>
      <c r="Y170" s="493"/>
      <c r="Z170" s="493"/>
      <c r="AA170" s="493"/>
      <c r="AB170" s="413"/>
      <c r="AC170" s="413"/>
      <c r="AD170" s="413"/>
      <c r="AE170" s="413"/>
      <c r="AF170" s="413"/>
    </row>
    <row r="171" spans="1:32" x14ac:dyDescent="0.25">
      <c r="A171" s="49">
        <f>+'A) Base RI'!A172</f>
        <v>5680</v>
      </c>
      <c r="B171" s="458" t="str">
        <f>+'A) Base RI'!B172</f>
        <v>Ogens</v>
      </c>
      <c r="C171" s="298">
        <f>+'D) Ecrêtage'!C171</f>
        <v>8501.5391880341886</v>
      </c>
      <c r="D171" s="430"/>
      <c r="E171" s="430"/>
      <c r="F171" s="430"/>
      <c r="G171" s="430"/>
      <c r="H171" s="428"/>
      <c r="I171" s="298">
        <f t="shared" si="18"/>
        <v>0</v>
      </c>
      <c r="J171" s="278">
        <f t="shared" si="19"/>
        <v>68012.313504273508</v>
      </c>
      <c r="K171" s="10">
        <f t="shared" si="20"/>
        <v>0</v>
      </c>
      <c r="L171" s="295" t="e">
        <f t="shared" si="21"/>
        <v>#DIV/0!</v>
      </c>
      <c r="M171" s="10"/>
      <c r="N171" s="10"/>
      <c r="O171" s="432"/>
      <c r="P171" s="10">
        <f t="shared" si="22"/>
        <v>8501.5391880341886</v>
      </c>
      <c r="Q171" s="14">
        <f t="shared" si="23"/>
        <v>0</v>
      </c>
      <c r="R171" s="2" t="e">
        <f t="shared" si="24"/>
        <v>#DIV/0!</v>
      </c>
      <c r="S171" s="130" t="e">
        <f t="shared" si="25"/>
        <v>#DIV/0!</v>
      </c>
      <c r="T171" s="427" t="e">
        <f t="shared" si="26"/>
        <v>#DIV/0!</v>
      </c>
      <c r="U171" s="126"/>
      <c r="V171" s="493"/>
      <c r="W171" s="493"/>
      <c r="X171" s="493"/>
      <c r="Y171" s="493"/>
      <c r="Z171" s="493"/>
      <c r="AA171" s="493"/>
      <c r="AB171" s="413"/>
      <c r="AC171" s="413"/>
      <c r="AD171" s="413"/>
      <c r="AE171" s="413"/>
      <c r="AF171" s="413"/>
    </row>
    <row r="172" spans="1:32" x14ac:dyDescent="0.25">
      <c r="A172" s="49">
        <f>+'A) Base RI'!A173</f>
        <v>5683</v>
      </c>
      <c r="B172" s="458" t="str">
        <f>+'A) Base RI'!B173</f>
        <v>Prévonloup</v>
      </c>
      <c r="C172" s="298">
        <f>+'D) Ecrêtage'!C172</f>
        <v>5386.44</v>
      </c>
      <c r="D172" s="430"/>
      <c r="E172" s="430"/>
      <c r="F172" s="430"/>
      <c r="G172" s="430"/>
      <c r="H172" s="428"/>
      <c r="I172" s="298">
        <f t="shared" si="18"/>
        <v>0</v>
      </c>
      <c r="J172" s="278">
        <f t="shared" si="19"/>
        <v>43091.519999999997</v>
      </c>
      <c r="K172" s="10">
        <f t="shared" si="20"/>
        <v>0</v>
      </c>
      <c r="L172" s="295" t="e">
        <f t="shared" si="21"/>
        <v>#DIV/0!</v>
      </c>
      <c r="M172" s="10"/>
      <c r="N172" s="10"/>
      <c r="O172" s="432"/>
      <c r="P172" s="10">
        <f t="shared" si="22"/>
        <v>5386.44</v>
      </c>
      <c r="Q172" s="14">
        <f t="shared" si="23"/>
        <v>0</v>
      </c>
      <c r="R172" s="2" t="e">
        <f t="shared" si="24"/>
        <v>#DIV/0!</v>
      </c>
      <c r="S172" s="130" t="e">
        <f t="shared" si="25"/>
        <v>#DIV/0!</v>
      </c>
      <c r="T172" s="427" t="e">
        <f t="shared" si="26"/>
        <v>#DIV/0!</v>
      </c>
      <c r="U172" s="126"/>
      <c r="V172" s="493"/>
      <c r="W172" s="493"/>
      <c r="X172" s="493"/>
      <c r="Y172" s="493"/>
      <c r="Z172" s="493"/>
      <c r="AA172" s="493"/>
      <c r="AB172" s="413"/>
      <c r="AC172" s="413"/>
      <c r="AD172" s="413"/>
      <c r="AE172" s="413"/>
      <c r="AF172" s="413"/>
    </row>
    <row r="173" spans="1:32" x14ac:dyDescent="0.25">
      <c r="A173" s="49">
        <f>+'A) Base RI'!A174</f>
        <v>5684</v>
      </c>
      <c r="B173" s="458" t="str">
        <f>+'A) Base RI'!B174</f>
        <v>Rossenges</v>
      </c>
      <c r="C173" s="298">
        <f>+'D) Ecrêtage'!C173</f>
        <v>3253.4816666666666</v>
      </c>
      <c r="D173" s="430"/>
      <c r="E173" s="430"/>
      <c r="F173" s="430"/>
      <c r="G173" s="430"/>
      <c r="H173" s="428"/>
      <c r="I173" s="298">
        <f t="shared" si="18"/>
        <v>0</v>
      </c>
      <c r="J173" s="278">
        <f t="shared" si="19"/>
        <v>26027.853333333333</v>
      </c>
      <c r="K173" s="10">
        <f t="shared" si="20"/>
        <v>0</v>
      </c>
      <c r="L173" s="295" t="e">
        <f t="shared" si="21"/>
        <v>#DIV/0!</v>
      </c>
      <c r="M173" s="10"/>
      <c r="N173" s="10"/>
      <c r="O173" s="432"/>
      <c r="P173" s="10">
        <f t="shared" si="22"/>
        <v>3253.4816666666666</v>
      </c>
      <c r="Q173" s="14">
        <f t="shared" si="23"/>
        <v>0</v>
      </c>
      <c r="R173" s="2" t="e">
        <f t="shared" si="24"/>
        <v>#DIV/0!</v>
      </c>
      <c r="S173" s="130" t="e">
        <f t="shared" si="25"/>
        <v>#DIV/0!</v>
      </c>
      <c r="T173" s="427" t="e">
        <f t="shared" si="26"/>
        <v>#DIV/0!</v>
      </c>
      <c r="U173" s="126"/>
      <c r="V173" s="493"/>
      <c r="W173" s="493"/>
      <c r="X173" s="493"/>
      <c r="Y173" s="493"/>
      <c r="Z173" s="493"/>
      <c r="AA173" s="493"/>
      <c r="AB173" s="413"/>
      <c r="AC173" s="413"/>
      <c r="AD173" s="413"/>
      <c r="AE173" s="413"/>
      <c r="AF173" s="413"/>
    </row>
    <row r="174" spans="1:32" x14ac:dyDescent="0.25">
      <c r="A174" s="49">
        <f>+'A) Base RI'!A175</f>
        <v>5688</v>
      </c>
      <c r="B174" s="458" t="str">
        <f>+'A) Base RI'!B175</f>
        <v>Syens</v>
      </c>
      <c r="C174" s="298">
        <f>+'D) Ecrêtage'!C174</f>
        <v>6245.666153846154</v>
      </c>
      <c r="D174" s="430"/>
      <c r="E174" s="430"/>
      <c r="F174" s="430"/>
      <c r="G174" s="430"/>
      <c r="H174" s="428"/>
      <c r="I174" s="298">
        <f t="shared" si="18"/>
        <v>0</v>
      </c>
      <c r="J174" s="278">
        <f t="shared" si="19"/>
        <v>49965.329230769232</v>
      </c>
      <c r="K174" s="10">
        <f t="shared" si="20"/>
        <v>0</v>
      </c>
      <c r="L174" s="295" t="e">
        <f t="shared" si="21"/>
        <v>#DIV/0!</v>
      </c>
      <c r="M174" s="10"/>
      <c r="N174" s="10"/>
      <c r="O174" s="432"/>
      <c r="P174" s="10">
        <f t="shared" si="22"/>
        <v>6245.666153846154</v>
      </c>
      <c r="Q174" s="14">
        <f t="shared" si="23"/>
        <v>0</v>
      </c>
      <c r="R174" s="2" t="e">
        <f t="shared" si="24"/>
        <v>#DIV/0!</v>
      </c>
      <c r="S174" s="130" t="e">
        <f t="shared" si="25"/>
        <v>#DIV/0!</v>
      </c>
      <c r="T174" s="427" t="e">
        <f t="shared" si="26"/>
        <v>#DIV/0!</v>
      </c>
      <c r="U174" s="126"/>
      <c r="V174" s="493"/>
      <c r="W174" s="493"/>
      <c r="X174" s="493"/>
      <c r="Y174" s="493"/>
      <c r="Z174" s="493"/>
      <c r="AA174" s="493"/>
      <c r="AB174" s="413"/>
      <c r="AC174" s="413"/>
      <c r="AD174" s="413"/>
      <c r="AE174" s="413"/>
      <c r="AF174" s="413"/>
    </row>
    <row r="175" spans="1:32" x14ac:dyDescent="0.25">
      <c r="A175" s="49">
        <f>+'A) Base RI'!A176</f>
        <v>5690</v>
      </c>
      <c r="B175" s="458" t="str">
        <f>+'A) Base RI'!B176</f>
        <v>Villars-le-Comte</v>
      </c>
      <c r="C175" s="298">
        <f>+'D) Ecrêtage'!C175</f>
        <v>3510.0358095238093</v>
      </c>
      <c r="D175" s="430"/>
      <c r="E175" s="430"/>
      <c r="F175" s="430"/>
      <c r="G175" s="430"/>
      <c r="H175" s="428"/>
      <c r="I175" s="298">
        <f t="shared" si="18"/>
        <v>0</v>
      </c>
      <c r="J175" s="278">
        <f t="shared" si="19"/>
        <v>28080.286476190475</v>
      </c>
      <c r="K175" s="10">
        <f t="shared" si="20"/>
        <v>0</v>
      </c>
      <c r="L175" s="295" t="e">
        <f t="shared" si="21"/>
        <v>#DIV/0!</v>
      </c>
      <c r="M175" s="10"/>
      <c r="N175" s="10"/>
      <c r="O175" s="432"/>
      <c r="P175" s="10">
        <f t="shared" si="22"/>
        <v>3510.0358095238093</v>
      </c>
      <c r="Q175" s="14">
        <f t="shared" si="23"/>
        <v>0</v>
      </c>
      <c r="R175" s="2" t="e">
        <f t="shared" si="24"/>
        <v>#DIV/0!</v>
      </c>
      <c r="S175" s="130" t="e">
        <f t="shared" si="25"/>
        <v>#DIV/0!</v>
      </c>
      <c r="T175" s="427" t="e">
        <f t="shared" si="26"/>
        <v>#DIV/0!</v>
      </c>
      <c r="U175" s="126"/>
      <c r="V175" s="493"/>
      <c r="W175" s="493"/>
      <c r="X175" s="493"/>
      <c r="Y175" s="493"/>
      <c r="Z175" s="493"/>
      <c r="AA175" s="493"/>
      <c r="AB175" s="413"/>
      <c r="AC175" s="413"/>
      <c r="AD175" s="413"/>
      <c r="AE175" s="413"/>
      <c r="AF175" s="413"/>
    </row>
    <row r="176" spans="1:32" x14ac:dyDescent="0.25">
      <c r="A176" s="49">
        <f>+'A) Base RI'!A177</f>
        <v>5692</v>
      </c>
      <c r="B176" s="458" t="str">
        <f>+'A) Base RI'!B177</f>
        <v>Vucherens</v>
      </c>
      <c r="C176" s="298">
        <f>+'D) Ecrêtage'!C176</f>
        <v>18793.189090909087</v>
      </c>
      <c r="D176" s="430"/>
      <c r="E176" s="430"/>
      <c r="F176" s="430"/>
      <c r="G176" s="430"/>
      <c r="H176" s="428"/>
      <c r="I176" s="298">
        <f t="shared" si="18"/>
        <v>0</v>
      </c>
      <c r="J176" s="278">
        <f t="shared" si="19"/>
        <v>150345.5127272727</v>
      </c>
      <c r="K176" s="10">
        <f t="shared" si="20"/>
        <v>0</v>
      </c>
      <c r="L176" s="295" t="e">
        <f t="shared" si="21"/>
        <v>#DIV/0!</v>
      </c>
      <c r="M176" s="10"/>
      <c r="N176" s="10"/>
      <c r="O176" s="432"/>
      <c r="P176" s="10">
        <f t="shared" si="22"/>
        <v>18793.189090909087</v>
      </c>
      <c r="Q176" s="14">
        <f t="shared" si="23"/>
        <v>0</v>
      </c>
      <c r="R176" s="2" t="e">
        <f t="shared" si="24"/>
        <v>#DIV/0!</v>
      </c>
      <c r="S176" s="130" t="e">
        <f t="shared" si="25"/>
        <v>#DIV/0!</v>
      </c>
      <c r="T176" s="427" t="e">
        <f t="shared" si="26"/>
        <v>#DIV/0!</v>
      </c>
      <c r="U176" s="126"/>
      <c r="V176" s="493"/>
      <c r="W176" s="493"/>
      <c r="X176" s="493"/>
      <c r="Y176" s="493"/>
      <c r="Z176" s="493"/>
      <c r="AA176" s="493"/>
      <c r="AB176" s="413"/>
      <c r="AC176" s="413"/>
      <c r="AD176" s="413"/>
      <c r="AE176" s="413"/>
      <c r="AF176" s="413"/>
    </row>
    <row r="177" spans="1:32" x14ac:dyDescent="0.25">
      <c r="A177" s="49">
        <f>+'A) Base RI'!A178</f>
        <v>5693</v>
      </c>
      <c r="B177" s="458" t="str">
        <f>+'A) Base RI'!B178</f>
        <v>Montanaire</v>
      </c>
      <c r="C177" s="298">
        <f>+'D) Ecrêtage'!C177</f>
        <v>75690.162142857153</v>
      </c>
      <c r="D177" s="430"/>
      <c r="E177" s="430"/>
      <c r="F177" s="430"/>
      <c r="G177" s="430"/>
      <c r="H177" s="428"/>
      <c r="I177" s="298">
        <f t="shared" si="18"/>
        <v>0</v>
      </c>
      <c r="J177" s="278">
        <f t="shared" si="19"/>
        <v>605521.29714285722</v>
      </c>
      <c r="K177" s="10">
        <f t="shared" si="20"/>
        <v>0</v>
      </c>
      <c r="L177" s="295" t="e">
        <f t="shared" si="21"/>
        <v>#DIV/0!</v>
      </c>
      <c r="M177" s="10"/>
      <c r="N177" s="10"/>
      <c r="O177" s="432"/>
      <c r="P177" s="10">
        <f t="shared" si="22"/>
        <v>75690.162142857153</v>
      </c>
      <c r="Q177" s="14">
        <f t="shared" si="23"/>
        <v>0</v>
      </c>
      <c r="R177" s="2" t="e">
        <f t="shared" si="24"/>
        <v>#DIV/0!</v>
      </c>
      <c r="S177" s="130" t="e">
        <f t="shared" si="25"/>
        <v>#DIV/0!</v>
      </c>
      <c r="T177" s="427" t="e">
        <f t="shared" si="26"/>
        <v>#DIV/0!</v>
      </c>
      <c r="U177" s="126"/>
      <c r="V177" s="493"/>
      <c r="W177" s="493"/>
      <c r="X177" s="493"/>
      <c r="Y177" s="493"/>
      <c r="Z177" s="493"/>
      <c r="AA177" s="493"/>
      <c r="AB177" s="413"/>
      <c r="AC177" s="413"/>
      <c r="AD177" s="413"/>
      <c r="AE177" s="413"/>
      <c r="AF177" s="413"/>
    </row>
    <row r="178" spans="1:32" x14ac:dyDescent="0.25">
      <c r="A178" s="49">
        <f>+'A) Base RI'!A179</f>
        <v>5701</v>
      </c>
      <c r="B178" s="458" t="str">
        <f>+'A) Base RI'!B179</f>
        <v>Arnex-sur-Nyon</v>
      </c>
      <c r="C178" s="298">
        <f>+'D) Ecrêtage'!C178</f>
        <v>14488.714857142857</v>
      </c>
      <c r="D178" s="430"/>
      <c r="E178" s="430"/>
      <c r="F178" s="430"/>
      <c r="G178" s="430"/>
      <c r="H178" s="428"/>
      <c r="I178" s="298">
        <f t="shared" si="18"/>
        <v>0</v>
      </c>
      <c r="J178" s="278">
        <f t="shared" si="19"/>
        <v>115909.71885714286</v>
      </c>
      <c r="K178" s="10">
        <f t="shared" si="20"/>
        <v>0</v>
      </c>
      <c r="L178" s="295" t="e">
        <f t="shared" si="21"/>
        <v>#DIV/0!</v>
      </c>
      <c r="M178" s="10"/>
      <c r="N178" s="10"/>
      <c r="O178" s="432"/>
      <c r="P178" s="10">
        <f t="shared" si="22"/>
        <v>14488.714857142857</v>
      </c>
      <c r="Q178" s="14">
        <f t="shared" si="23"/>
        <v>0</v>
      </c>
      <c r="R178" s="2" t="e">
        <f t="shared" si="24"/>
        <v>#DIV/0!</v>
      </c>
      <c r="S178" s="130" t="e">
        <f t="shared" si="25"/>
        <v>#DIV/0!</v>
      </c>
      <c r="T178" s="427" t="e">
        <f t="shared" si="26"/>
        <v>#DIV/0!</v>
      </c>
      <c r="U178" s="126"/>
      <c r="V178" s="493"/>
      <c r="W178" s="493"/>
      <c r="X178" s="493"/>
      <c r="Y178" s="493"/>
      <c r="Z178" s="493"/>
      <c r="AA178" s="493"/>
      <c r="AB178" s="413"/>
      <c r="AC178" s="413"/>
      <c r="AD178" s="413"/>
      <c r="AE178" s="413"/>
      <c r="AF178" s="413"/>
    </row>
    <row r="179" spans="1:32" x14ac:dyDescent="0.25">
      <c r="A179" s="49">
        <f>+'A) Base RI'!A180</f>
        <v>5702</v>
      </c>
      <c r="B179" s="458" t="str">
        <f>+'A) Base RI'!B180</f>
        <v>Arzier-Le Muids</v>
      </c>
      <c r="C179" s="298">
        <f>+'D) Ecrêtage'!C179</f>
        <v>174862.96255208339</v>
      </c>
      <c r="D179" s="430"/>
      <c r="E179" s="430"/>
      <c r="F179" s="430"/>
      <c r="G179" s="430"/>
      <c r="H179" s="428"/>
      <c r="I179" s="298">
        <f t="shared" si="18"/>
        <v>0</v>
      </c>
      <c r="J179" s="278">
        <f t="shared" si="19"/>
        <v>1398903.7004166672</v>
      </c>
      <c r="K179" s="10">
        <f t="shared" si="20"/>
        <v>0</v>
      </c>
      <c r="L179" s="295" t="e">
        <f t="shared" si="21"/>
        <v>#DIV/0!</v>
      </c>
      <c r="M179" s="10"/>
      <c r="N179" s="10"/>
      <c r="O179" s="432"/>
      <c r="P179" s="10">
        <f t="shared" si="22"/>
        <v>174862.96255208339</v>
      </c>
      <c r="Q179" s="14">
        <f t="shared" si="23"/>
        <v>0</v>
      </c>
      <c r="R179" s="2" t="e">
        <f t="shared" si="24"/>
        <v>#DIV/0!</v>
      </c>
      <c r="S179" s="130" t="e">
        <f t="shared" si="25"/>
        <v>#DIV/0!</v>
      </c>
      <c r="T179" s="427" t="e">
        <f t="shared" si="26"/>
        <v>#DIV/0!</v>
      </c>
      <c r="U179" s="126"/>
      <c r="V179" s="493"/>
      <c r="W179" s="493"/>
      <c r="X179" s="493"/>
      <c r="Y179" s="493"/>
      <c r="Z179" s="493"/>
      <c r="AA179" s="493"/>
      <c r="AB179" s="413"/>
      <c r="AC179" s="413"/>
      <c r="AD179" s="413"/>
      <c r="AE179" s="413"/>
      <c r="AF179" s="413"/>
    </row>
    <row r="180" spans="1:32" x14ac:dyDescent="0.25">
      <c r="A180" s="49">
        <f>+'A) Base RI'!A181</f>
        <v>5703</v>
      </c>
      <c r="B180" s="458" t="str">
        <f>+'A) Base RI'!B181</f>
        <v>Bassins</v>
      </c>
      <c r="C180" s="298">
        <f>+'D) Ecrêtage'!C180</f>
        <v>66800.247822660094</v>
      </c>
      <c r="D180" s="430"/>
      <c r="E180" s="430"/>
      <c r="F180" s="430"/>
      <c r="G180" s="430"/>
      <c r="H180" s="428"/>
      <c r="I180" s="298">
        <f t="shared" si="18"/>
        <v>0</v>
      </c>
      <c r="J180" s="278">
        <f t="shared" si="19"/>
        <v>534401.98258128075</v>
      </c>
      <c r="K180" s="10">
        <f t="shared" si="20"/>
        <v>0</v>
      </c>
      <c r="L180" s="295" t="e">
        <f t="shared" si="21"/>
        <v>#DIV/0!</v>
      </c>
      <c r="M180" s="10"/>
      <c r="N180" s="10"/>
      <c r="O180" s="432"/>
      <c r="P180" s="10">
        <f t="shared" si="22"/>
        <v>66800.247822660094</v>
      </c>
      <c r="Q180" s="14">
        <f t="shared" si="23"/>
        <v>0</v>
      </c>
      <c r="R180" s="2" t="e">
        <f t="shared" si="24"/>
        <v>#DIV/0!</v>
      </c>
      <c r="S180" s="130" t="e">
        <f t="shared" si="25"/>
        <v>#DIV/0!</v>
      </c>
      <c r="T180" s="427" t="e">
        <f t="shared" si="26"/>
        <v>#DIV/0!</v>
      </c>
      <c r="U180" s="126"/>
      <c r="V180" s="493"/>
      <c r="W180" s="493"/>
      <c r="X180" s="493"/>
      <c r="Y180" s="493"/>
      <c r="Z180" s="493"/>
      <c r="AA180" s="493"/>
      <c r="AB180" s="413"/>
      <c r="AC180" s="413"/>
      <c r="AD180" s="413"/>
      <c r="AE180" s="413"/>
      <c r="AF180" s="413"/>
    </row>
    <row r="181" spans="1:32" x14ac:dyDescent="0.25">
      <c r="A181" s="49">
        <f>+'A) Base RI'!A182</f>
        <v>5704</v>
      </c>
      <c r="B181" s="458" t="str">
        <f>+'A) Base RI'!B182</f>
        <v>Begnins</v>
      </c>
      <c r="C181" s="298">
        <f>+'D) Ecrêtage'!C181</f>
        <v>202343.35360000003</v>
      </c>
      <c r="D181" s="430"/>
      <c r="E181" s="430"/>
      <c r="F181" s="430"/>
      <c r="G181" s="430"/>
      <c r="H181" s="428"/>
      <c r="I181" s="298">
        <f t="shared" si="18"/>
        <v>0</v>
      </c>
      <c r="J181" s="278">
        <f t="shared" si="19"/>
        <v>1618746.8288000003</v>
      </c>
      <c r="K181" s="10">
        <f t="shared" si="20"/>
        <v>0</v>
      </c>
      <c r="L181" s="295" t="e">
        <f t="shared" si="21"/>
        <v>#DIV/0!</v>
      </c>
      <c r="M181" s="10"/>
      <c r="N181" s="10"/>
      <c r="O181" s="432"/>
      <c r="P181" s="10">
        <f t="shared" si="22"/>
        <v>202343.35360000003</v>
      </c>
      <c r="Q181" s="14">
        <f t="shared" si="23"/>
        <v>0</v>
      </c>
      <c r="R181" s="2" t="e">
        <f t="shared" si="24"/>
        <v>#DIV/0!</v>
      </c>
      <c r="S181" s="130" t="e">
        <f t="shared" si="25"/>
        <v>#DIV/0!</v>
      </c>
      <c r="T181" s="427" t="e">
        <f t="shared" si="26"/>
        <v>#DIV/0!</v>
      </c>
      <c r="U181" s="126"/>
      <c r="V181" s="493"/>
      <c r="W181" s="493"/>
      <c r="X181" s="493"/>
      <c r="Y181" s="493"/>
      <c r="Z181" s="493"/>
      <c r="AA181" s="493"/>
      <c r="AB181" s="413"/>
      <c r="AC181" s="413"/>
      <c r="AD181" s="413"/>
      <c r="AE181" s="413"/>
      <c r="AF181" s="413"/>
    </row>
    <row r="182" spans="1:32" x14ac:dyDescent="0.25">
      <c r="A182" s="49">
        <f>+'A) Base RI'!A183</f>
        <v>5705</v>
      </c>
      <c r="B182" s="458" t="str">
        <f>+'A) Base RI'!B183</f>
        <v>Bogis-Bossey</v>
      </c>
      <c r="C182" s="298">
        <f>+'D) Ecrêtage'!C182</f>
        <v>51953.338389261742</v>
      </c>
      <c r="D182" s="430"/>
      <c r="E182" s="430"/>
      <c r="F182" s="430"/>
      <c r="G182" s="430"/>
      <c r="H182" s="428"/>
      <c r="I182" s="298">
        <f t="shared" si="18"/>
        <v>0</v>
      </c>
      <c r="J182" s="278">
        <f t="shared" si="19"/>
        <v>415626.70711409394</v>
      </c>
      <c r="K182" s="10">
        <f t="shared" si="20"/>
        <v>0</v>
      </c>
      <c r="L182" s="295" t="e">
        <f t="shared" si="21"/>
        <v>#DIV/0!</v>
      </c>
      <c r="M182" s="10"/>
      <c r="N182" s="10"/>
      <c r="O182" s="432"/>
      <c r="P182" s="10">
        <f t="shared" si="22"/>
        <v>51953.338389261742</v>
      </c>
      <c r="Q182" s="14">
        <f t="shared" si="23"/>
        <v>0</v>
      </c>
      <c r="R182" s="2" t="e">
        <f t="shared" si="24"/>
        <v>#DIV/0!</v>
      </c>
      <c r="S182" s="130" t="e">
        <f t="shared" si="25"/>
        <v>#DIV/0!</v>
      </c>
      <c r="T182" s="427" t="e">
        <f t="shared" si="26"/>
        <v>#DIV/0!</v>
      </c>
      <c r="U182" s="126"/>
      <c r="V182" s="493"/>
      <c r="W182" s="493"/>
      <c r="X182" s="493"/>
      <c r="Y182" s="493"/>
      <c r="Z182" s="493"/>
      <c r="AA182" s="493"/>
      <c r="AB182" s="413"/>
      <c r="AC182" s="413"/>
      <c r="AD182" s="413"/>
      <c r="AE182" s="413"/>
      <c r="AF182" s="413"/>
    </row>
    <row r="183" spans="1:32" x14ac:dyDescent="0.25">
      <c r="A183" s="49">
        <f>+'A) Base RI'!A184</f>
        <v>5706</v>
      </c>
      <c r="B183" s="458" t="str">
        <f>+'A) Base RI'!B184</f>
        <v>Borex</v>
      </c>
      <c r="C183" s="298">
        <f>+'D) Ecrêtage'!C183</f>
        <v>71207.99596491229</v>
      </c>
      <c r="D183" s="430"/>
      <c r="E183" s="430"/>
      <c r="F183" s="430"/>
      <c r="G183" s="430"/>
      <c r="H183" s="428"/>
      <c r="I183" s="298">
        <f t="shared" si="18"/>
        <v>0</v>
      </c>
      <c r="J183" s="278">
        <f t="shared" si="19"/>
        <v>569663.96771929832</v>
      </c>
      <c r="K183" s="10">
        <f t="shared" si="20"/>
        <v>0</v>
      </c>
      <c r="L183" s="295" t="e">
        <f t="shared" si="21"/>
        <v>#DIV/0!</v>
      </c>
      <c r="M183" s="10"/>
      <c r="N183" s="10"/>
      <c r="O183" s="432"/>
      <c r="P183" s="10">
        <f t="shared" si="22"/>
        <v>71207.99596491229</v>
      </c>
      <c r="Q183" s="14">
        <f t="shared" si="23"/>
        <v>0</v>
      </c>
      <c r="R183" s="2" t="e">
        <f t="shared" si="24"/>
        <v>#DIV/0!</v>
      </c>
      <c r="S183" s="130" t="e">
        <f t="shared" si="25"/>
        <v>#DIV/0!</v>
      </c>
      <c r="T183" s="427" t="e">
        <f t="shared" si="26"/>
        <v>#DIV/0!</v>
      </c>
      <c r="U183" s="126"/>
      <c r="V183" s="493"/>
      <c r="W183" s="493"/>
      <c r="X183" s="493"/>
      <c r="Y183" s="493"/>
      <c r="Z183" s="493"/>
      <c r="AA183" s="493"/>
      <c r="AB183" s="413"/>
      <c r="AC183" s="413"/>
      <c r="AD183" s="413"/>
      <c r="AE183" s="413"/>
      <c r="AF183" s="413"/>
    </row>
    <row r="184" spans="1:32" x14ac:dyDescent="0.25">
      <c r="A184" s="49">
        <f>+'A) Base RI'!A185</f>
        <v>5707</v>
      </c>
      <c r="B184" s="458" t="str">
        <f>+'A) Base RI'!B185</f>
        <v>Chavannes-de-Bogis</v>
      </c>
      <c r="C184" s="298">
        <f>+'D) Ecrêtage'!C184</f>
        <v>88021.415574712664</v>
      </c>
      <c r="D184" s="430"/>
      <c r="E184" s="430"/>
      <c r="F184" s="430"/>
      <c r="G184" s="430"/>
      <c r="H184" s="428"/>
      <c r="I184" s="298">
        <f t="shared" si="18"/>
        <v>0</v>
      </c>
      <c r="J184" s="278">
        <f t="shared" si="19"/>
        <v>704171.32459770131</v>
      </c>
      <c r="K184" s="10">
        <f t="shared" si="20"/>
        <v>0</v>
      </c>
      <c r="L184" s="295" t="e">
        <f t="shared" si="21"/>
        <v>#DIV/0!</v>
      </c>
      <c r="M184" s="10"/>
      <c r="N184" s="10"/>
      <c r="O184" s="432"/>
      <c r="P184" s="10">
        <f t="shared" si="22"/>
        <v>88021.415574712664</v>
      </c>
      <c r="Q184" s="14">
        <f t="shared" si="23"/>
        <v>0</v>
      </c>
      <c r="R184" s="2" t="e">
        <f t="shared" si="24"/>
        <v>#DIV/0!</v>
      </c>
      <c r="S184" s="130" t="e">
        <f t="shared" si="25"/>
        <v>#DIV/0!</v>
      </c>
      <c r="T184" s="427" t="e">
        <f t="shared" si="26"/>
        <v>#DIV/0!</v>
      </c>
      <c r="U184" s="126"/>
      <c r="V184" s="493"/>
      <c r="W184" s="493"/>
      <c r="X184" s="493"/>
      <c r="Y184" s="493"/>
      <c r="Z184" s="493"/>
      <c r="AA184" s="493"/>
      <c r="AB184" s="413"/>
      <c r="AC184" s="413"/>
      <c r="AD184" s="413"/>
      <c r="AE184" s="413"/>
      <c r="AF184" s="413"/>
    </row>
    <row r="185" spans="1:32" x14ac:dyDescent="0.25">
      <c r="A185" s="49">
        <f>+'A) Base RI'!A186</f>
        <v>5708</v>
      </c>
      <c r="B185" s="458" t="str">
        <f>+'A) Base RI'!B186</f>
        <v>Chavannes-des-Bois</v>
      </c>
      <c r="C185" s="298">
        <f>+'D) Ecrêtage'!C185</f>
        <v>67001.640000000014</v>
      </c>
      <c r="D185" s="430"/>
      <c r="E185" s="430"/>
      <c r="F185" s="430"/>
      <c r="G185" s="430"/>
      <c r="H185" s="428"/>
      <c r="I185" s="298">
        <f t="shared" si="18"/>
        <v>0</v>
      </c>
      <c r="J185" s="278">
        <f t="shared" si="19"/>
        <v>536013.12000000011</v>
      </c>
      <c r="K185" s="10">
        <f t="shared" si="20"/>
        <v>0</v>
      </c>
      <c r="L185" s="295" t="e">
        <f t="shared" si="21"/>
        <v>#DIV/0!</v>
      </c>
      <c r="M185" s="10"/>
      <c r="N185" s="10"/>
      <c r="O185" s="432"/>
      <c r="P185" s="10">
        <f t="shared" si="22"/>
        <v>67001.640000000014</v>
      </c>
      <c r="Q185" s="14">
        <f t="shared" si="23"/>
        <v>0</v>
      </c>
      <c r="R185" s="2" t="e">
        <f t="shared" si="24"/>
        <v>#DIV/0!</v>
      </c>
      <c r="S185" s="130" t="e">
        <f t="shared" si="25"/>
        <v>#DIV/0!</v>
      </c>
      <c r="T185" s="427" t="e">
        <f t="shared" si="26"/>
        <v>#DIV/0!</v>
      </c>
      <c r="U185" s="126"/>
      <c r="V185" s="493"/>
      <c r="W185" s="493"/>
      <c r="X185" s="493"/>
      <c r="Y185" s="493"/>
      <c r="Z185" s="493"/>
      <c r="AA185" s="493"/>
      <c r="AB185" s="413"/>
      <c r="AC185" s="413"/>
      <c r="AD185" s="413"/>
      <c r="AE185" s="413"/>
      <c r="AF185" s="413"/>
    </row>
    <row r="186" spans="1:32" x14ac:dyDescent="0.25">
      <c r="A186" s="49">
        <f>+'A) Base RI'!A187</f>
        <v>5709</v>
      </c>
      <c r="B186" s="458" t="str">
        <f>+'A) Base RI'!B187</f>
        <v>Chéserex</v>
      </c>
      <c r="C186" s="298">
        <f>+'D) Ecrêtage'!C186</f>
        <v>88342.385614035084</v>
      </c>
      <c r="D186" s="430"/>
      <c r="E186" s="430"/>
      <c r="F186" s="430"/>
      <c r="G186" s="430"/>
      <c r="H186" s="428"/>
      <c r="I186" s="298">
        <f t="shared" si="18"/>
        <v>0</v>
      </c>
      <c r="J186" s="278">
        <f t="shared" si="19"/>
        <v>706739.08491228067</v>
      </c>
      <c r="K186" s="10">
        <f t="shared" si="20"/>
        <v>0</v>
      </c>
      <c r="L186" s="295" t="e">
        <f t="shared" si="21"/>
        <v>#DIV/0!</v>
      </c>
      <c r="M186" s="10"/>
      <c r="N186" s="10"/>
      <c r="O186" s="432"/>
      <c r="P186" s="10">
        <f t="shared" si="22"/>
        <v>88342.385614035084</v>
      </c>
      <c r="Q186" s="14">
        <f t="shared" si="23"/>
        <v>0</v>
      </c>
      <c r="R186" s="2" t="e">
        <f t="shared" si="24"/>
        <v>#DIV/0!</v>
      </c>
      <c r="S186" s="130" t="e">
        <f t="shared" si="25"/>
        <v>#DIV/0!</v>
      </c>
      <c r="T186" s="427" t="e">
        <f t="shared" si="26"/>
        <v>#DIV/0!</v>
      </c>
      <c r="U186" s="126"/>
      <c r="V186" s="493"/>
      <c r="W186" s="493"/>
      <c r="X186" s="493"/>
      <c r="Y186" s="493"/>
      <c r="Z186" s="493"/>
      <c r="AA186" s="493"/>
      <c r="AB186" s="413"/>
      <c r="AC186" s="413"/>
      <c r="AD186" s="413"/>
      <c r="AE186" s="413"/>
      <c r="AF186" s="413"/>
    </row>
    <row r="187" spans="1:32" x14ac:dyDescent="0.25">
      <c r="A187" s="49">
        <f>+'A) Base RI'!A188</f>
        <v>5710</v>
      </c>
      <c r="B187" s="458" t="str">
        <f>+'A) Base RI'!B188</f>
        <v>Coinsins</v>
      </c>
      <c r="C187" s="298">
        <f>+'D) Ecrêtage'!C187</f>
        <v>43412.265098039228</v>
      </c>
      <c r="D187" s="430"/>
      <c r="E187" s="430"/>
      <c r="F187" s="430"/>
      <c r="G187" s="430"/>
      <c r="H187" s="428"/>
      <c r="I187" s="298">
        <f t="shared" si="18"/>
        <v>0</v>
      </c>
      <c r="J187" s="278">
        <f t="shared" si="19"/>
        <v>347298.12078431383</v>
      </c>
      <c r="K187" s="10">
        <f t="shared" si="20"/>
        <v>0</v>
      </c>
      <c r="L187" s="295" t="e">
        <f t="shared" si="21"/>
        <v>#DIV/0!</v>
      </c>
      <c r="M187" s="10"/>
      <c r="N187" s="10"/>
      <c r="O187" s="432"/>
      <c r="P187" s="10">
        <f t="shared" si="22"/>
        <v>43412.265098039228</v>
      </c>
      <c r="Q187" s="14">
        <f t="shared" si="23"/>
        <v>0</v>
      </c>
      <c r="R187" s="2" t="e">
        <f t="shared" si="24"/>
        <v>#DIV/0!</v>
      </c>
      <c r="S187" s="130" t="e">
        <f t="shared" si="25"/>
        <v>#DIV/0!</v>
      </c>
      <c r="T187" s="427" t="e">
        <f t="shared" si="26"/>
        <v>#DIV/0!</v>
      </c>
      <c r="U187" s="126"/>
      <c r="V187" s="493"/>
      <c r="W187" s="493"/>
      <c r="X187" s="493"/>
      <c r="Y187" s="493"/>
      <c r="Z187" s="493"/>
      <c r="AA187" s="493"/>
      <c r="AB187" s="413"/>
      <c r="AC187" s="413"/>
      <c r="AD187" s="413"/>
      <c r="AE187" s="413"/>
      <c r="AF187" s="413"/>
    </row>
    <row r="188" spans="1:32" x14ac:dyDescent="0.25">
      <c r="A188" s="49">
        <f>+'A) Base RI'!A189</f>
        <v>5711</v>
      </c>
      <c r="B188" s="458" t="str">
        <f>+'A) Base RI'!B189</f>
        <v>Commugny</v>
      </c>
      <c r="C188" s="298">
        <f>+'D) Ecrêtage'!C188</f>
        <v>286273.03470547468</v>
      </c>
      <c r="D188" s="430"/>
      <c r="E188" s="430"/>
      <c r="F188" s="430"/>
      <c r="G188" s="430"/>
      <c r="H188" s="428"/>
      <c r="I188" s="298">
        <f t="shared" si="18"/>
        <v>0</v>
      </c>
      <c r="J188" s="278">
        <f t="shared" si="19"/>
        <v>2290184.2776437975</v>
      </c>
      <c r="K188" s="10">
        <f t="shared" si="20"/>
        <v>0</v>
      </c>
      <c r="L188" s="295" t="e">
        <f t="shared" si="21"/>
        <v>#DIV/0!</v>
      </c>
      <c r="M188" s="10"/>
      <c r="N188" s="10"/>
      <c r="O188" s="432"/>
      <c r="P188" s="10">
        <f t="shared" si="22"/>
        <v>286273.03470547468</v>
      </c>
      <c r="Q188" s="14">
        <f t="shared" si="23"/>
        <v>0</v>
      </c>
      <c r="R188" s="2" t="e">
        <f t="shared" si="24"/>
        <v>#DIV/0!</v>
      </c>
      <c r="S188" s="130" t="e">
        <f t="shared" si="25"/>
        <v>#DIV/0!</v>
      </c>
      <c r="T188" s="427" t="e">
        <f t="shared" si="26"/>
        <v>#DIV/0!</v>
      </c>
      <c r="U188" s="126"/>
      <c r="V188" s="493"/>
      <c r="W188" s="493"/>
      <c r="X188" s="493"/>
      <c r="Y188" s="493"/>
      <c r="Z188" s="493"/>
      <c r="AA188" s="493"/>
      <c r="AB188" s="413"/>
      <c r="AC188" s="413"/>
      <c r="AD188" s="413"/>
      <c r="AE188" s="413"/>
      <c r="AF188" s="413"/>
    </row>
    <row r="189" spans="1:32" x14ac:dyDescent="0.25">
      <c r="A189" s="49">
        <f>+'A) Base RI'!A190</f>
        <v>5712</v>
      </c>
      <c r="B189" s="458" t="str">
        <f>+'A) Base RI'!B190</f>
        <v>Coppet</v>
      </c>
      <c r="C189" s="298">
        <f>+'D) Ecrêtage'!C189</f>
        <v>333754.3945283019</v>
      </c>
      <c r="D189" s="430"/>
      <c r="E189" s="430"/>
      <c r="F189" s="430"/>
      <c r="G189" s="430"/>
      <c r="H189" s="428"/>
      <c r="I189" s="298">
        <f t="shared" si="18"/>
        <v>0</v>
      </c>
      <c r="J189" s="278">
        <f t="shared" si="19"/>
        <v>2670035.1562264152</v>
      </c>
      <c r="K189" s="10">
        <f t="shared" si="20"/>
        <v>0</v>
      </c>
      <c r="L189" s="295" t="e">
        <f t="shared" si="21"/>
        <v>#DIV/0!</v>
      </c>
      <c r="M189" s="10"/>
      <c r="N189" s="10"/>
      <c r="O189" s="432"/>
      <c r="P189" s="10">
        <f t="shared" si="22"/>
        <v>333754.3945283019</v>
      </c>
      <c r="Q189" s="14">
        <f t="shared" si="23"/>
        <v>0</v>
      </c>
      <c r="R189" s="2" t="e">
        <f t="shared" si="24"/>
        <v>#DIV/0!</v>
      </c>
      <c r="S189" s="130" t="e">
        <f t="shared" si="25"/>
        <v>#DIV/0!</v>
      </c>
      <c r="T189" s="427" t="e">
        <f t="shared" si="26"/>
        <v>#DIV/0!</v>
      </c>
      <c r="U189" s="126"/>
      <c r="V189" s="493"/>
      <c r="W189" s="493"/>
      <c r="X189" s="493"/>
      <c r="Y189" s="493"/>
      <c r="Z189" s="493"/>
      <c r="AA189" s="493"/>
      <c r="AB189" s="413"/>
      <c r="AC189" s="413"/>
      <c r="AD189" s="413"/>
      <c r="AE189" s="413"/>
      <c r="AF189" s="413"/>
    </row>
    <row r="190" spans="1:32" x14ac:dyDescent="0.25">
      <c r="A190" s="49">
        <f>+'A) Base RI'!A191</f>
        <v>5713</v>
      </c>
      <c r="B190" s="458" t="str">
        <f>+'A) Base RI'!B191</f>
        <v>Crans</v>
      </c>
      <c r="C190" s="298">
        <f>+'D) Ecrêtage'!C190</f>
        <v>302504.79982142855</v>
      </c>
      <c r="D190" s="430"/>
      <c r="E190" s="430"/>
      <c r="F190" s="430"/>
      <c r="G190" s="430"/>
      <c r="H190" s="428"/>
      <c r="I190" s="298">
        <f t="shared" si="18"/>
        <v>0</v>
      </c>
      <c r="J190" s="278">
        <f t="shared" si="19"/>
        <v>2420038.3985714284</v>
      </c>
      <c r="K190" s="10">
        <f t="shared" si="20"/>
        <v>0</v>
      </c>
      <c r="L190" s="295" t="e">
        <f t="shared" si="21"/>
        <v>#DIV/0!</v>
      </c>
      <c r="M190" s="10"/>
      <c r="N190" s="10"/>
      <c r="O190" s="432"/>
      <c r="P190" s="10">
        <f t="shared" si="22"/>
        <v>302504.79982142855</v>
      </c>
      <c r="Q190" s="14">
        <f t="shared" si="23"/>
        <v>0</v>
      </c>
      <c r="R190" s="2" t="e">
        <f t="shared" si="24"/>
        <v>#DIV/0!</v>
      </c>
      <c r="S190" s="130" t="e">
        <f t="shared" si="25"/>
        <v>#DIV/0!</v>
      </c>
      <c r="T190" s="427" t="e">
        <f t="shared" si="26"/>
        <v>#DIV/0!</v>
      </c>
      <c r="U190" s="126"/>
      <c r="V190" s="493"/>
      <c r="W190" s="493"/>
      <c r="X190" s="493"/>
      <c r="Y190" s="493"/>
      <c r="Z190" s="493"/>
      <c r="AA190" s="493"/>
      <c r="AB190" s="413"/>
      <c r="AC190" s="413"/>
      <c r="AD190" s="413"/>
      <c r="AE190" s="413"/>
      <c r="AF190" s="413"/>
    </row>
    <row r="191" spans="1:32" x14ac:dyDescent="0.25">
      <c r="A191" s="49">
        <f>+'A) Base RI'!A192</f>
        <v>5714</v>
      </c>
      <c r="B191" s="458" t="str">
        <f>+'A) Base RI'!B192</f>
        <v>Crassier</v>
      </c>
      <c r="C191" s="298">
        <f>+'D) Ecrêtage'!C191</f>
        <v>62136.029852941167</v>
      </c>
      <c r="D191" s="430"/>
      <c r="E191" s="430"/>
      <c r="F191" s="430"/>
      <c r="G191" s="430"/>
      <c r="H191" s="428"/>
      <c r="I191" s="298">
        <f t="shared" si="18"/>
        <v>0</v>
      </c>
      <c r="J191" s="278">
        <f t="shared" si="19"/>
        <v>497088.23882352933</v>
      </c>
      <c r="K191" s="10">
        <f t="shared" si="20"/>
        <v>0</v>
      </c>
      <c r="L191" s="295" t="e">
        <f t="shared" si="21"/>
        <v>#DIV/0!</v>
      </c>
      <c r="M191" s="10"/>
      <c r="N191" s="10"/>
      <c r="O191" s="432"/>
      <c r="P191" s="10">
        <f t="shared" si="22"/>
        <v>62136.029852941167</v>
      </c>
      <c r="Q191" s="14">
        <f t="shared" si="23"/>
        <v>0</v>
      </c>
      <c r="R191" s="2" t="e">
        <f t="shared" si="24"/>
        <v>#DIV/0!</v>
      </c>
      <c r="S191" s="130" t="e">
        <f t="shared" si="25"/>
        <v>#DIV/0!</v>
      </c>
      <c r="T191" s="427" t="e">
        <f t="shared" si="26"/>
        <v>#DIV/0!</v>
      </c>
      <c r="U191" s="126"/>
      <c r="V191" s="493"/>
      <c r="W191" s="493"/>
      <c r="X191" s="493"/>
      <c r="Y191" s="493"/>
      <c r="Z191" s="493"/>
      <c r="AA191" s="493"/>
      <c r="AB191" s="413"/>
      <c r="AC191" s="413"/>
      <c r="AD191" s="413"/>
      <c r="AE191" s="413"/>
      <c r="AF191" s="413"/>
    </row>
    <row r="192" spans="1:32" x14ac:dyDescent="0.25">
      <c r="A192" s="49">
        <f>+'A) Base RI'!A193</f>
        <v>5715</v>
      </c>
      <c r="B192" s="458" t="str">
        <f>+'A) Base RI'!B193</f>
        <v>Duillier</v>
      </c>
      <c r="C192" s="298">
        <f>+'D) Ecrêtage'!C192</f>
        <v>70395.129393939395</v>
      </c>
      <c r="D192" s="430"/>
      <c r="E192" s="430"/>
      <c r="F192" s="430"/>
      <c r="G192" s="430"/>
      <c r="H192" s="428"/>
      <c r="I192" s="298">
        <f t="shared" si="18"/>
        <v>0</v>
      </c>
      <c r="J192" s="278">
        <f t="shared" si="19"/>
        <v>563161.03515151516</v>
      </c>
      <c r="K192" s="10">
        <f t="shared" si="20"/>
        <v>0</v>
      </c>
      <c r="L192" s="295" t="e">
        <f t="shared" si="21"/>
        <v>#DIV/0!</v>
      </c>
      <c r="M192" s="10"/>
      <c r="N192" s="10"/>
      <c r="O192" s="432"/>
      <c r="P192" s="10">
        <f t="shared" si="22"/>
        <v>70395.129393939395</v>
      </c>
      <c r="Q192" s="14">
        <f t="shared" si="23"/>
        <v>0</v>
      </c>
      <c r="R192" s="2" t="e">
        <f t="shared" si="24"/>
        <v>#DIV/0!</v>
      </c>
      <c r="S192" s="130" t="e">
        <f t="shared" si="25"/>
        <v>#DIV/0!</v>
      </c>
      <c r="T192" s="427" t="e">
        <f t="shared" si="26"/>
        <v>#DIV/0!</v>
      </c>
      <c r="U192" s="126"/>
      <c r="V192" s="493"/>
      <c r="W192" s="493"/>
      <c r="X192" s="493"/>
      <c r="Y192" s="493"/>
      <c r="Z192" s="493"/>
      <c r="AA192" s="493"/>
      <c r="AB192" s="413"/>
      <c r="AC192" s="413"/>
      <c r="AD192" s="413"/>
      <c r="AE192" s="413"/>
      <c r="AF192" s="413"/>
    </row>
    <row r="193" spans="1:42" x14ac:dyDescent="0.25">
      <c r="A193" s="49">
        <f>+'A) Base RI'!A194</f>
        <v>5716</v>
      </c>
      <c r="B193" s="458" t="str">
        <f>+'A) Base RI'!B194</f>
        <v>Eysins</v>
      </c>
      <c r="C193" s="298">
        <f>+'D) Ecrêtage'!C193</f>
        <v>203854.36605042018</v>
      </c>
      <c r="D193" s="430"/>
      <c r="E193" s="430"/>
      <c r="F193" s="430"/>
      <c r="G193" s="430"/>
      <c r="H193" s="428"/>
      <c r="I193" s="298">
        <f t="shared" si="18"/>
        <v>0</v>
      </c>
      <c r="J193" s="278">
        <f t="shared" si="19"/>
        <v>1630834.9284033615</v>
      </c>
      <c r="K193" s="10">
        <f t="shared" si="20"/>
        <v>0</v>
      </c>
      <c r="L193" s="295" t="e">
        <f t="shared" si="21"/>
        <v>#DIV/0!</v>
      </c>
      <c r="M193" s="10"/>
      <c r="N193" s="10"/>
      <c r="O193" s="432"/>
      <c r="P193" s="10">
        <f t="shared" si="22"/>
        <v>203854.36605042018</v>
      </c>
      <c r="Q193" s="14">
        <f t="shared" si="23"/>
        <v>0</v>
      </c>
      <c r="R193" s="2" t="e">
        <f t="shared" si="24"/>
        <v>#DIV/0!</v>
      </c>
      <c r="S193" s="130" t="e">
        <f t="shared" si="25"/>
        <v>#DIV/0!</v>
      </c>
      <c r="T193" s="427" t="e">
        <f t="shared" si="26"/>
        <v>#DIV/0!</v>
      </c>
      <c r="U193" s="126"/>
      <c r="V193" s="493"/>
      <c r="W193" s="493"/>
      <c r="X193" s="493"/>
      <c r="Y193" s="493"/>
      <c r="Z193" s="493"/>
      <c r="AA193" s="493"/>
      <c r="AB193" s="413"/>
      <c r="AC193" s="413"/>
      <c r="AD193" s="413"/>
      <c r="AE193" s="413"/>
      <c r="AF193" s="413"/>
    </row>
    <row r="194" spans="1:42" x14ac:dyDescent="0.25">
      <c r="A194" s="49">
        <f>+'A) Base RI'!A195</f>
        <v>5717</v>
      </c>
      <c r="B194" s="458" t="str">
        <f>+'A) Base RI'!B195</f>
        <v>Founex</v>
      </c>
      <c r="C194" s="298">
        <f>+'D) Ecrêtage'!C194</f>
        <v>390728.72</v>
      </c>
      <c r="D194" s="430"/>
      <c r="E194" s="430"/>
      <c r="F194" s="430"/>
      <c r="G194" s="430"/>
      <c r="H194" s="428"/>
      <c r="I194" s="298">
        <f t="shared" si="18"/>
        <v>0</v>
      </c>
      <c r="J194" s="278">
        <f t="shared" si="19"/>
        <v>3125829.76</v>
      </c>
      <c r="K194" s="10">
        <f t="shared" si="20"/>
        <v>0</v>
      </c>
      <c r="L194" s="295" t="e">
        <f t="shared" si="21"/>
        <v>#DIV/0!</v>
      </c>
      <c r="M194" s="10"/>
      <c r="N194" s="10"/>
      <c r="O194" s="432"/>
      <c r="P194" s="10">
        <f t="shared" si="22"/>
        <v>390728.72</v>
      </c>
      <c r="Q194" s="14">
        <f t="shared" si="23"/>
        <v>0</v>
      </c>
      <c r="R194" s="2" t="e">
        <f t="shared" si="24"/>
        <v>#DIV/0!</v>
      </c>
      <c r="S194" s="130" t="e">
        <f t="shared" si="25"/>
        <v>#DIV/0!</v>
      </c>
      <c r="T194" s="427" t="e">
        <f t="shared" si="26"/>
        <v>#DIV/0!</v>
      </c>
      <c r="U194" s="126"/>
      <c r="V194" s="493"/>
      <c r="W194" s="493"/>
      <c r="X194" s="493"/>
      <c r="Y194" s="493"/>
      <c r="Z194" s="493"/>
      <c r="AA194" s="493"/>
      <c r="AB194" s="413"/>
      <c r="AC194" s="413"/>
      <c r="AD194" s="413"/>
      <c r="AE194" s="413"/>
      <c r="AF194" s="413"/>
    </row>
    <row r="195" spans="1:42" s="258" customFormat="1" x14ac:dyDescent="0.25">
      <c r="A195" s="49">
        <f>+'A) Base RI'!A196</f>
        <v>5718</v>
      </c>
      <c r="B195" s="458" t="str">
        <f>+'A) Base RI'!B196</f>
        <v>Genolier</v>
      </c>
      <c r="C195" s="298">
        <f>+'D) Ecrêtage'!C195</f>
        <v>192274.57272727272</v>
      </c>
      <c r="D195" s="430"/>
      <c r="E195" s="430"/>
      <c r="F195" s="430"/>
      <c r="G195" s="430"/>
      <c r="H195" s="428"/>
      <c r="I195" s="298">
        <f t="shared" si="18"/>
        <v>0</v>
      </c>
      <c r="J195" s="278">
        <f t="shared" si="19"/>
        <v>1538196.5818181818</v>
      </c>
      <c r="K195" s="10">
        <f t="shared" si="20"/>
        <v>0</v>
      </c>
      <c r="L195" s="295" t="e">
        <f t="shared" si="21"/>
        <v>#DIV/0!</v>
      </c>
      <c r="M195" s="10"/>
      <c r="N195" s="10"/>
      <c r="O195" s="431"/>
      <c r="P195" s="256">
        <f t="shared" si="22"/>
        <v>192274.57272727272</v>
      </c>
      <c r="Q195" s="1">
        <f t="shared" si="23"/>
        <v>0</v>
      </c>
      <c r="R195" s="2" t="e">
        <f t="shared" si="24"/>
        <v>#DIV/0!</v>
      </c>
      <c r="S195" s="130" t="e">
        <f t="shared" si="25"/>
        <v>#DIV/0!</v>
      </c>
      <c r="T195" s="427" t="e">
        <f t="shared" si="26"/>
        <v>#DIV/0!</v>
      </c>
      <c r="U195" s="257"/>
      <c r="V195" s="493"/>
      <c r="W195" s="493"/>
      <c r="X195" s="493"/>
      <c r="Y195" s="493"/>
      <c r="Z195" s="493"/>
      <c r="AA195" s="493"/>
      <c r="AB195" s="413"/>
      <c r="AC195" s="413"/>
      <c r="AD195" s="413"/>
      <c r="AE195" s="413"/>
      <c r="AF195" s="413"/>
      <c r="AG195" s="400"/>
      <c r="AH195" s="400"/>
      <c r="AI195" s="400"/>
      <c r="AJ195" s="400"/>
      <c r="AK195" s="400"/>
      <c r="AL195" s="400"/>
      <c r="AM195" s="400"/>
      <c r="AN195" s="400"/>
      <c r="AO195" s="400"/>
      <c r="AP195" s="400"/>
    </row>
    <row r="196" spans="1:42" x14ac:dyDescent="0.25">
      <c r="A196" s="49">
        <f>+'A) Base RI'!A197</f>
        <v>5719</v>
      </c>
      <c r="B196" s="458" t="str">
        <f>+'A) Base RI'!B197</f>
        <v>Gingins</v>
      </c>
      <c r="C196" s="298">
        <f>+'D) Ecrêtage'!C196</f>
        <v>151296.69466666671</v>
      </c>
      <c r="D196" s="430"/>
      <c r="E196" s="430"/>
      <c r="F196" s="430"/>
      <c r="G196" s="430"/>
      <c r="H196" s="428"/>
      <c r="I196" s="298">
        <f t="shared" si="18"/>
        <v>0</v>
      </c>
      <c r="J196" s="278">
        <f t="shared" si="19"/>
        <v>1210373.5573333337</v>
      </c>
      <c r="K196" s="10">
        <f t="shared" si="20"/>
        <v>0</v>
      </c>
      <c r="L196" s="295" t="e">
        <f t="shared" si="21"/>
        <v>#DIV/0!</v>
      </c>
      <c r="M196" s="10"/>
      <c r="N196" s="10"/>
      <c r="O196" s="432"/>
      <c r="P196" s="10">
        <f t="shared" si="22"/>
        <v>151296.69466666671</v>
      </c>
      <c r="Q196" s="14">
        <f t="shared" si="23"/>
        <v>0</v>
      </c>
      <c r="R196" s="2" t="e">
        <f t="shared" si="24"/>
        <v>#DIV/0!</v>
      </c>
      <c r="S196" s="130" t="e">
        <f t="shared" si="25"/>
        <v>#DIV/0!</v>
      </c>
      <c r="T196" s="427" t="e">
        <f t="shared" si="26"/>
        <v>#DIV/0!</v>
      </c>
      <c r="U196" s="126"/>
      <c r="V196" s="493"/>
      <c r="W196" s="493"/>
      <c r="X196" s="493"/>
      <c r="Y196" s="493"/>
      <c r="Z196" s="493"/>
      <c r="AA196" s="493"/>
      <c r="AB196" s="413"/>
      <c r="AC196" s="413"/>
      <c r="AD196" s="413"/>
      <c r="AE196" s="413"/>
      <c r="AF196" s="413"/>
    </row>
    <row r="197" spans="1:42" x14ac:dyDescent="0.25">
      <c r="A197" s="49">
        <f>+'A) Base RI'!A198</f>
        <v>5720</v>
      </c>
      <c r="B197" s="458" t="str">
        <f>+'A) Base RI'!B198</f>
        <v>Givrins</v>
      </c>
      <c r="C197" s="298">
        <f>+'D) Ecrêtage'!C197</f>
        <v>74789.829883913771</v>
      </c>
      <c r="D197" s="430"/>
      <c r="E197" s="430"/>
      <c r="F197" s="430"/>
      <c r="G197" s="430"/>
      <c r="H197" s="428"/>
      <c r="I197" s="298">
        <f t="shared" si="18"/>
        <v>0</v>
      </c>
      <c r="J197" s="278">
        <f t="shared" si="19"/>
        <v>598318.63907131017</v>
      </c>
      <c r="K197" s="10">
        <f t="shared" si="20"/>
        <v>0</v>
      </c>
      <c r="L197" s="295" t="e">
        <f t="shared" si="21"/>
        <v>#DIV/0!</v>
      </c>
      <c r="M197" s="10"/>
      <c r="N197" s="10"/>
      <c r="O197" s="432"/>
      <c r="P197" s="10">
        <f t="shared" si="22"/>
        <v>74789.829883913771</v>
      </c>
      <c r="Q197" s="14">
        <f t="shared" si="23"/>
        <v>0</v>
      </c>
      <c r="R197" s="2" t="e">
        <f t="shared" si="24"/>
        <v>#DIV/0!</v>
      </c>
      <c r="S197" s="130" t="e">
        <f t="shared" si="25"/>
        <v>#DIV/0!</v>
      </c>
      <c r="T197" s="427" t="e">
        <f t="shared" si="26"/>
        <v>#DIV/0!</v>
      </c>
      <c r="U197" s="126"/>
      <c r="V197" s="493"/>
      <c r="W197" s="493"/>
      <c r="X197" s="493"/>
      <c r="Y197" s="493"/>
      <c r="Z197" s="493"/>
      <c r="AA197" s="493"/>
      <c r="AB197" s="413"/>
      <c r="AC197" s="413"/>
      <c r="AD197" s="413"/>
      <c r="AE197" s="413"/>
      <c r="AF197" s="413"/>
    </row>
    <row r="198" spans="1:42" x14ac:dyDescent="0.25">
      <c r="A198" s="49">
        <f>+'A) Base RI'!A199</f>
        <v>5721</v>
      </c>
      <c r="B198" s="458" t="str">
        <f>+'A) Base RI'!B199</f>
        <v>Gland</v>
      </c>
      <c r="C198" s="298">
        <f>+'D) Ecrêtage'!C198</f>
        <v>723023.81196721317</v>
      </c>
      <c r="D198" s="430"/>
      <c r="E198" s="430"/>
      <c r="F198" s="430"/>
      <c r="G198" s="430"/>
      <c r="H198" s="428"/>
      <c r="I198" s="298">
        <f t="shared" ref="I198:I261" si="27">SUM(F198:H198)</f>
        <v>0</v>
      </c>
      <c r="J198" s="278">
        <f t="shared" ref="J198:J261" si="28">+C198*$K$5</f>
        <v>5784190.4957377054</v>
      </c>
      <c r="K198" s="10">
        <f t="shared" ref="K198:K261" si="29">IF(I198&gt;J198,I198-J198,0)</f>
        <v>0</v>
      </c>
      <c r="L198" s="295" t="e">
        <f t="shared" ref="L198:L261" si="30">-K198*L$5</f>
        <v>#DIV/0!</v>
      </c>
      <c r="M198" s="10"/>
      <c r="N198" s="10"/>
      <c r="O198" s="432"/>
      <c r="P198" s="10">
        <f t="shared" ref="P198:P261" si="31">C198*Q$5</f>
        <v>723023.81196721317</v>
      </c>
      <c r="Q198" s="14">
        <f t="shared" ref="Q198:Q261" si="32">IF(O198&gt;P198,O198-P198,0)</f>
        <v>0</v>
      </c>
      <c r="R198" s="2" t="e">
        <f t="shared" ref="R198:R261" si="33">-Q198*R$5</f>
        <v>#DIV/0!</v>
      </c>
      <c r="S198" s="130" t="e">
        <f t="shared" ref="S198:S261" si="34">R198+L198</f>
        <v>#DIV/0!</v>
      </c>
      <c r="T198" s="427" t="e">
        <f t="shared" ref="T198:T261" si="35">+S198/C198</f>
        <v>#DIV/0!</v>
      </c>
      <c r="U198" s="126"/>
      <c r="V198" s="493"/>
      <c r="W198" s="493"/>
      <c r="X198" s="493"/>
      <c r="Y198" s="493"/>
      <c r="Z198" s="493"/>
      <c r="AA198" s="493"/>
      <c r="AB198" s="413"/>
      <c r="AC198" s="413"/>
      <c r="AD198" s="413"/>
      <c r="AE198" s="413"/>
      <c r="AF198" s="413"/>
    </row>
    <row r="199" spans="1:42" x14ac:dyDescent="0.25">
      <c r="A199" s="49">
        <f>+'A) Base RI'!A200</f>
        <v>5722</v>
      </c>
      <c r="B199" s="458" t="str">
        <f>+'A) Base RI'!B200</f>
        <v>Grens</v>
      </c>
      <c r="C199" s="298">
        <f>+'D) Ecrêtage'!C199</f>
        <v>22316.761129032264</v>
      </c>
      <c r="D199" s="430"/>
      <c r="E199" s="430"/>
      <c r="F199" s="430"/>
      <c r="G199" s="430"/>
      <c r="H199" s="428"/>
      <c r="I199" s="298">
        <f t="shared" si="27"/>
        <v>0</v>
      </c>
      <c r="J199" s="278">
        <f t="shared" si="28"/>
        <v>178534.08903225811</v>
      </c>
      <c r="K199" s="10">
        <f t="shared" si="29"/>
        <v>0</v>
      </c>
      <c r="L199" s="295" t="e">
        <f t="shared" si="30"/>
        <v>#DIV/0!</v>
      </c>
      <c r="M199" s="10"/>
      <c r="N199" s="10"/>
      <c r="O199" s="432"/>
      <c r="P199" s="10">
        <f t="shared" si="31"/>
        <v>22316.761129032264</v>
      </c>
      <c r="Q199" s="14">
        <f t="shared" si="32"/>
        <v>0</v>
      </c>
      <c r="R199" s="2" t="e">
        <f t="shared" si="33"/>
        <v>#DIV/0!</v>
      </c>
      <c r="S199" s="130" t="e">
        <f t="shared" si="34"/>
        <v>#DIV/0!</v>
      </c>
      <c r="T199" s="427" t="e">
        <f t="shared" si="35"/>
        <v>#DIV/0!</v>
      </c>
      <c r="U199" s="126"/>
      <c r="V199" s="493"/>
      <c r="W199" s="493"/>
      <c r="X199" s="493"/>
      <c r="Y199" s="493"/>
      <c r="Z199" s="493"/>
      <c r="AA199" s="493"/>
      <c r="AB199" s="413"/>
      <c r="AC199" s="413"/>
      <c r="AD199" s="413"/>
      <c r="AE199" s="413"/>
      <c r="AF199" s="413"/>
    </row>
    <row r="200" spans="1:42" x14ac:dyDescent="0.25">
      <c r="A200" s="49">
        <f>+'A) Base RI'!A201</f>
        <v>5723</v>
      </c>
      <c r="B200" s="458" t="str">
        <f>+'A) Base RI'!B201</f>
        <v>Mies</v>
      </c>
      <c r="C200" s="298">
        <f>+'D) Ecrêtage'!C200</f>
        <v>245974.84538461536</v>
      </c>
      <c r="D200" s="430"/>
      <c r="E200" s="430"/>
      <c r="F200" s="430"/>
      <c r="G200" s="430"/>
      <c r="H200" s="428"/>
      <c r="I200" s="298">
        <f t="shared" si="27"/>
        <v>0</v>
      </c>
      <c r="J200" s="278">
        <f t="shared" si="28"/>
        <v>1967798.7630769229</v>
      </c>
      <c r="K200" s="10">
        <f t="shared" si="29"/>
        <v>0</v>
      </c>
      <c r="L200" s="295" t="e">
        <f t="shared" si="30"/>
        <v>#DIV/0!</v>
      </c>
      <c r="M200" s="10"/>
      <c r="N200" s="10"/>
      <c r="O200" s="432"/>
      <c r="P200" s="10">
        <f t="shared" si="31"/>
        <v>245974.84538461536</v>
      </c>
      <c r="Q200" s="14">
        <f t="shared" si="32"/>
        <v>0</v>
      </c>
      <c r="R200" s="2" t="e">
        <f t="shared" si="33"/>
        <v>#DIV/0!</v>
      </c>
      <c r="S200" s="130" t="e">
        <f t="shared" si="34"/>
        <v>#DIV/0!</v>
      </c>
      <c r="T200" s="427" t="e">
        <f t="shared" si="35"/>
        <v>#DIV/0!</v>
      </c>
      <c r="U200" s="126"/>
      <c r="V200" s="493"/>
      <c r="W200" s="493"/>
      <c r="X200" s="493"/>
      <c r="Y200" s="493"/>
      <c r="Z200" s="493"/>
      <c r="AA200" s="493"/>
      <c r="AB200" s="413"/>
      <c r="AC200" s="413"/>
      <c r="AD200" s="413"/>
      <c r="AE200" s="413"/>
      <c r="AF200" s="413"/>
    </row>
    <row r="201" spans="1:42" x14ac:dyDescent="0.25">
      <c r="A201" s="49">
        <f>+'A) Base RI'!A202</f>
        <v>5724</v>
      </c>
      <c r="B201" s="458" t="str">
        <f>+'A) Base RI'!B202</f>
        <v>Nyon</v>
      </c>
      <c r="C201" s="298">
        <f>+'D) Ecrêtage'!C201</f>
        <v>1461873.0345355188</v>
      </c>
      <c r="D201" s="430"/>
      <c r="E201" s="430"/>
      <c r="F201" s="430"/>
      <c r="G201" s="430"/>
      <c r="H201" s="428"/>
      <c r="I201" s="298">
        <f t="shared" si="27"/>
        <v>0</v>
      </c>
      <c r="J201" s="278">
        <f t="shared" si="28"/>
        <v>11694984.276284151</v>
      </c>
      <c r="K201" s="10">
        <f t="shared" si="29"/>
        <v>0</v>
      </c>
      <c r="L201" s="295" t="e">
        <f t="shared" si="30"/>
        <v>#DIV/0!</v>
      </c>
      <c r="M201" s="10"/>
      <c r="N201" s="10"/>
      <c r="O201" s="432"/>
      <c r="P201" s="10">
        <f t="shared" si="31"/>
        <v>1461873.0345355188</v>
      </c>
      <c r="Q201" s="14">
        <f t="shared" si="32"/>
        <v>0</v>
      </c>
      <c r="R201" s="2" t="e">
        <f t="shared" si="33"/>
        <v>#DIV/0!</v>
      </c>
      <c r="S201" s="130" t="e">
        <f t="shared" si="34"/>
        <v>#DIV/0!</v>
      </c>
      <c r="T201" s="427" t="e">
        <f t="shared" si="35"/>
        <v>#DIV/0!</v>
      </c>
      <c r="U201" s="126"/>
      <c r="V201" s="493"/>
      <c r="W201" s="493"/>
      <c r="X201" s="493"/>
      <c r="Y201" s="493"/>
      <c r="Z201" s="493"/>
      <c r="AA201" s="493"/>
      <c r="AB201" s="413"/>
      <c r="AC201" s="413"/>
      <c r="AD201" s="413"/>
      <c r="AE201" s="413"/>
      <c r="AF201" s="413"/>
    </row>
    <row r="202" spans="1:42" x14ac:dyDescent="0.25">
      <c r="A202" s="49">
        <f>+'A) Base RI'!A203</f>
        <v>5725</v>
      </c>
      <c r="B202" s="458" t="str">
        <f>+'A) Base RI'!B203</f>
        <v>Prangins</v>
      </c>
      <c r="C202" s="298">
        <f>+'D) Ecrêtage'!C202</f>
        <v>355082.58820779232</v>
      </c>
      <c r="D202" s="430"/>
      <c r="E202" s="430"/>
      <c r="F202" s="430"/>
      <c r="G202" s="430"/>
      <c r="H202" s="428"/>
      <c r="I202" s="298">
        <f t="shared" si="27"/>
        <v>0</v>
      </c>
      <c r="J202" s="278">
        <f t="shared" si="28"/>
        <v>2840660.7056623385</v>
      </c>
      <c r="K202" s="10">
        <f t="shared" si="29"/>
        <v>0</v>
      </c>
      <c r="L202" s="295" t="e">
        <f t="shared" si="30"/>
        <v>#DIV/0!</v>
      </c>
      <c r="M202" s="10"/>
      <c r="N202" s="10"/>
      <c r="O202" s="432"/>
      <c r="P202" s="10">
        <f t="shared" si="31"/>
        <v>355082.58820779232</v>
      </c>
      <c r="Q202" s="14">
        <f t="shared" si="32"/>
        <v>0</v>
      </c>
      <c r="R202" s="2" t="e">
        <f t="shared" si="33"/>
        <v>#DIV/0!</v>
      </c>
      <c r="S202" s="130" t="e">
        <f t="shared" si="34"/>
        <v>#DIV/0!</v>
      </c>
      <c r="T202" s="427" t="e">
        <f t="shared" si="35"/>
        <v>#DIV/0!</v>
      </c>
      <c r="U202" s="126"/>
      <c r="V202" s="493"/>
      <c r="W202" s="493"/>
      <c r="X202" s="493"/>
      <c r="Y202" s="493"/>
      <c r="Z202" s="493"/>
      <c r="AA202" s="493"/>
      <c r="AB202" s="413"/>
      <c r="AC202" s="413"/>
      <c r="AD202" s="413"/>
      <c r="AE202" s="413"/>
      <c r="AF202" s="413"/>
    </row>
    <row r="203" spans="1:42" x14ac:dyDescent="0.25">
      <c r="A203" s="49">
        <f>+'A) Base RI'!A204</f>
        <v>5726</v>
      </c>
      <c r="B203" s="458" t="str">
        <f>+'A) Base RI'!B204</f>
        <v>La Rippe</v>
      </c>
      <c r="C203" s="298">
        <f>+'D) Ecrêtage'!C203</f>
        <v>70366.469687500008</v>
      </c>
      <c r="D203" s="430"/>
      <c r="E203" s="430"/>
      <c r="F203" s="430"/>
      <c r="G203" s="430"/>
      <c r="H203" s="428"/>
      <c r="I203" s="298">
        <f t="shared" si="27"/>
        <v>0</v>
      </c>
      <c r="J203" s="278">
        <f t="shared" si="28"/>
        <v>562931.75750000007</v>
      </c>
      <c r="K203" s="10">
        <f t="shared" si="29"/>
        <v>0</v>
      </c>
      <c r="L203" s="295" t="e">
        <f t="shared" si="30"/>
        <v>#DIV/0!</v>
      </c>
      <c r="M203" s="10"/>
      <c r="N203" s="10"/>
      <c r="O203" s="432"/>
      <c r="P203" s="10">
        <f t="shared" si="31"/>
        <v>70366.469687500008</v>
      </c>
      <c r="Q203" s="14">
        <f t="shared" si="32"/>
        <v>0</v>
      </c>
      <c r="R203" s="2" t="e">
        <f t="shared" si="33"/>
        <v>#DIV/0!</v>
      </c>
      <c r="S203" s="130" t="e">
        <f t="shared" si="34"/>
        <v>#DIV/0!</v>
      </c>
      <c r="T203" s="427" t="e">
        <f t="shared" si="35"/>
        <v>#DIV/0!</v>
      </c>
      <c r="U203" s="126"/>
      <c r="V203" s="493"/>
      <c r="W203" s="493"/>
      <c r="X203" s="493"/>
      <c r="Y203" s="493"/>
      <c r="Z203" s="493"/>
      <c r="AA203" s="493"/>
      <c r="AB203" s="413"/>
      <c r="AC203" s="413"/>
      <c r="AD203" s="413"/>
      <c r="AE203" s="413"/>
      <c r="AF203" s="413"/>
    </row>
    <row r="204" spans="1:42" x14ac:dyDescent="0.25">
      <c r="A204" s="49">
        <f>+'A) Base RI'!A205</f>
        <v>5727</v>
      </c>
      <c r="B204" s="458" t="str">
        <f>+'A) Base RI'!B205</f>
        <v>Saint-Cergue</v>
      </c>
      <c r="C204" s="298">
        <f>+'D) Ecrêtage'!C204</f>
        <v>106173.30404040407</v>
      </c>
      <c r="D204" s="430"/>
      <c r="E204" s="430"/>
      <c r="F204" s="430"/>
      <c r="G204" s="430"/>
      <c r="H204" s="428"/>
      <c r="I204" s="298">
        <f t="shared" si="27"/>
        <v>0</v>
      </c>
      <c r="J204" s="278">
        <f t="shared" si="28"/>
        <v>849386.43232323253</v>
      </c>
      <c r="K204" s="10">
        <f t="shared" si="29"/>
        <v>0</v>
      </c>
      <c r="L204" s="295" t="e">
        <f t="shared" si="30"/>
        <v>#DIV/0!</v>
      </c>
      <c r="M204" s="10"/>
      <c r="N204" s="10"/>
      <c r="O204" s="432"/>
      <c r="P204" s="10">
        <f t="shared" si="31"/>
        <v>106173.30404040407</v>
      </c>
      <c r="Q204" s="14">
        <f t="shared" si="32"/>
        <v>0</v>
      </c>
      <c r="R204" s="2" t="e">
        <f t="shared" si="33"/>
        <v>#DIV/0!</v>
      </c>
      <c r="S204" s="130" t="e">
        <f t="shared" si="34"/>
        <v>#DIV/0!</v>
      </c>
      <c r="T204" s="427" t="e">
        <f t="shared" si="35"/>
        <v>#DIV/0!</v>
      </c>
      <c r="U204" s="126"/>
      <c r="V204" s="493"/>
      <c r="W204" s="493"/>
      <c r="X204" s="493"/>
      <c r="Y204" s="493"/>
      <c r="Z204" s="493"/>
      <c r="AA204" s="493"/>
      <c r="AB204" s="413"/>
      <c r="AC204" s="413"/>
      <c r="AD204" s="413"/>
      <c r="AE204" s="413"/>
      <c r="AF204" s="413"/>
    </row>
    <row r="205" spans="1:42" x14ac:dyDescent="0.25">
      <c r="A205" s="49">
        <f>+'A) Base RI'!A206</f>
        <v>5728</v>
      </c>
      <c r="B205" s="458" t="str">
        <f>+'A) Base RI'!B206</f>
        <v>Signy-Avenex</v>
      </c>
      <c r="C205" s="298">
        <f>+'D) Ecrêtage'!C205</f>
        <v>56477.02620689656</v>
      </c>
      <c r="D205" s="430"/>
      <c r="E205" s="430"/>
      <c r="F205" s="430"/>
      <c r="G205" s="430"/>
      <c r="H205" s="428"/>
      <c r="I205" s="298">
        <f t="shared" si="27"/>
        <v>0</v>
      </c>
      <c r="J205" s="278">
        <f t="shared" si="28"/>
        <v>451816.20965517248</v>
      </c>
      <c r="K205" s="10">
        <f t="shared" si="29"/>
        <v>0</v>
      </c>
      <c r="L205" s="295" t="e">
        <f t="shared" si="30"/>
        <v>#DIV/0!</v>
      </c>
      <c r="M205" s="10"/>
      <c r="N205" s="10"/>
      <c r="O205" s="432"/>
      <c r="P205" s="10">
        <f t="shared" si="31"/>
        <v>56477.02620689656</v>
      </c>
      <c r="Q205" s="14">
        <f t="shared" si="32"/>
        <v>0</v>
      </c>
      <c r="R205" s="2" t="e">
        <f t="shared" si="33"/>
        <v>#DIV/0!</v>
      </c>
      <c r="S205" s="130" t="e">
        <f t="shared" si="34"/>
        <v>#DIV/0!</v>
      </c>
      <c r="T205" s="427" t="e">
        <f t="shared" si="35"/>
        <v>#DIV/0!</v>
      </c>
      <c r="U205" s="126"/>
      <c r="V205" s="493"/>
      <c r="W205" s="493"/>
      <c r="X205" s="493"/>
      <c r="Y205" s="493"/>
      <c r="Z205" s="493"/>
      <c r="AA205" s="493"/>
      <c r="AB205" s="413"/>
      <c r="AC205" s="413"/>
      <c r="AD205" s="413"/>
      <c r="AE205" s="413"/>
      <c r="AF205" s="413"/>
    </row>
    <row r="206" spans="1:42" x14ac:dyDescent="0.25">
      <c r="A206" s="49">
        <f>+'A) Base RI'!A207</f>
        <v>5729</v>
      </c>
      <c r="B206" s="458" t="str">
        <f>+'A) Base RI'!B207</f>
        <v>Tannay</v>
      </c>
      <c r="C206" s="298">
        <f>+'D) Ecrêtage'!C206</f>
        <v>161688.04044077132</v>
      </c>
      <c r="D206" s="430"/>
      <c r="E206" s="430"/>
      <c r="F206" s="430"/>
      <c r="G206" s="430"/>
      <c r="H206" s="428"/>
      <c r="I206" s="298">
        <f t="shared" si="27"/>
        <v>0</v>
      </c>
      <c r="J206" s="278">
        <f t="shared" si="28"/>
        <v>1293504.3235261706</v>
      </c>
      <c r="K206" s="10">
        <f t="shared" si="29"/>
        <v>0</v>
      </c>
      <c r="L206" s="295" t="e">
        <f t="shared" si="30"/>
        <v>#DIV/0!</v>
      </c>
      <c r="M206" s="10"/>
      <c r="N206" s="10"/>
      <c r="O206" s="432"/>
      <c r="P206" s="10">
        <f t="shared" si="31"/>
        <v>161688.04044077132</v>
      </c>
      <c r="Q206" s="14">
        <f t="shared" si="32"/>
        <v>0</v>
      </c>
      <c r="R206" s="2" t="e">
        <f t="shared" si="33"/>
        <v>#DIV/0!</v>
      </c>
      <c r="S206" s="130" t="e">
        <f t="shared" si="34"/>
        <v>#DIV/0!</v>
      </c>
      <c r="T206" s="427" t="e">
        <f t="shared" si="35"/>
        <v>#DIV/0!</v>
      </c>
      <c r="U206" s="126"/>
      <c r="V206" s="493"/>
      <c r="W206" s="493"/>
      <c r="X206" s="493"/>
      <c r="Y206" s="493"/>
      <c r="Z206" s="493"/>
      <c r="AA206" s="493"/>
      <c r="AB206" s="413"/>
      <c r="AC206" s="413"/>
      <c r="AD206" s="413"/>
      <c r="AE206" s="413"/>
      <c r="AF206" s="413"/>
    </row>
    <row r="207" spans="1:42" x14ac:dyDescent="0.25">
      <c r="A207" s="49">
        <f>+'A) Base RI'!A208</f>
        <v>5730</v>
      </c>
      <c r="B207" s="458" t="str">
        <f>+'A) Base RI'!B208</f>
        <v>Trélex</v>
      </c>
      <c r="C207" s="298">
        <f>+'D) Ecrêtage'!C207</f>
        <v>125085.64878878882</v>
      </c>
      <c r="D207" s="430"/>
      <c r="E207" s="430"/>
      <c r="F207" s="430"/>
      <c r="G207" s="430"/>
      <c r="H207" s="428"/>
      <c r="I207" s="298">
        <f t="shared" si="27"/>
        <v>0</v>
      </c>
      <c r="J207" s="278">
        <f t="shared" si="28"/>
        <v>1000685.1903103106</v>
      </c>
      <c r="K207" s="10">
        <f t="shared" si="29"/>
        <v>0</v>
      </c>
      <c r="L207" s="295" t="e">
        <f t="shared" si="30"/>
        <v>#DIV/0!</v>
      </c>
      <c r="M207" s="10"/>
      <c r="N207" s="10"/>
      <c r="O207" s="432"/>
      <c r="P207" s="10">
        <f t="shared" si="31"/>
        <v>125085.64878878882</v>
      </c>
      <c r="Q207" s="14">
        <f t="shared" si="32"/>
        <v>0</v>
      </c>
      <c r="R207" s="2" t="e">
        <f t="shared" si="33"/>
        <v>#DIV/0!</v>
      </c>
      <c r="S207" s="130" t="e">
        <f t="shared" si="34"/>
        <v>#DIV/0!</v>
      </c>
      <c r="T207" s="427" t="e">
        <f t="shared" si="35"/>
        <v>#DIV/0!</v>
      </c>
      <c r="U207" s="126"/>
      <c r="V207" s="493"/>
      <c r="W207" s="493"/>
      <c r="X207" s="493"/>
      <c r="Y207" s="493"/>
      <c r="Z207" s="493"/>
      <c r="AA207" s="493"/>
      <c r="AB207" s="413"/>
      <c r="AC207" s="413"/>
      <c r="AD207" s="413"/>
      <c r="AE207" s="413"/>
      <c r="AF207" s="413"/>
    </row>
    <row r="208" spans="1:42" x14ac:dyDescent="0.25">
      <c r="A208" s="49">
        <f>+'A) Base RI'!A209</f>
        <v>5731</v>
      </c>
      <c r="B208" s="458" t="str">
        <f>+'A) Base RI'!B209</f>
        <v>Le Vaud</v>
      </c>
      <c r="C208" s="298">
        <f>+'D) Ecrêtage'!C208</f>
        <v>69596.613288288281</v>
      </c>
      <c r="D208" s="430"/>
      <c r="E208" s="430"/>
      <c r="F208" s="430"/>
      <c r="G208" s="430"/>
      <c r="H208" s="428"/>
      <c r="I208" s="298">
        <f t="shared" si="27"/>
        <v>0</v>
      </c>
      <c r="J208" s="278">
        <f t="shared" si="28"/>
        <v>556772.90630630625</v>
      </c>
      <c r="K208" s="10">
        <f t="shared" si="29"/>
        <v>0</v>
      </c>
      <c r="L208" s="295" t="e">
        <f t="shared" si="30"/>
        <v>#DIV/0!</v>
      </c>
      <c r="M208" s="10"/>
      <c r="N208" s="10"/>
      <c r="O208" s="432"/>
      <c r="P208" s="10">
        <f t="shared" si="31"/>
        <v>69596.613288288281</v>
      </c>
      <c r="Q208" s="14">
        <f t="shared" si="32"/>
        <v>0</v>
      </c>
      <c r="R208" s="2" t="e">
        <f t="shared" si="33"/>
        <v>#DIV/0!</v>
      </c>
      <c r="S208" s="130" t="e">
        <f t="shared" si="34"/>
        <v>#DIV/0!</v>
      </c>
      <c r="T208" s="427" t="e">
        <f t="shared" si="35"/>
        <v>#DIV/0!</v>
      </c>
      <c r="U208" s="126"/>
      <c r="V208" s="493"/>
      <c r="W208" s="493"/>
      <c r="X208" s="493"/>
      <c r="Y208" s="493"/>
      <c r="Z208" s="493"/>
      <c r="AA208" s="493"/>
      <c r="AB208" s="413"/>
      <c r="AC208" s="413"/>
      <c r="AD208" s="413"/>
      <c r="AE208" s="413"/>
      <c r="AF208" s="413"/>
    </row>
    <row r="209" spans="1:32" x14ac:dyDescent="0.25">
      <c r="A209" s="49">
        <f>+'A) Base RI'!A210</f>
        <v>5732</v>
      </c>
      <c r="B209" s="458" t="str">
        <f>+'A) Base RI'!B210</f>
        <v>Vich</v>
      </c>
      <c r="C209" s="298">
        <f>+'D) Ecrêtage'!C209</f>
        <v>86538.031587301579</v>
      </c>
      <c r="D209" s="430"/>
      <c r="E209" s="430"/>
      <c r="F209" s="430"/>
      <c r="G209" s="430"/>
      <c r="H209" s="428"/>
      <c r="I209" s="298">
        <f t="shared" si="27"/>
        <v>0</v>
      </c>
      <c r="J209" s="278">
        <f t="shared" si="28"/>
        <v>692304.25269841263</v>
      </c>
      <c r="K209" s="10">
        <f t="shared" si="29"/>
        <v>0</v>
      </c>
      <c r="L209" s="295" t="e">
        <f t="shared" si="30"/>
        <v>#DIV/0!</v>
      </c>
      <c r="M209" s="10"/>
      <c r="N209" s="10"/>
      <c r="O209" s="432"/>
      <c r="P209" s="10">
        <f t="shared" si="31"/>
        <v>86538.031587301579</v>
      </c>
      <c r="Q209" s="14">
        <f t="shared" si="32"/>
        <v>0</v>
      </c>
      <c r="R209" s="2" t="e">
        <f t="shared" si="33"/>
        <v>#DIV/0!</v>
      </c>
      <c r="S209" s="130" t="e">
        <f t="shared" si="34"/>
        <v>#DIV/0!</v>
      </c>
      <c r="T209" s="427" t="e">
        <f t="shared" si="35"/>
        <v>#DIV/0!</v>
      </c>
      <c r="U209" s="126"/>
      <c r="V209" s="493"/>
      <c r="W209" s="493"/>
      <c r="X209" s="493"/>
      <c r="Y209" s="493"/>
      <c r="Z209" s="493"/>
      <c r="AA209" s="493"/>
      <c r="AB209" s="413"/>
      <c r="AC209" s="413"/>
      <c r="AD209" s="413"/>
      <c r="AE209" s="413"/>
      <c r="AF209" s="413"/>
    </row>
    <row r="210" spans="1:32" x14ac:dyDescent="0.25">
      <c r="A210" s="49">
        <f>+'A) Base RI'!A211</f>
        <v>5741</v>
      </c>
      <c r="B210" s="458" t="str">
        <f>+'A) Base RI'!B211</f>
        <v>L'Abergement</v>
      </c>
      <c r="C210" s="298">
        <f>+'D) Ecrêtage'!C210</f>
        <v>8987.3782921810707</v>
      </c>
      <c r="D210" s="430"/>
      <c r="E210" s="430"/>
      <c r="F210" s="430"/>
      <c r="G210" s="430"/>
      <c r="H210" s="428"/>
      <c r="I210" s="298">
        <f t="shared" si="27"/>
        <v>0</v>
      </c>
      <c r="J210" s="278">
        <f t="shared" si="28"/>
        <v>71899.026337448566</v>
      </c>
      <c r="K210" s="10">
        <f t="shared" si="29"/>
        <v>0</v>
      </c>
      <c r="L210" s="295" t="e">
        <f t="shared" si="30"/>
        <v>#DIV/0!</v>
      </c>
      <c r="M210" s="10"/>
      <c r="N210" s="10"/>
      <c r="O210" s="432"/>
      <c r="P210" s="10">
        <f t="shared" si="31"/>
        <v>8987.3782921810707</v>
      </c>
      <c r="Q210" s="14">
        <f t="shared" si="32"/>
        <v>0</v>
      </c>
      <c r="R210" s="2" t="e">
        <f t="shared" si="33"/>
        <v>#DIV/0!</v>
      </c>
      <c r="S210" s="130" t="e">
        <f t="shared" si="34"/>
        <v>#DIV/0!</v>
      </c>
      <c r="T210" s="427" t="e">
        <f t="shared" si="35"/>
        <v>#DIV/0!</v>
      </c>
      <c r="U210" s="126"/>
      <c r="V210" s="493"/>
      <c r="W210" s="493"/>
      <c r="X210" s="493"/>
      <c r="Y210" s="493"/>
      <c r="Z210" s="493"/>
      <c r="AA210" s="493"/>
      <c r="AB210" s="413"/>
      <c r="AC210" s="413"/>
      <c r="AD210" s="413"/>
      <c r="AE210" s="413"/>
      <c r="AF210" s="413"/>
    </row>
    <row r="211" spans="1:32" x14ac:dyDescent="0.25">
      <c r="A211" s="49">
        <f>+'A) Base RI'!A212</f>
        <v>5742</v>
      </c>
      <c r="B211" s="458" t="str">
        <f>+'A) Base RI'!B212</f>
        <v>Agiez</v>
      </c>
      <c r="C211" s="298">
        <f>+'D) Ecrêtage'!C211</f>
        <v>10160.069605263159</v>
      </c>
      <c r="D211" s="430"/>
      <c r="E211" s="430"/>
      <c r="F211" s="430"/>
      <c r="G211" s="430"/>
      <c r="H211" s="428"/>
      <c r="I211" s="298">
        <f t="shared" si="27"/>
        <v>0</v>
      </c>
      <c r="J211" s="278">
        <f t="shared" si="28"/>
        <v>81280.556842105274</v>
      </c>
      <c r="K211" s="10">
        <f t="shared" si="29"/>
        <v>0</v>
      </c>
      <c r="L211" s="295" t="e">
        <f t="shared" si="30"/>
        <v>#DIV/0!</v>
      </c>
      <c r="M211" s="10"/>
      <c r="N211" s="10"/>
      <c r="O211" s="432"/>
      <c r="P211" s="10">
        <f t="shared" si="31"/>
        <v>10160.069605263159</v>
      </c>
      <c r="Q211" s="14">
        <f t="shared" si="32"/>
        <v>0</v>
      </c>
      <c r="R211" s="2" t="e">
        <f t="shared" si="33"/>
        <v>#DIV/0!</v>
      </c>
      <c r="S211" s="130" t="e">
        <f t="shared" si="34"/>
        <v>#DIV/0!</v>
      </c>
      <c r="T211" s="427" t="e">
        <f t="shared" si="35"/>
        <v>#DIV/0!</v>
      </c>
      <c r="U211" s="126"/>
      <c r="V211" s="493"/>
      <c r="W211" s="493"/>
      <c r="X211" s="493"/>
      <c r="Y211" s="493"/>
      <c r="Z211" s="493"/>
      <c r="AA211" s="493"/>
      <c r="AB211" s="413"/>
      <c r="AC211" s="413"/>
      <c r="AD211" s="413"/>
      <c r="AE211" s="413"/>
      <c r="AF211" s="413"/>
    </row>
    <row r="212" spans="1:32" x14ac:dyDescent="0.25">
      <c r="A212" s="49">
        <f>+'A) Base RI'!A213</f>
        <v>5743</v>
      </c>
      <c r="B212" s="458" t="str">
        <f>+'A) Base RI'!B213</f>
        <v>Arnex-sur-Orbe</v>
      </c>
      <c r="C212" s="298">
        <f>+'D) Ecrêtage'!C212</f>
        <v>18533.117816901413</v>
      </c>
      <c r="D212" s="430"/>
      <c r="E212" s="430"/>
      <c r="F212" s="430"/>
      <c r="G212" s="430"/>
      <c r="H212" s="428"/>
      <c r="I212" s="298">
        <f t="shared" si="27"/>
        <v>0</v>
      </c>
      <c r="J212" s="278">
        <f t="shared" si="28"/>
        <v>148264.9425352113</v>
      </c>
      <c r="K212" s="10">
        <f t="shared" si="29"/>
        <v>0</v>
      </c>
      <c r="L212" s="295" t="e">
        <f t="shared" si="30"/>
        <v>#DIV/0!</v>
      </c>
      <c r="M212" s="10"/>
      <c r="N212" s="10"/>
      <c r="O212" s="432"/>
      <c r="P212" s="10">
        <f t="shared" si="31"/>
        <v>18533.117816901413</v>
      </c>
      <c r="Q212" s="14">
        <f t="shared" si="32"/>
        <v>0</v>
      </c>
      <c r="R212" s="2" t="e">
        <f t="shared" si="33"/>
        <v>#DIV/0!</v>
      </c>
      <c r="S212" s="130" t="e">
        <f t="shared" si="34"/>
        <v>#DIV/0!</v>
      </c>
      <c r="T212" s="427" t="e">
        <f t="shared" si="35"/>
        <v>#DIV/0!</v>
      </c>
      <c r="U212" s="126"/>
      <c r="V212" s="493"/>
      <c r="W212" s="493"/>
      <c r="X212" s="493"/>
      <c r="Y212" s="493"/>
      <c r="Z212" s="493"/>
      <c r="AA212" s="493"/>
      <c r="AB212" s="413"/>
      <c r="AC212" s="413"/>
      <c r="AD212" s="413"/>
      <c r="AE212" s="413"/>
      <c r="AF212" s="413"/>
    </row>
    <row r="213" spans="1:32" x14ac:dyDescent="0.25">
      <c r="A213" s="49">
        <f>+'A) Base RI'!A214</f>
        <v>5744</v>
      </c>
      <c r="B213" s="458" t="str">
        <f>+'A) Base RI'!B214</f>
        <v>Ballaigues</v>
      </c>
      <c r="C213" s="298">
        <f>+'D) Ecrêtage'!C213</f>
        <v>49245.2596923077</v>
      </c>
      <c r="D213" s="430"/>
      <c r="E213" s="430"/>
      <c r="F213" s="430"/>
      <c r="G213" s="430"/>
      <c r="H213" s="428"/>
      <c r="I213" s="298">
        <f t="shared" si="27"/>
        <v>0</v>
      </c>
      <c r="J213" s="278">
        <f t="shared" si="28"/>
        <v>393962.0775384616</v>
      </c>
      <c r="K213" s="10">
        <f t="shared" si="29"/>
        <v>0</v>
      </c>
      <c r="L213" s="295" t="e">
        <f t="shared" si="30"/>
        <v>#DIV/0!</v>
      </c>
      <c r="M213" s="10"/>
      <c r="N213" s="10"/>
      <c r="O213" s="432"/>
      <c r="P213" s="10">
        <f t="shared" si="31"/>
        <v>49245.2596923077</v>
      </c>
      <c r="Q213" s="14">
        <f t="shared" si="32"/>
        <v>0</v>
      </c>
      <c r="R213" s="2" t="e">
        <f t="shared" si="33"/>
        <v>#DIV/0!</v>
      </c>
      <c r="S213" s="130" t="e">
        <f t="shared" si="34"/>
        <v>#DIV/0!</v>
      </c>
      <c r="T213" s="427" t="e">
        <f t="shared" si="35"/>
        <v>#DIV/0!</v>
      </c>
      <c r="U213" s="126"/>
      <c r="V213" s="493"/>
      <c r="W213" s="493"/>
      <c r="X213" s="493"/>
      <c r="Y213" s="493"/>
      <c r="Z213" s="493"/>
      <c r="AA213" s="493"/>
      <c r="AB213" s="413"/>
      <c r="AC213" s="413"/>
      <c r="AD213" s="413"/>
      <c r="AE213" s="413"/>
      <c r="AF213" s="413"/>
    </row>
    <row r="214" spans="1:32" x14ac:dyDescent="0.25">
      <c r="A214" s="49">
        <f>+'A) Base RI'!A215</f>
        <v>5745</v>
      </c>
      <c r="B214" s="458" t="str">
        <f>+'A) Base RI'!B215</f>
        <v>Baulmes</v>
      </c>
      <c r="C214" s="298">
        <f>+'D) Ecrêtage'!C214</f>
        <v>28471.572156862745</v>
      </c>
      <c r="D214" s="430"/>
      <c r="E214" s="430"/>
      <c r="F214" s="430"/>
      <c r="G214" s="430"/>
      <c r="H214" s="428"/>
      <c r="I214" s="298">
        <f t="shared" si="27"/>
        <v>0</v>
      </c>
      <c r="J214" s="278">
        <f t="shared" si="28"/>
        <v>227772.57725490196</v>
      </c>
      <c r="K214" s="10">
        <f t="shared" si="29"/>
        <v>0</v>
      </c>
      <c r="L214" s="295" t="e">
        <f t="shared" si="30"/>
        <v>#DIV/0!</v>
      </c>
      <c r="M214" s="10"/>
      <c r="N214" s="10"/>
      <c r="O214" s="432"/>
      <c r="P214" s="10">
        <f t="shared" si="31"/>
        <v>28471.572156862745</v>
      </c>
      <c r="Q214" s="14">
        <f t="shared" si="32"/>
        <v>0</v>
      </c>
      <c r="R214" s="2" t="e">
        <f t="shared" si="33"/>
        <v>#DIV/0!</v>
      </c>
      <c r="S214" s="130" t="e">
        <f t="shared" si="34"/>
        <v>#DIV/0!</v>
      </c>
      <c r="T214" s="427" t="e">
        <f t="shared" si="35"/>
        <v>#DIV/0!</v>
      </c>
      <c r="U214" s="126"/>
      <c r="V214" s="493"/>
      <c r="W214" s="493"/>
      <c r="X214" s="493"/>
      <c r="Y214" s="493"/>
      <c r="Z214" s="493"/>
      <c r="AA214" s="493"/>
      <c r="AB214" s="413"/>
      <c r="AC214" s="413"/>
      <c r="AD214" s="413"/>
      <c r="AE214" s="413"/>
      <c r="AF214" s="413"/>
    </row>
    <row r="215" spans="1:32" x14ac:dyDescent="0.25">
      <c r="A215" s="49">
        <f>+'A) Base RI'!A216</f>
        <v>5746</v>
      </c>
      <c r="B215" s="458" t="str">
        <f>+'A) Base RI'!B216</f>
        <v>Bavois</v>
      </c>
      <c r="C215" s="298">
        <f>+'D) Ecrêtage'!C215</f>
        <v>27408.124908675796</v>
      </c>
      <c r="D215" s="430"/>
      <c r="E215" s="430"/>
      <c r="F215" s="430"/>
      <c r="G215" s="430"/>
      <c r="H215" s="428"/>
      <c r="I215" s="298">
        <f t="shared" si="27"/>
        <v>0</v>
      </c>
      <c r="J215" s="278">
        <f t="shared" si="28"/>
        <v>219264.99926940637</v>
      </c>
      <c r="K215" s="10">
        <f t="shared" si="29"/>
        <v>0</v>
      </c>
      <c r="L215" s="295" t="e">
        <f t="shared" si="30"/>
        <v>#DIV/0!</v>
      </c>
      <c r="M215" s="10"/>
      <c r="N215" s="10"/>
      <c r="O215" s="432"/>
      <c r="P215" s="10">
        <f t="shared" si="31"/>
        <v>27408.124908675796</v>
      </c>
      <c r="Q215" s="14">
        <f t="shared" si="32"/>
        <v>0</v>
      </c>
      <c r="R215" s="2" t="e">
        <f t="shared" si="33"/>
        <v>#DIV/0!</v>
      </c>
      <c r="S215" s="130" t="e">
        <f t="shared" si="34"/>
        <v>#DIV/0!</v>
      </c>
      <c r="T215" s="427" t="e">
        <f t="shared" si="35"/>
        <v>#DIV/0!</v>
      </c>
      <c r="U215" s="126"/>
      <c r="V215" s="493"/>
      <c r="W215" s="493"/>
      <c r="X215" s="493"/>
      <c r="Y215" s="493"/>
      <c r="Z215" s="493"/>
      <c r="AA215" s="493"/>
      <c r="AB215" s="413"/>
      <c r="AC215" s="413"/>
      <c r="AD215" s="413"/>
      <c r="AE215" s="413"/>
      <c r="AF215" s="413"/>
    </row>
    <row r="216" spans="1:32" x14ac:dyDescent="0.25">
      <c r="A216" s="49">
        <f>+'A) Base RI'!A217</f>
        <v>5747</v>
      </c>
      <c r="B216" s="458" t="str">
        <f>+'A) Base RI'!B217</f>
        <v>Bofflens</v>
      </c>
      <c r="C216" s="298">
        <f>+'D) Ecrêtage'!C216</f>
        <v>5808.1759420289845</v>
      </c>
      <c r="D216" s="430"/>
      <c r="E216" s="430"/>
      <c r="F216" s="430"/>
      <c r="G216" s="430"/>
      <c r="H216" s="428"/>
      <c r="I216" s="298">
        <f t="shared" si="27"/>
        <v>0</v>
      </c>
      <c r="J216" s="278">
        <f t="shared" si="28"/>
        <v>46465.407536231876</v>
      </c>
      <c r="K216" s="10">
        <f t="shared" si="29"/>
        <v>0</v>
      </c>
      <c r="L216" s="295" t="e">
        <f t="shared" si="30"/>
        <v>#DIV/0!</v>
      </c>
      <c r="M216" s="10"/>
      <c r="N216" s="10"/>
      <c r="O216" s="432"/>
      <c r="P216" s="10">
        <f t="shared" si="31"/>
        <v>5808.1759420289845</v>
      </c>
      <c r="Q216" s="14">
        <f t="shared" si="32"/>
        <v>0</v>
      </c>
      <c r="R216" s="2" t="e">
        <f t="shared" si="33"/>
        <v>#DIV/0!</v>
      </c>
      <c r="S216" s="130" t="e">
        <f t="shared" si="34"/>
        <v>#DIV/0!</v>
      </c>
      <c r="T216" s="427" t="e">
        <f t="shared" si="35"/>
        <v>#DIV/0!</v>
      </c>
      <c r="U216" s="126"/>
      <c r="V216" s="493"/>
      <c r="W216" s="493"/>
      <c r="X216" s="493"/>
      <c r="Y216" s="493"/>
      <c r="Z216" s="493"/>
      <c r="AA216" s="493"/>
      <c r="AB216" s="413"/>
      <c r="AC216" s="413"/>
      <c r="AD216" s="413"/>
      <c r="AE216" s="413"/>
      <c r="AF216" s="413"/>
    </row>
    <row r="217" spans="1:32" x14ac:dyDescent="0.25">
      <c r="A217" s="49">
        <f>+'A) Base RI'!A218</f>
        <v>5748</v>
      </c>
      <c r="B217" s="458" t="str">
        <f>+'A) Base RI'!B218</f>
        <v>Bretonnières</v>
      </c>
      <c r="C217" s="298">
        <f>+'D) Ecrêtage'!C217</f>
        <v>6643.6153664302601</v>
      </c>
      <c r="D217" s="430"/>
      <c r="E217" s="430"/>
      <c r="F217" s="430"/>
      <c r="G217" s="430"/>
      <c r="H217" s="428"/>
      <c r="I217" s="298">
        <f t="shared" si="27"/>
        <v>0</v>
      </c>
      <c r="J217" s="278">
        <f t="shared" si="28"/>
        <v>53148.922931442081</v>
      </c>
      <c r="K217" s="10">
        <f t="shared" si="29"/>
        <v>0</v>
      </c>
      <c r="L217" s="295" t="e">
        <f t="shared" si="30"/>
        <v>#DIV/0!</v>
      </c>
      <c r="M217" s="10"/>
      <c r="N217" s="10"/>
      <c r="O217" s="432"/>
      <c r="P217" s="10">
        <f t="shared" si="31"/>
        <v>6643.6153664302601</v>
      </c>
      <c r="Q217" s="14">
        <f t="shared" si="32"/>
        <v>0</v>
      </c>
      <c r="R217" s="2" t="e">
        <f t="shared" si="33"/>
        <v>#DIV/0!</v>
      </c>
      <c r="S217" s="130" t="e">
        <f t="shared" si="34"/>
        <v>#DIV/0!</v>
      </c>
      <c r="T217" s="427" t="e">
        <f t="shared" si="35"/>
        <v>#DIV/0!</v>
      </c>
      <c r="U217" s="126"/>
      <c r="V217" s="493"/>
      <c r="W217" s="493"/>
      <c r="X217" s="493"/>
      <c r="Y217" s="493"/>
      <c r="Z217" s="493"/>
      <c r="AA217" s="493"/>
      <c r="AB217" s="413"/>
      <c r="AC217" s="413"/>
      <c r="AD217" s="413"/>
      <c r="AE217" s="413"/>
      <c r="AF217" s="413"/>
    </row>
    <row r="218" spans="1:32" x14ac:dyDescent="0.25">
      <c r="A218" s="49">
        <f>+'A) Base RI'!A219</f>
        <v>5749</v>
      </c>
      <c r="B218" s="458" t="str">
        <f>+'A) Base RI'!B219</f>
        <v>Chavornay</v>
      </c>
      <c r="C218" s="298">
        <f>+'D) Ecrêtage'!C218</f>
        <v>153338.61687943264</v>
      </c>
      <c r="D218" s="430"/>
      <c r="E218" s="430"/>
      <c r="F218" s="430"/>
      <c r="G218" s="430"/>
      <c r="H218" s="428"/>
      <c r="I218" s="298">
        <f t="shared" si="27"/>
        <v>0</v>
      </c>
      <c r="J218" s="278">
        <f t="shared" si="28"/>
        <v>1226708.9350354611</v>
      </c>
      <c r="K218" s="10">
        <f t="shared" si="29"/>
        <v>0</v>
      </c>
      <c r="L218" s="295" t="e">
        <f t="shared" si="30"/>
        <v>#DIV/0!</v>
      </c>
      <c r="M218" s="10"/>
      <c r="N218" s="10"/>
      <c r="O218" s="432"/>
      <c r="P218" s="10">
        <f t="shared" si="31"/>
        <v>153338.61687943264</v>
      </c>
      <c r="Q218" s="14">
        <f t="shared" si="32"/>
        <v>0</v>
      </c>
      <c r="R218" s="2" t="e">
        <f t="shared" si="33"/>
        <v>#DIV/0!</v>
      </c>
      <c r="S218" s="130" t="e">
        <f t="shared" si="34"/>
        <v>#DIV/0!</v>
      </c>
      <c r="T218" s="427" t="e">
        <f t="shared" si="35"/>
        <v>#DIV/0!</v>
      </c>
      <c r="U218" s="126"/>
      <c r="V218" s="493"/>
      <c r="W218" s="493"/>
      <c r="X218" s="493"/>
      <c r="Y218" s="493"/>
      <c r="Z218" s="493"/>
      <c r="AA218" s="493"/>
      <c r="AB218" s="413"/>
      <c r="AC218" s="413"/>
      <c r="AD218" s="413"/>
      <c r="AE218" s="413"/>
      <c r="AF218" s="413"/>
    </row>
    <row r="219" spans="1:32" x14ac:dyDescent="0.25">
      <c r="A219" s="49">
        <f>+'A) Base RI'!A220</f>
        <v>5750</v>
      </c>
      <c r="B219" s="458" t="str">
        <f>+'A) Base RI'!B220</f>
        <v>Les Clées</v>
      </c>
      <c r="C219" s="298">
        <f>+'D) Ecrêtage'!C219</f>
        <v>4819.774166666667</v>
      </c>
      <c r="D219" s="430"/>
      <c r="E219" s="430"/>
      <c r="F219" s="430"/>
      <c r="G219" s="430"/>
      <c r="H219" s="428"/>
      <c r="I219" s="298">
        <f t="shared" si="27"/>
        <v>0</v>
      </c>
      <c r="J219" s="278">
        <f t="shared" si="28"/>
        <v>38558.193333333336</v>
      </c>
      <c r="K219" s="10">
        <f t="shared" si="29"/>
        <v>0</v>
      </c>
      <c r="L219" s="295" t="e">
        <f t="shared" si="30"/>
        <v>#DIV/0!</v>
      </c>
      <c r="M219" s="10"/>
      <c r="N219" s="10"/>
      <c r="O219" s="432"/>
      <c r="P219" s="10">
        <f t="shared" si="31"/>
        <v>4819.774166666667</v>
      </c>
      <c r="Q219" s="14">
        <f t="shared" si="32"/>
        <v>0</v>
      </c>
      <c r="R219" s="2" t="e">
        <f t="shared" si="33"/>
        <v>#DIV/0!</v>
      </c>
      <c r="S219" s="130" t="e">
        <f t="shared" si="34"/>
        <v>#DIV/0!</v>
      </c>
      <c r="T219" s="427" t="e">
        <f t="shared" si="35"/>
        <v>#DIV/0!</v>
      </c>
      <c r="U219" s="126"/>
      <c r="V219" s="493"/>
      <c r="W219" s="493"/>
      <c r="X219" s="493"/>
      <c r="Y219" s="493"/>
      <c r="Z219" s="493"/>
      <c r="AA219" s="493"/>
      <c r="AB219" s="413"/>
      <c r="AC219" s="413"/>
      <c r="AD219" s="413"/>
      <c r="AE219" s="413"/>
      <c r="AF219" s="413"/>
    </row>
    <row r="220" spans="1:32" x14ac:dyDescent="0.25">
      <c r="A220" s="49">
        <f>+'A) Base RI'!A221</f>
        <v>5752</v>
      </c>
      <c r="B220" s="458" t="str">
        <f>+'A) Base RI'!B221</f>
        <v>Croy</v>
      </c>
      <c r="C220" s="298">
        <f>+'D) Ecrêtage'!C220</f>
        <v>9670.9952316602321</v>
      </c>
      <c r="D220" s="430"/>
      <c r="E220" s="430"/>
      <c r="F220" s="430"/>
      <c r="G220" s="430"/>
      <c r="H220" s="428"/>
      <c r="I220" s="298">
        <f t="shared" si="27"/>
        <v>0</v>
      </c>
      <c r="J220" s="278">
        <f t="shared" si="28"/>
        <v>77367.961853281857</v>
      </c>
      <c r="K220" s="10">
        <f t="shared" si="29"/>
        <v>0</v>
      </c>
      <c r="L220" s="295" t="e">
        <f t="shared" si="30"/>
        <v>#DIV/0!</v>
      </c>
      <c r="M220" s="10"/>
      <c r="N220" s="10"/>
      <c r="O220" s="432"/>
      <c r="P220" s="10">
        <f t="shared" si="31"/>
        <v>9670.9952316602321</v>
      </c>
      <c r="Q220" s="14">
        <f t="shared" si="32"/>
        <v>0</v>
      </c>
      <c r="R220" s="2" t="e">
        <f t="shared" si="33"/>
        <v>#DIV/0!</v>
      </c>
      <c r="S220" s="130" t="e">
        <f t="shared" si="34"/>
        <v>#DIV/0!</v>
      </c>
      <c r="T220" s="427" t="e">
        <f t="shared" si="35"/>
        <v>#DIV/0!</v>
      </c>
      <c r="U220" s="126"/>
      <c r="V220" s="493"/>
      <c r="W220" s="493"/>
      <c r="X220" s="493"/>
      <c r="Y220" s="493"/>
      <c r="Z220" s="493"/>
      <c r="AA220" s="493"/>
      <c r="AB220" s="413"/>
      <c r="AC220" s="413"/>
      <c r="AD220" s="413"/>
      <c r="AE220" s="413"/>
      <c r="AF220" s="413"/>
    </row>
    <row r="221" spans="1:32" x14ac:dyDescent="0.25">
      <c r="A221" s="49">
        <f>+'A) Base RI'!A222</f>
        <v>5754</v>
      </c>
      <c r="B221" s="458" t="str">
        <f>+'A) Base RI'!B222</f>
        <v>Juriens</v>
      </c>
      <c r="C221" s="298">
        <f>+'D) Ecrêtage'!C221</f>
        <v>9073.6935443037964</v>
      </c>
      <c r="D221" s="430"/>
      <c r="E221" s="430"/>
      <c r="F221" s="430"/>
      <c r="G221" s="430"/>
      <c r="H221" s="428"/>
      <c r="I221" s="298">
        <f t="shared" si="27"/>
        <v>0</v>
      </c>
      <c r="J221" s="278">
        <f t="shared" si="28"/>
        <v>72589.548354430372</v>
      </c>
      <c r="K221" s="10">
        <f t="shared" si="29"/>
        <v>0</v>
      </c>
      <c r="L221" s="295" t="e">
        <f t="shared" si="30"/>
        <v>#DIV/0!</v>
      </c>
      <c r="M221" s="10"/>
      <c r="N221" s="10"/>
      <c r="O221" s="432"/>
      <c r="P221" s="10">
        <f t="shared" si="31"/>
        <v>9073.6935443037964</v>
      </c>
      <c r="Q221" s="14">
        <f t="shared" si="32"/>
        <v>0</v>
      </c>
      <c r="R221" s="2" t="e">
        <f t="shared" si="33"/>
        <v>#DIV/0!</v>
      </c>
      <c r="S221" s="130" t="e">
        <f t="shared" si="34"/>
        <v>#DIV/0!</v>
      </c>
      <c r="T221" s="427" t="e">
        <f t="shared" si="35"/>
        <v>#DIV/0!</v>
      </c>
      <c r="U221" s="126"/>
      <c r="V221" s="493"/>
      <c r="W221" s="493"/>
      <c r="X221" s="493"/>
      <c r="Y221" s="493"/>
      <c r="Z221" s="493"/>
      <c r="AA221" s="493"/>
      <c r="AB221" s="413"/>
      <c r="AC221" s="413"/>
      <c r="AD221" s="413"/>
      <c r="AE221" s="413"/>
      <c r="AF221" s="413"/>
    </row>
    <row r="222" spans="1:32" x14ac:dyDescent="0.25">
      <c r="A222" s="49">
        <f>+'A) Base RI'!A223</f>
        <v>5755</v>
      </c>
      <c r="B222" s="458" t="str">
        <f>+'A) Base RI'!B223</f>
        <v>Lignerolle</v>
      </c>
      <c r="C222" s="298">
        <f>+'D) Ecrêtage'!C222</f>
        <v>10746.718034576888</v>
      </c>
      <c r="D222" s="430"/>
      <c r="E222" s="430"/>
      <c r="F222" s="430"/>
      <c r="G222" s="430"/>
      <c r="H222" s="428"/>
      <c r="I222" s="298">
        <f t="shared" si="27"/>
        <v>0</v>
      </c>
      <c r="J222" s="278">
        <f t="shared" si="28"/>
        <v>85973.744276615107</v>
      </c>
      <c r="K222" s="10">
        <f t="shared" si="29"/>
        <v>0</v>
      </c>
      <c r="L222" s="295" t="e">
        <f t="shared" si="30"/>
        <v>#DIV/0!</v>
      </c>
      <c r="M222" s="10"/>
      <c r="N222" s="10"/>
      <c r="O222" s="432"/>
      <c r="P222" s="10">
        <f t="shared" si="31"/>
        <v>10746.718034576888</v>
      </c>
      <c r="Q222" s="14">
        <f t="shared" si="32"/>
        <v>0</v>
      </c>
      <c r="R222" s="2" t="e">
        <f t="shared" si="33"/>
        <v>#DIV/0!</v>
      </c>
      <c r="S222" s="130" t="e">
        <f t="shared" si="34"/>
        <v>#DIV/0!</v>
      </c>
      <c r="T222" s="427" t="e">
        <f t="shared" si="35"/>
        <v>#DIV/0!</v>
      </c>
      <c r="U222" s="126"/>
      <c r="V222" s="493"/>
      <c r="W222" s="493"/>
      <c r="X222" s="493"/>
      <c r="Y222" s="493"/>
      <c r="Z222" s="493"/>
      <c r="AA222" s="493"/>
      <c r="AB222" s="413"/>
      <c r="AC222" s="413"/>
      <c r="AD222" s="413"/>
      <c r="AE222" s="413"/>
      <c r="AF222" s="413"/>
    </row>
    <row r="223" spans="1:32" x14ac:dyDescent="0.25">
      <c r="A223" s="49">
        <f>+'A) Base RI'!A224</f>
        <v>5756</v>
      </c>
      <c r="B223" s="458" t="str">
        <f>+'A) Base RI'!B224</f>
        <v>Montcherand</v>
      </c>
      <c r="C223" s="298">
        <f>+'D) Ecrêtage'!C223</f>
        <v>17739.52444444444</v>
      </c>
      <c r="D223" s="430"/>
      <c r="E223" s="430"/>
      <c r="F223" s="430"/>
      <c r="G223" s="430"/>
      <c r="H223" s="428"/>
      <c r="I223" s="298">
        <f t="shared" si="27"/>
        <v>0</v>
      </c>
      <c r="J223" s="278">
        <f t="shared" si="28"/>
        <v>141916.19555555552</v>
      </c>
      <c r="K223" s="10">
        <f t="shared" si="29"/>
        <v>0</v>
      </c>
      <c r="L223" s="295" t="e">
        <f t="shared" si="30"/>
        <v>#DIV/0!</v>
      </c>
      <c r="M223" s="10"/>
      <c r="N223" s="10"/>
      <c r="O223" s="432"/>
      <c r="P223" s="10">
        <f t="shared" si="31"/>
        <v>17739.52444444444</v>
      </c>
      <c r="Q223" s="14">
        <f t="shared" si="32"/>
        <v>0</v>
      </c>
      <c r="R223" s="2" t="e">
        <f t="shared" si="33"/>
        <v>#DIV/0!</v>
      </c>
      <c r="S223" s="130" t="e">
        <f t="shared" si="34"/>
        <v>#DIV/0!</v>
      </c>
      <c r="T223" s="427" t="e">
        <f t="shared" si="35"/>
        <v>#DIV/0!</v>
      </c>
      <c r="U223" s="126"/>
      <c r="V223" s="493"/>
      <c r="W223" s="493"/>
      <c r="X223" s="493"/>
      <c r="Y223" s="493"/>
      <c r="Z223" s="493"/>
      <c r="AA223" s="493"/>
      <c r="AB223" s="413"/>
      <c r="AC223" s="413"/>
      <c r="AD223" s="413"/>
      <c r="AE223" s="413"/>
      <c r="AF223" s="413"/>
    </row>
    <row r="224" spans="1:32" x14ac:dyDescent="0.25">
      <c r="A224" s="49">
        <f>+'A) Base RI'!A225</f>
        <v>5757</v>
      </c>
      <c r="B224" s="458" t="str">
        <f>+'A) Base RI'!B225</f>
        <v>Orbe</v>
      </c>
      <c r="C224" s="298">
        <f>+'D) Ecrêtage'!C224</f>
        <v>216184.82317880794</v>
      </c>
      <c r="D224" s="430"/>
      <c r="E224" s="430"/>
      <c r="F224" s="430"/>
      <c r="G224" s="430"/>
      <c r="H224" s="428"/>
      <c r="I224" s="298">
        <f t="shared" si="27"/>
        <v>0</v>
      </c>
      <c r="J224" s="278">
        <f t="shared" si="28"/>
        <v>1729478.5854304635</v>
      </c>
      <c r="K224" s="10">
        <f t="shared" si="29"/>
        <v>0</v>
      </c>
      <c r="L224" s="295" t="e">
        <f t="shared" si="30"/>
        <v>#DIV/0!</v>
      </c>
      <c r="M224" s="10"/>
      <c r="N224" s="10"/>
      <c r="O224" s="432"/>
      <c r="P224" s="10">
        <f t="shared" si="31"/>
        <v>216184.82317880794</v>
      </c>
      <c r="Q224" s="14">
        <f t="shared" si="32"/>
        <v>0</v>
      </c>
      <c r="R224" s="2" t="e">
        <f t="shared" si="33"/>
        <v>#DIV/0!</v>
      </c>
      <c r="S224" s="130" t="e">
        <f t="shared" si="34"/>
        <v>#DIV/0!</v>
      </c>
      <c r="T224" s="427" t="e">
        <f t="shared" si="35"/>
        <v>#DIV/0!</v>
      </c>
      <c r="U224" s="126"/>
      <c r="V224" s="493"/>
      <c r="W224" s="493"/>
      <c r="X224" s="493"/>
      <c r="Y224" s="493"/>
      <c r="Z224" s="493"/>
      <c r="AA224" s="493"/>
      <c r="AB224" s="413"/>
      <c r="AC224" s="413"/>
      <c r="AD224" s="413"/>
      <c r="AE224" s="413"/>
      <c r="AF224" s="413"/>
    </row>
    <row r="225" spans="1:32" x14ac:dyDescent="0.25">
      <c r="A225" s="49">
        <f>+'A) Base RI'!A226</f>
        <v>5758</v>
      </c>
      <c r="B225" s="458" t="str">
        <f>+'A) Base RI'!B226</f>
        <v>La Praz</v>
      </c>
      <c r="C225" s="298">
        <f>+'D) Ecrêtage'!C225</f>
        <v>4771.8661445783146</v>
      </c>
      <c r="D225" s="430"/>
      <c r="E225" s="430"/>
      <c r="F225" s="430"/>
      <c r="G225" s="430"/>
      <c r="H225" s="428"/>
      <c r="I225" s="298">
        <f t="shared" si="27"/>
        <v>0</v>
      </c>
      <c r="J225" s="278">
        <f t="shared" si="28"/>
        <v>38174.929156626516</v>
      </c>
      <c r="K225" s="10">
        <f t="shared" si="29"/>
        <v>0</v>
      </c>
      <c r="L225" s="295" t="e">
        <f t="shared" si="30"/>
        <v>#DIV/0!</v>
      </c>
      <c r="M225" s="10"/>
      <c r="N225" s="10"/>
      <c r="O225" s="432"/>
      <c r="P225" s="10">
        <f t="shared" si="31"/>
        <v>4771.8661445783146</v>
      </c>
      <c r="Q225" s="14">
        <f t="shared" si="32"/>
        <v>0</v>
      </c>
      <c r="R225" s="2" t="e">
        <f t="shared" si="33"/>
        <v>#DIV/0!</v>
      </c>
      <c r="S225" s="130" t="e">
        <f t="shared" si="34"/>
        <v>#DIV/0!</v>
      </c>
      <c r="T225" s="427" t="e">
        <f t="shared" si="35"/>
        <v>#DIV/0!</v>
      </c>
      <c r="U225" s="126"/>
      <c r="V225" s="493"/>
      <c r="W225" s="493"/>
      <c r="X225" s="493"/>
      <c r="Y225" s="493"/>
      <c r="Z225" s="493"/>
      <c r="AA225" s="493"/>
      <c r="AB225" s="413"/>
      <c r="AC225" s="413"/>
      <c r="AD225" s="413"/>
      <c r="AE225" s="413"/>
      <c r="AF225" s="413"/>
    </row>
    <row r="226" spans="1:32" x14ac:dyDescent="0.25">
      <c r="A226" s="49">
        <f>+'A) Base RI'!A227</f>
        <v>5759</v>
      </c>
      <c r="B226" s="458" t="str">
        <f>+'A) Base RI'!B227</f>
        <v>Premier</v>
      </c>
      <c r="C226" s="298">
        <f>+'D) Ecrêtage'!C226</f>
        <v>5900.0572327044019</v>
      </c>
      <c r="D226" s="430"/>
      <c r="E226" s="430"/>
      <c r="F226" s="430"/>
      <c r="G226" s="430"/>
      <c r="H226" s="428"/>
      <c r="I226" s="298">
        <f t="shared" si="27"/>
        <v>0</v>
      </c>
      <c r="J226" s="278">
        <f t="shared" si="28"/>
        <v>47200.457861635216</v>
      </c>
      <c r="K226" s="10">
        <f t="shared" si="29"/>
        <v>0</v>
      </c>
      <c r="L226" s="295" t="e">
        <f t="shared" si="30"/>
        <v>#DIV/0!</v>
      </c>
      <c r="M226" s="10"/>
      <c r="N226" s="10"/>
      <c r="O226" s="432"/>
      <c r="P226" s="10">
        <f t="shared" si="31"/>
        <v>5900.0572327044019</v>
      </c>
      <c r="Q226" s="14">
        <f t="shared" si="32"/>
        <v>0</v>
      </c>
      <c r="R226" s="2" t="e">
        <f t="shared" si="33"/>
        <v>#DIV/0!</v>
      </c>
      <c r="S226" s="130" t="e">
        <f t="shared" si="34"/>
        <v>#DIV/0!</v>
      </c>
      <c r="T226" s="427" t="e">
        <f t="shared" si="35"/>
        <v>#DIV/0!</v>
      </c>
      <c r="U226" s="126"/>
      <c r="V226" s="493"/>
      <c r="W226" s="493"/>
      <c r="X226" s="493"/>
      <c r="Y226" s="493"/>
      <c r="Z226" s="493"/>
      <c r="AA226" s="493"/>
      <c r="AB226" s="413"/>
      <c r="AC226" s="413"/>
      <c r="AD226" s="413"/>
      <c r="AE226" s="413"/>
      <c r="AF226" s="413"/>
    </row>
    <row r="227" spans="1:32" x14ac:dyDescent="0.25">
      <c r="A227" s="49">
        <f>+'A) Base RI'!A228</f>
        <v>5760</v>
      </c>
      <c r="B227" s="458" t="str">
        <f>+'A) Base RI'!B228</f>
        <v>Rances</v>
      </c>
      <c r="C227" s="298">
        <f>+'D) Ecrêtage'!C227</f>
        <v>14481.892461873636</v>
      </c>
      <c r="D227" s="430"/>
      <c r="E227" s="430"/>
      <c r="F227" s="430"/>
      <c r="G227" s="430"/>
      <c r="H227" s="428"/>
      <c r="I227" s="298">
        <f t="shared" si="27"/>
        <v>0</v>
      </c>
      <c r="J227" s="278">
        <f t="shared" si="28"/>
        <v>115855.13969498909</v>
      </c>
      <c r="K227" s="10">
        <f t="shared" si="29"/>
        <v>0</v>
      </c>
      <c r="L227" s="295" t="e">
        <f t="shared" si="30"/>
        <v>#DIV/0!</v>
      </c>
      <c r="M227" s="10"/>
      <c r="N227" s="10"/>
      <c r="O227" s="432"/>
      <c r="P227" s="10">
        <f t="shared" si="31"/>
        <v>14481.892461873636</v>
      </c>
      <c r="Q227" s="14">
        <f t="shared" si="32"/>
        <v>0</v>
      </c>
      <c r="R227" s="2" t="e">
        <f t="shared" si="33"/>
        <v>#DIV/0!</v>
      </c>
      <c r="S227" s="130" t="e">
        <f t="shared" si="34"/>
        <v>#DIV/0!</v>
      </c>
      <c r="T227" s="427" t="e">
        <f t="shared" si="35"/>
        <v>#DIV/0!</v>
      </c>
      <c r="U227" s="126"/>
      <c r="V227" s="493"/>
      <c r="W227" s="493"/>
      <c r="X227" s="493"/>
      <c r="Y227" s="493"/>
      <c r="Z227" s="493"/>
      <c r="AA227" s="493"/>
      <c r="AB227" s="413"/>
      <c r="AC227" s="413"/>
      <c r="AD227" s="413"/>
      <c r="AE227" s="413"/>
      <c r="AF227" s="413"/>
    </row>
    <row r="228" spans="1:32" x14ac:dyDescent="0.25">
      <c r="A228" s="49">
        <f>+'A) Base RI'!A229</f>
        <v>5761</v>
      </c>
      <c r="B228" s="458" t="str">
        <f>+'A) Base RI'!B229</f>
        <v>Romainmôtier-Envy</v>
      </c>
      <c r="C228" s="298">
        <f>+'D) Ecrêtage'!C228</f>
        <v>12913.984792368126</v>
      </c>
      <c r="D228" s="430"/>
      <c r="E228" s="430"/>
      <c r="F228" s="430"/>
      <c r="G228" s="430"/>
      <c r="H228" s="428"/>
      <c r="I228" s="298">
        <f t="shared" si="27"/>
        <v>0</v>
      </c>
      <c r="J228" s="278">
        <f t="shared" si="28"/>
        <v>103311.87833894501</v>
      </c>
      <c r="K228" s="10">
        <f t="shared" si="29"/>
        <v>0</v>
      </c>
      <c r="L228" s="295" t="e">
        <f t="shared" si="30"/>
        <v>#DIV/0!</v>
      </c>
      <c r="M228" s="10"/>
      <c r="N228" s="10"/>
      <c r="O228" s="432"/>
      <c r="P228" s="10">
        <f t="shared" si="31"/>
        <v>12913.984792368126</v>
      </c>
      <c r="Q228" s="14">
        <f t="shared" si="32"/>
        <v>0</v>
      </c>
      <c r="R228" s="2" t="e">
        <f t="shared" si="33"/>
        <v>#DIV/0!</v>
      </c>
      <c r="S228" s="130" t="e">
        <f t="shared" si="34"/>
        <v>#DIV/0!</v>
      </c>
      <c r="T228" s="427" t="e">
        <f t="shared" si="35"/>
        <v>#DIV/0!</v>
      </c>
      <c r="U228" s="126"/>
      <c r="V228" s="493"/>
      <c r="W228" s="493"/>
      <c r="X228" s="493"/>
      <c r="Y228" s="493"/>
      <c r="Z228" s="493"/>
      <c r="AA228" s="493"/>
      <c r="AB228" s="413"/>
      <c r="AC228" s="413"/>
      <c r="AD228" s="413"/>
      <c r="AE228" s="413"/>
      <c r="AF228" s="413"/>
    </row>
    <row r="229" spans="1:32" x14ac:dyDescent="0.25">
      <c r="A229" s="49">
        <f>+'A) Base RI'!A230</f>
        <v>5762</v>
      </c>
      <c r="B229" s="458" t="str">
        <f>+'A) Base RI'!B230</f>
        <v>Sergey</v>
      </c>
      <c r="C229" s="298">
        <f>+'D) Ecrêtage'!C229</f>
        <v>3849.6283333333336</v>
      </c>
      <c r="D229" s="430"/>
      <c r="E229" s="430"/>
      <c r="F229" s="430"/>
      <c r="G229" s="430"/>
      <c r="H229" s="428"/>
      <c r="I229" s="298">
        <f t="shared" si="27"/>
        <v>0</v>
      </c>
      <c r="J229" s="278">
        <f t="shared" si="28"/>
        <v>30797.026666666668</v>
      </c>
      <c r="K229" s="10">
        <f t="shared" si="29"/>
        <v>0</v>
      </c>
      <c r="L229" s="295" t="e">
        <f t="shared" si="30"/>
        <v>#DIV/0!</v>
      </c>
      <c r="M229" s="10"/>
      <c r="N229" s="10"/>
      <c r="O229" s="432"/>
      <c r="P229" s="10">
        <f t="shared" si="31"/>
        <v>3849.6283333333336</v>
      </c>
      <c r="Q229" s="14">
        <f t="shared" si="32"/>
        <v>0</v>
      </c>
      <c r="R229" s="2" t="e">
        <f t="shared" si="33"/>
        <v>#DIV/0!</v>
      </c>
      <c r="S229" s="130" t="e">
        <f t="shared" si="34"/>
        <v>#DIV/0!</v>
      </c>
      <c r="T229" s="427" t="e">
        <f t="shared" si="35"/>
        <v>#DIV/0!</v>
      </c>
      <c r="U229" s="126"/>
      <c r="V229" s="493"/>
      <c r="W229" s="493"/>
      <c r="X229" s="493"/>
      <c r="Y229" s="493"/>
      <c r="Z229" s="493"/>
      <c r="AA229" s="493"/>
      <c r="AB229" s="413"/>
      <c r="AC229" s="413"/>
      <c r="AD229" s="413"/>
      <c r="AE229" s="413"/>
      <c r="AF229" s="413"/>
    </row>
    <row r="230" spans="1:32" x14ac:dyDescent="0.25">
      <c r="A230" s="49">
        <f>+'A) Base RI'!A231</f>
        <v>5763</v>
      </c>
      <c r="B230" s="458" t="str">
        <f>+'A) Base RI'!B231</f>
        <v>Valeyres-sous-Rances</v>
      </c>
      <c r="C230" s="298">
        <f>+'D) Ecrêtage'!C230</f>
        <v>22663.97352941176</v>
      </c>
      <c r="D230" s="430"/>
      <c r="E230" s="430"/>
      <c r="F230" s="430"/>
      <c r="G230" s="430"/>
      <c r="H230" s="428"/>
      <c r="I230" s="298">
        <f t="shared" si="27"/>
        <v>0</v>
      </c>
      <c r="J230" s="278">
        <f t="shared" si="28"/>
        <v>181311.78823529408</v>
      </c>
      <c r="K230" s="10">
        <f t="shared" si="29"/>
        <v>0</v>
      </c>
      <c r="L230" s="295" t="e">
        <f t="shared" si="30"/>
        <v>#DIV/0!</v>
      </c>
      <c r="M230" s="10"/>
      <c r="N230" s="10"/>
      <c r="O230" s="432"/>
      <c r="P230" s="10">
        <f t="shared" si="31"/>
        <v>22663.97352941176</v>
      </c>
      <c r="Q230" s="14">
        <f t="shared" si="32"/>
        <v>0</v>
      </c>
      <c r="R230" s="2" t="e">
        <f t="shared" si="33"/>
        <v>#DIV/0!</v>
      </c>
      <c r="S230" s="130" t="e">
        <f t="shared" si="34"/>
        <v>#DIV/0!</v>
      </c>
      <c r="T230" s="427" t="e">
        <f t="shared" si="35"/>
        <v>#DIV/0!</v>
      </c>
      <c r="U230" s="126"/>
      <c r="V230" s="493"/>
      <c r="W230" s="493"/>
      <c r="X230" s="493"/>
      <c r="Y230" s="493"/>
      <c r="Z230" s="493"/>
      <c r="AA230" s="493"/>
      <c r="AB230" s="413"/>
      <c r="AC230" s="413"/>
      <c r="AD230" s="413"/>
      <c r="AE230" s="413"/>
      <c r="AF230" s="413"/>
    </row>
    <row r="231" spans="1:32" x14ac:dyDescent="0.25">
      <c r="A231" s="49">
        <f>+'A) Base RI'!A232</f>
        <v>5764</v>
      </c>
      <c r="B231" s="458" t="str">
        <f>+'A) Base RI'!B232</f>
        <v>Vallorbe</v>
      </c>
      <c r="C231" s="298">
        <f>+'D) Ecrêtage'!C231</f>
        <v>83682.382797202779</v>
      </c>
      <c r="D231" s="430"/>
      <c r="E231" s="430"/>
      <c r="F231" s="430"/>
      <c r="G231" s="430"/>
      <c r="H231" s="428"/>
      <c r="I231" s="298">
        <f t="shared" si="27"/>
        <v>0</v>
      </c>
      <c r="J231" s="278">
        <f t="shared" si="28"/>
        <v>669459.06237762223</v>
      </c>
      <c r="K231" s="10">
        <f t="shared" si="29"/>
        <v>0</v>
      </c>
      <c r="L231" s="295" t="e">
        <f t="shared" si="30"/>
        <v>#DIV/0!</v>
      </c>
      <c r="M231" s="10"/>
      <c r="N231" s="10"/>
      <c r="O231" s="432"/>
      <c r="P231" s="10">
        <f t="shared" si="31"/>
        <v>83682.382797202779</v>
      </c>
      <c r="Q231" s="14">
        <f t="shared" si="32"/>
        <v>0</v>
      </c>
      <c r="R231" s="2" t="e">
        <f t="shared" si="33"/>
        <v>#DIV/0!</v>
      </c>
      <c r="S231" s="130" t="e">
        <f t="shared" si="34"/>
        <v>#DIV/0!</v>
      </c>
      <c r="T231" s="427" t="e">
        <f t="shared" si="35"/>
        <v>#DIV/0!</v>
      </c>
      <c r="U231" s="126"/>
      <c r="V231" s="493"/>
      <c r="W231" s="493"/>
      <c r="X231" s="493"/>
      <c r="Y231" s="493"/>
      <c r="Z231" s="493"/>
      <c r="AA231" s="493"/>
      <c r="AB231" s="413"/>
      <c r="AC231" s="413"/>
      <c r="AD231" s="413"/>
      <c r="AE231" s="413"/>
      <c r="AF231" s="413"/>
    </row>
    <row r="232" spans="1:32" x14ac:dyDescent="0.25">
      <c r="A232" s="49">
        <f>+'A) Base RI'!A233</f>
        <v>5765</v>
      </c>
      <c r="B232" s="458" t="str">
        <f>+'A) Base RI'!B233</f>
        <v>Vaulion</v>
      </c>
      <c r="C232" s="298">
        <f>+'D) Ecrêtage'!C232</f>
        <v>10279.479012345679</v>
      </c>
      <c r="D232" s="430"/>
      <c r="E232" s="430"/>
      <c r="F232" s="430"/>
      <c r="G232" s="430"/>
      <c r="H232" s="428"/>
      <c r="I232" s="298">
        <f t="shared" si="27"/>
        <v>0</v>
      </c>
      <c r="J232" s="278">
        <f t="shared" si="28"/>
        <v>82235.83209876543</v>
      </c>
      <c r="K232" s="10">
        <f t="shared" si="29"/>
        <v>0</v>
      </c>
      <c r="L232" s="295" t="e">
        <f t="shared" si="30"/>
        <v>#DIV/0!</v>
      </c>
      <c r="M232" s="10"/>
      <c r="N232" s="10"/>
      <c r="O232" s="432"/>
      <c r="P232" s="10">
        <f t="shared" si="31"/>
        <v>10279.479012345679</v>
      </c>
      <c r="Q232" s="14">
        <f t="shared" si="32"/>
        <v>0</v>
      </c>
      <c r="R232" s="2" t="e">
        <f t="shared" si="33"/>
        <v>#DIV/0!</v>
      </c>
      <c r="S232" s="130" t="e">
        <f t="shared" si="34"/>
        <v>#DIV/0!</v>
      </c>
      <c r="T232" s="427" t="e">
        <f t="shared" si="35"/>
        <v>#DIV/0!</v>
      </c>
      <c r="U232" s="126"/>
      <c r="V232" s="493"/>
      <c r="W232" s="493"/>
      <c r="X232" s="493"/>
      <c r="Y232" s="493"/>
      <c r="Z232" s="493"/>
      <c r="AA232" s="493"/>
      <c r="AB232" s="413"/>
      <c r="AC232" s="413"/>
      <c r="AD232" s="413"/>
      <c r="AE232" s="413"/>
      <c r="AF232" s="413"/>
    </row>
    <row r="233" spans="1:32" x14ac:dyDescent="0.25">
      <c r="A233" s="49">
        <f>+'A) Base RI'!A234</f>
        <v>5766</v>
      </c>
      <c r="B233" s="458" t="str">
        <f>+'A) Base RI'!B234</f>
        <v>Vuiteboeuf</v>
      </c>
      <c r="C233" s="298">
        <f>+'D) Ecrêtage'!C233</f>
        <v>15554.101904761903</v>
      </c>
      <c r="D233" s="430"/>
      <c r="E233" s="430"/>
      <c r="F233" s="430"/>
      <c r="G233" s="430"/>
      <c r="H233" s="428"/>
      <c r="I233" s="298">
        <f t="shared" si="27"/>
        <v>0</v>
      </c>
      <c r="J233" s="278">
        <f t="shared" si="28"/>
        <v>124432.81523809522</v>
      </c>
      <c r="K233" s="10">
        <f t="shared" si="29"/>
        <v>0</v>
      </c>
      <c r="L233" s="295" t="e">
        <f t="shared" si="30"/>
        <v>#DIV/0!</v>
      </c>
      <c r="M233" s="10"/>
      <c r="N233" s="10"/>
      <c r="O233" s="432"/>
      <c r="P233" s="10">
        <f t="shared" si="31"/>
        <v>15554.101904761903</v>
      </c>
      <c r="Q233" s="14">
        <f t="shared" si="32"/>
        <v>0</v>
      </c>
      <c r="R233" s="2" t="e">
        <f t="shared" si="33"/>
        <v>#DIV/0!</v>
      </c>
      <c r="S233" s="130" t="e">
        <f t="shared" si="34"/>
        <v>#DIV/0!</v>
      </c>
      <c r="T233" s="427" t="e">
        <f t="shared" si="35"/>
        <v>#DIV/0!</v>
      </c>
      <c r="U233" s="126"/>
      <c r="V233" s="493"/>
      <c r="W233" s="493"/>
      <c r="X233" s="493"/>
      <c r="Y233" s="493"/>
      <c r="Z233" s="493"/>
      <c r="AA233" s="493"/>
      <c r="AB233" s="413"/>
      <c r="AC233" s="413"/>
      <c r="AD233" s="413"/>
      <c r="AE233" s="413"/>
      <c r="AF233" s="413"/>
    </row>
    <row r="234" spans="1:32" x14ac:dyDescent="0.25">
      <c r="A234" s="49">
        <f>+'A) Base RI'!A235</f>
        <v>5785</v>
      </c>
      <c r="B234" s="458" t="str">
        <f>+'A) Base RI'!B235</f>
        <v>Corcelles-le-Jorat</v>
      </c>
      <c r="C234" s="298">
        <f>+'D) Ecrêtage'!C234</f>
        <v>14579.940909090908</v>
      </c>
      <c r="D234" s="430"/>
      <c r="E234" s="430"/>
      <c r="F234" s="430"/>
      <c r="G234" s="430"/>
      <c r="H234" s="428"/>
      <c r="I234" s="298">
        <f t="shared" si="27"/>
        <v>0</v>
      </c>
      <c r="J234" s="278">
        <f t="shared" si="28"/>
        <v>116639.52727272727</v>
      </c>
      <c r="K234" s="10">
        <f t="shared" si="29"/>
        <v>0</v>
      </c>
      <c r="L234" s="295" t="e">
        <f t="shared" si="30"/>
        <v>#DIV/0!</v>
      </c>
      <c r="M234" s="10"/>
      <c r="N234" s="10"/>
      <c r="O234" s="432"/>
      <c r="P234" s="10">
        <f t="shared" si="31"/>
        <v>14579.940909090908</v>
      </c>
      <c r="Q234" s="14">
        <f t="shared" si="32"/>
        <v>0</v>
      </c>
      <c r="R234" s="2" t="e">
        <f t="shared" si="33"/>
        <v>#DIV/0!</v>
      </c>
      <c r="S234" s="130" t="e">
        <f t="shared" si="34"/>
        <v>#DIV/0!</v>
      </c>
      <c r="T234" s="427" t="e">
        <f t="shared" si="35"/>
        <v>#DIV/0!</v>
      </c>
      <c r="U234" s="126"/>
      <c r="V234" s="493"/>
      <c r="W234" s="493"/>
      <c r="X234" s="493"/>
      <c r="Y234" s="493"/>
      <c r="Z234" s="493"/>
      <c r="AA234" s="493"/>
      <c r="AB234" s="413"/>
      <c r="AC234" s="413"/>
      <c r="AD234" s="413"/>
      <c r="AE234" s="413"/>
      <c r="AF234" s="413"/>
    </row>
    <row r="235" spans="1:32" x14ac:dyDescent="0.25">
      <c r="A235" s="49">
        <f>+'A) Base RI'!A236</f>
        <v>5788</v>
      </c>
      <c r="B235" s="458" t="str">
        <f>+'A) Base RI'!B236</f>
        <v>Essertes</v>
      </c>
      <c r="C235" s="298">
        <f>+'D) Ecrêtage'!C235</f>
        <v>13314.951048951047</v>
      </c>
      <c r="D235" s="430"/>
      <c r="E235" s="430"/>
      <c r="F235" s="430"/>
      <c r="G235" s="430"/>
      <c r="H235" s="428"/>
      <c r="I235" s="298">
        <f t="shared" si="27"/>
        <v>0</v>
      </c>
      <c r="J235" s="278">
        <f t="shared" si="28"/>
        <v>106519.60839160837</v>
      </c>
      <c r="K235" s="10">
        <f t="shared" si="29"/>
        <v>0</v>
      </c>
      <c r="L235" s="295" t="e">
        <f t="shared" si="30"/>
        <v>#DIV/0!</v>
      </c>
      <c r="M235" s="10"/>
      <c r="N235" s="10"/>
      <c r="O235" s="432"/>
      <c r="P235" s="10">
        <f t="shared" si="31"/>
        <v>13314.951048951047</v>
      </c>
      <c r="Q235" s="14">
        <f t="shared" si="32"/>
        <v>0</v>
      </c>
      <c r="R235" s="2" t="e">
        <f t="shared" si="33"/>
        <v>#DIV/0!</v>
      </c>
      <c r="S235" s="130" t="e">
        <f t="shared" si="34"/>
        <v>#DIV/0!</v>
      </c>
      <c r="T235" s="427" t="e">
        <f t="shared" si="35"/>
        <v>#DIV/0!</v>
      </c>
      <c r="U235" s="126"/>
      <c r="V235" s="493"/>
      <c r="W235" s="493"/>
      <c r="X235" s="493"/>
      <c r="Y235" s="493"/>
      <c r="Z235" s="493"/>
      <c r="AA235" s="493"/>
      <c r="AB235" s="413"/>
      <c r="AC235" s="413"/>
      <c r="AD235" s="413"/>
      <c r="AE235" s="413"/>
      <c r="AF235" s="413"/>
    </row>
    <row r="236" spans="1:32" x14ac:dyDescent="0.25">
      <c r="A236" s="49">
        <f>+'A) Base RI'!A237</f>
        <v>5790</v>
      </c>
      <c r="B236" s="458" t="str">
        <f>+'A) Base RI'!B237</f>
        <v>Maracon</v>
      </c>
      <c r="C236" s="298">
        <f>+'D) Ecrêtage'!C236</f>
        <v>15172.050604026846</v>
      </c>
      <c r="D236" s="430"/>
      <c r="E236" s="430"/>
      <c r="F236" s="430"/>
      <c r="G236" s="430"/>
      <c r="H236" s="428"/>
      <c r="I236" s="298">
        <f t="shared" si="27"/>
        <v>0</v>
      </c>
      <c r="J236" s="278">
        <f t="shared" si="28"/>
        <v>121376.40483221477</v>
      </c>
      <c r="K236" s="10">
        <f t="shared" si="29"/>
        <v>0</v>
      </c>
      <c r="L236" s="295" t="e">
        <f t="shared" si="30"/>
        <v>#DIV/0!</v>
      </c>
      <c r="M236" s="10"/>
      <c r="N236" s="10"/>
      <c r="O236" s="432"/>
      <c r="P236" s="10">
        <f t="shared" si="31"/>
        <v>15172.050604026846</v>
      </c>
      <c r="Q236" s="14">
        <f t="shared" si="32"/>
        <v>0</v>
      </c>
      <c r="R236" s="2" t="e">
        <f t="shared" si="33"/>
        <v>#DIV/0!</v>
      </c>
      <c r="S236" s="130" t="e">
        <f t="shared" si="34"/>
        <v>#DIV/0!</v>
      </c>
      <c r="T236" s="427" t="e">
        <f t="shared" si="35"/>
        <v>#DIV/0!</v>
      </c>
      <c r="U236" s="126"/>
      <c r="V236" s="493"/>
      <c r="W236" s="493"/>
      <c r="X236" s="493"/>
      <c r="Y236" s="493"/>
      <c r="Z236" s="493"/>
      <c r="AA236" s="493"/>
      <c r="AB236" s="413"/>
      <c r="AC236" s="413"/>
      <c r="AD236" s="413"/>
      <c r="AE236" s="413"/>
      <c r="AF236" s="413"/>
    </row>
    <row r="237" spans="1:32" x14ac:dyDescent="0.25">
      <c r="A237" s="49">
        <f>+'A) Base RI'!A238</f>
        <v>5792</v>
      </c>
      <c r="B237" s="458" t="str">
        <f>+'A) Base RI'!B238</f>
        <v>Montpreveyres</v>
      </c>
      <c r="C237" s="298">
        <f>+'D) Ecrêtage'!C237</f>
        <v>20145.836291390729</v>
      </c>
      <c r="D237" s="430"/>
      <c r="E237" s="430"/>
      <c r="F237" s="430"/>
      <c r="G237" s="430"/>
      <c r="H237" s="428"/>
      <c r="I237" s="298">
        <f t="shared" si="27"/>
        <v>0</v>
      </c>
      <c r="J237" s="278">
        <f t="shared" si="28"/>
        <v>161166.69033112584</v>
      </c>
      <c r="K237" s="10">
        <f t="shared" si="29"/>
        <v>0</v>
      </c>
      <c r="L237" s="295" t="e">
        <f t="shared" si="30"/>
        <v>#DIV/0!</v>
      </c>
      <c r="M237" s="10"/>
      <c r="N237" s="10"/>
      <c r="O237" s="432"/>
      <c r="P237" s="10">
        <f t="shared" si="31"/>
        <v>20145.836291390729</v>
      </c>
      <c r="Q237" s="14">
        <f t="shared" si="32"/>
        <v>0</v>
      </c>
      <c r="R237" s="2" t="e">
        <f t="shared" si="33"/>
        <v>#DIV/0!</v>
      </c>
      <c r="S237" s="130" t="e">
        <f t="shared" si="34"/>
        <v>#DIV/0!</v>
      </c>
      <c r="T237" s="427" t="e">
        <f t="shared" si="35"/>
        <v>#DIV/0!</v>
      </c>
      <c r="U237" s="126"/>
      <c r="V237" s="493"/>
      <c r="W237" s="493"/>
      <c r="X237" s="493"/>
      <c r="Y237" s="493"/>
      <c r="Z237" s="493"/>
      <c r="AA237" s="493"/>
      <c r="AB237" s="413"/>
      <c r="AC237" s="413"/>
      <c r="AD237" s="413"/>
      <c r="AE237" s="413"/>
      <c r="AF237" s="413"/>
    </row>
    <row r="238" spans="1:32" x14ac:dyDescent="0.25">
      <c r="A238" s="49">
        <f>+'A) Base RI'!A239</f>
        <v>5798</v>
      </c>
      <c r="B238" s="458" t="str">
        <f>+'A) Base RI'!B239</f>
        <v>Ropraz</v>
      </c>
      <c r="C238" s="298">
        <f>+'D) Ecrêtage'!C238</f>
        <v>17444.805161290325</v>
      </c>
      <c r="D238" s="430"/>
      <c r="E238" s="430"/>
      <c r="F238" s="430"/>
      <c r="G238" s="430"/>
      <c r="H238" s="428"/>
      <c r="I238" s="298">
        <f t="shared" si="27"/>
        <v>0</v>
      </c>
      <c r="J238" s="278">
        <f t="shared" si="28"/>
        <v>139558.4412903226</v>
      </c>
      <c r="K238" s="10">
        <f t="shared" si="29"/>
        <v>0</v>
      </c>
      <c r="L238" s="295" t="e">
        <f t="shared" si="30"/>
        <v>#DIV/0!</v>
      </c>
      <c r="M238" s="10"/>
      <c r="N238" s="10"/>
      <c r="O238" s="432"/>
      <c r="P238" s="10">
        <f t="shared" si="31"/>
        <v>17444.805161290325</v>
      </c>
      <c r="Q238" s="14">
        <f t="shared" si="32"/>
        <v>0</v>
      </c>
      <c r="R238" s="2" t="e">
        <f t="shared" si="33"/>
        <v>#DIV/0!</v>
      </c>
      <c r="S238" s="130" t="e">
        <f t="shared" si="34"/>
        <v>#DIV/0!</v>
      </c>
      <c r="T238" s="427" t="e">
        <f t="shared" si="35"/>
        <v>#DIV/0!</v>
      </c>
      <c r="U238" s="126"/>
      <c r="V238" s="493"/>
      <c r="W238" s="493"/>
      <c r="X238" s="493"/>
      <c r="Y238" s="493"/>
      <c r="Z238" s="493"/>
      <c r="AA238" s="493"/>
      <c r="AB238" s="413"/>
      <c r="AC238" s="413"/>
      <c r="AD238" s="413"/>
      <c r="AE238" s="413"/>
      <c r="AF238" s="413"/>
    </row>
    <row r="239" spans="1:32" x14ac:dyDescent="0.25">
      <c r="A239" s="49">
        <f>+'A) Base RI'!A240</f>
        <v>5799</v>
      </c>
      <c r="B239" s="458" t="str">
        <f>+'A) Base RI'!B240</f>
        <v>Servion</v>
      </c>
      <c r="C239" s="298">
        <f>+'D) Ecrêtage'!C239</f>
        <v>71744.263478260895</v>
      </c>
      <c r="D239" s="430"/>
      <c r="E239" s="430"/>
      <c r="F239" s="430"/>
      <c r="G239" s="430"/>
      <c r="H239" s="428"/>
      <c r="I239" s="298">
        <f t="shared" si="27"/>
        <v>0</v>
      </c>
      <c r="J239" s="278">
        <f t="shared" si="28"/>
        <v>573954.10782608716</v>
      </c>
      <c r="K239" s="10">
        <f t="shared" si="29"/>
        <v>0</v>
      </c>
      <c r="L239" s="295" t="e">
        <f t="shared" si="30"/>
        <v>#DIV/0!</v>
      </c>
      <c r="M239" s="10"/>
      <c r="N239" s="10"/>
      <c r="O239" s="432"/>
      <c r="P239" s="10">
        <f t="shared" si="31"/>
        <v>71744.263478260895</v>
      </c>
      <c r="Q239" s="14">
        <f t="shared" si="32"/>
        <v>0</v>
      </c>
      <c r="R239" s="2" t="e">
        <f t="shared" si="33"/>
        <v>#DIV/0!</v>
      </c>
      <c r="S239" s="130" t="e">
        <f t="shared" si="34"/>
        <v>#DIV/0!</v>
      </c>
      <c r="T239" s="427" t="e">
        <f t="shared" si="35"/>
        <v>#DIV/0!</v>
      </c>
      <c r="U239" s="126"/>
      <c r="V239" s="493"/>
      <c r="W239" s="493"/>
      <c r="X239" s="493"/>
      <c r="Y239" s="493"/>
      <c r="Z239" s="493"/>
      <c r="AA239" s="493"/>
      <c r="AB239" s="413"/>
      <c r="AC239" s="413"/>
      <c r="AD239" s="413"/>
      <c r="AE239" s="413"/>
      <c r="AF239" s="413"/>
    </row>
    <row r="240" spans="1:32" x14ac:dyDescent="0.25">
      <c r="A240" s="49">
        <f>+'A) Base RI'!A241</f>
        <v>5803</v>
      </c>
      <c r="B240" s="458" t="str">
        <f>+'A) Base RI'!B241</f>
        <v>Vulliens</v>
      </c>
      <c r="C240" s="298">
        <f>+'D) Ecrêtage'!C240</f>
        <v>17996.188026315795</v>
      </c>
      <c r="D240" s="430"/>
      <c r="E240" s="430"/>
      <c r="F240" s="430"/>
      <c r="G240" s="430"/>
      <c r="H240" s="428"/>
      <c r="I240" s="298">
        <f t="shared" si="27"/>
        <v>0</v>
      </c>
      <c r="J240" s="278">
        <f t="shared" si="28"/>
        <v>143969.50421052636</v>
      </c>
      <c r="K240" s="10">
        <f t="shared" si="29"/>
        <v>0</v>
      </c>
      <c r="L240" s="295" t="e">
        <f t="shared" si="30"/>
        <v>#DIV/0!</v>
      </c>
      <c r="M240" s="10"/>
      <c r="N240" s="10"/>
      <c r="O240" s="432"/>
      <c r="P240" s="10">
        <f t="shared" si="31"/>
        <v>17996.188026315795</v>
      </c>
      <c r="Q240" s="14">
        <f t="shared" si="32"/>
        <v>0</v>
      </c>
      <c r="R240" s="2" t="e">
        <f t="shared" si="33"/>
        <v>#DIV/0!</v>
      </c>
      <c r="S240" s="130" t="e">
        <f t="shared" si="34"/>
        <v>#DIV/0!</v>
      </c>
      <c r="T240" s="427" t="e">
        <f t="shared" si="35"/>
        <v>#DIV/0!</v>
      </c>
      <c r="U240" s="126"/>
      <c r="V240" s="493"/>
      <c r="W240" s="493"/>
      <c r="X240" s="493"/>
      <c r="Y240" s="493"/>
      <c r="Z240" s="493"/>
      <c r="AA240" s="493"/>
      <c r="AB240" s="413"/>
      <c r="AC240" s="413"/>
      <c r="AD240" s="413"/>
      <c r="AE240" s="413"/>
      <c r="AF240" s="413"/>
    </row>
    <row r="241" spans="1:32" x14ac:dyDescent="0.25">
      <c r="A241" s="49">
        <f>+'A) Base RI'!A242</f>
        <v>5804</v>
      </c>
      <c r="B241" s="458" t="str">
        <f>+'A) Base RI'!B242</f>
        <v>Jorat-Menthue</v>
      </c>
      <c r="C241" s="298">
        <f>+'D) Ecrêtage'!C241</f>
        <v>46854.424539007086</v>
      </c>
      <c r="D241" s="430"/>
      <c r="E241" s="430"/>
      <c r="F241" s="430"/>
      <c r="G241" s="430"/>
      <c r="H241" s="428"/>
      <c r="I241" s="298">
        <f t="shared" si="27"/>
        <v>0</v>
      </c>
      <c r="J241" s="278">
        <f t="shared" si="28"/>
        <v>374835.39631205669</v>
      </c>
      <c r="K241" s="10">
        <f t="shared" si="29"/>
        <v>0</v>
      </c>
      <c r="L241" s="295" t="e">
        <f t="shared" si="30"/>
        <v>#DIV/0!</v>
      </c>
      <c r="M241" s="10"/>
      <c r="N241" s="10"/>
      <c r="O241" s="432"/>
      <c r="P241" s="10">
        <f t="shared" si="31"/>
        <v>46854.424539007086</v>
      </c>
      <c r="Q241" s="14">
        <f t="shared" si="32"/>
        <v>0</v>
      </c>
      <c r="R241" s="2" t="e">
        <f t="shared" si="33"/>
        <v>#DIV/0!</v>
      </c>
      <c r="S241" s="130" t="e">
        <f t="shared" si="34"/>
        <v>#DIV/0!</v>
      </c>
      <c r="T241" s="427" t="e">
        <f t="shared" si="35"/>
        <v>#DIV/0!</v>
      </c>
      <c r="U241" s="126"/>
      <c r="V241" s="493"/>
      <c r="W241" s="493"/>
      <c r="X241" s="493"/>
      <c r="Y241" s="493"/>
      <c r="Z241" s="493"/>
      <c r="AA241" s="493"/>
      <c r="AB241" s="413"/>
      <c r="AC241" s="413"/>
      <c r="AD241" s="413"/>
      <c r="AE241" s="413"/>
      <c r="AF241" s="413"/>
    </row>
    <row r="242" spans="1:32" x14ac:dyDescent="0.25">
      <c r="A242" s="49">
        <f>+'A) Base RI'!A243</f>
        <v>5805</v>
      </c>
      <c r="B242" s="458" t="str">
        <f>+'A) Base RI'!B243</f>
        <v>Oron</v>
      </c>
      <c r="C242" s="298">
        <f>+'D) Ecrêtage'!C242</f>
        <v>162115.58504611329</v>
      </c>
      <c r="D242" s="430"/>
      <c r="E242" s="430"/>
      <c r="F242" s="430"/>
      <c r="G242" s="430"/>
      <c r="H242" s="428"/>
      <c r="I242" s="298">
        <f t="shared" si="27"/>
        <v>0</v>
      </c>
      <c r="J242" s="278">
        <f t="shared" si="28"/>
        <v>1296924.6803689064</v>
      </c>
      <c r="K242" s="10">
        <f t="shared" si="29"/>
        <v>0</v>
      </c>
      <c r="L242" s="295" t="e">
        <f t="shared" si="30"/>
        <v>#DIV/0!</v>
      </c>
      <c r="M242" s="10"/>
      <c r="N242" s="10"/>
      <c r="O242" s="432"/>
      <c r="P242" s="10">
        <f t="shared" si="31"/>
        <v>162115.58504611329</v>
      </c>
      <c r="Q242" s="14">
        <f t="shared" si="32"/>
        <v>0</v>
      </c>
      <c r="R242" s="2" t="e">
        <f t="shared" si="33"/>
        <v>#DIV/0!</v>
      </c>
      <c r="S242" s="130" t="e">
        <f t="shared" si="34"/>
        <v>#DIV/0!</v>
      </c>
      <c r="T242" s="427" t="e">
        <f t="shared" si="35"/>
        <v>#DIV/0!</v>
      </c>
      <c r="U242" s="126"/>
      <c r="V242" s="493"/>
      <c r="W242" s="493"/>
      <c r="X242" s="493"/>
      <c r="Y242" s="493"/>
      <c r="Z242" s="493"/>
      <c r="AA242" s="493"/>
      <c r="AB242" s="413"/>
      <c r="AC242" s="413"/>
      <c r="AD242" s="413"/>
      <c r="AE242" s="413"/>
      <c r="AF242" s="413"/>
    </row>
    <row r="243" spans="1:32" x14ac:dyDescent="0.25">
      <c r="A243" s="49">
        <f>+'A) Base RI'!A244</f>
        <v>5806</v>
      </c>
      <c r="B243" s="458" t="str">
        <f>+'A) Base RI'!B244</f>
        <v>Jorat-Mézières</v>
      </c>
      <c r="C243" s="298">
        <f>+'D) Ecrêtage'!C243</f>
        <v>102077.74465753423</v>
      </c>
      <c r="D243" s="430"/>
      <c r="E243" s="430"/>
      <c r="F243" s="430"/>
      <c r="G243" s="430"/>
      <c r="H243" s="428"/>
      <c r="I243" s="298">
        <f t="shared" si="27"/>
        <v>0</v>
      </c>
      <c r="J243" s="278">
        <f t="shared" si="28"/>
        <v>816621.95726027386</v>
      </c>
      <c r="K243" s="10">
        <f t="shared" si="29"/>
        <v>0</v>
      </c>
      <c r="L243" s="295" t="e">
        <f t="shared" si="30"/>
        <v>#DIV/0!</v>
      </c>
      <c r="M243" s="10"/>
      <c r="N243" s="10"/>
      <c r="O243" s="432"/>
      <c r="P243" s="10">
        <f t="shared" si="31"/>
        <v>102077.74465753423</v>
      </c>
      <c r="Q243" s="14">
        <f t="shared" si="32"/>
        <v>0</v>
      </c>
      <c r="R243" s="2" t="e">
        <f t="shared" si="33"/>
        <v>#DIV/0!</v>
      </c>
      <c r="S243" s="130" t="e">
        <f t="shared" si="34"/>
        <v>#DIV/0!</v>
      </c>
      <c r="T243" s="427" t="e">
        <f t="shared" si="35"/>
        <v>#DIV/0!</v>
      </c>
      <c r="U243" s="126"/>
      <c r="V243" s="493"/>
      <c r="W243" s="493"/>
      <c r="X243" s="493"/>
      <c r="Y243" s="493"/>
      <c r="Z243" s="493"/>
      <c r="AA243" s="493"/>
      <c r="AB243" s="413"/>
      <c r="AC243" s="413"/>
      <c r="AD243" s="413"/>
      <c r="AE243" s="413"/>
      <c r="AF243" s="413"/>
    </row>
    <row r="244" spans="1:32" x14ac:dyDescent="0.25">
      <c r="A244" s="49">
        <f>+'A) Base RI'!A245</f>
        <v>5812</v>
      </c>
      <c r="B244" s="458" t="str">
        <f>+'A) Base RI'!B245</f>
        <v>Champtauroz</v>
      </c>
      <c r="C244" s="298">
        <f>+'D) Ecrêtage'!C244</f>
        <v>3349.1505194805191</v>
      </c>
      <c r="D244" s="430"/>
      <c r="E244" s="430"/>
      <c r="F244" s="430"/>
      <c r="G244" s="430"/>
      <c r="H244" s="428"/>
      <c r="I244" s="298">
        <f t="shared" si="27"/>
        <v>0</v>
      </c>
      <c r="J244" s="278">
        <f t="shared" si="28"/>
        <v>26793.204155844152</v>
      </c>
      <c r="K244" s="10">
        <f t="shared" si="29"/>
        <v>0</v>
      </c>
      <c r="L244" s="295" t="e">
        <f t="shared" si="30"/>
        <v>#DIV/0!</v>
      </c>
      <c r="M244" s="10"/>
      <c r="N244" s="10"/>
      <c r="O244" s="432"/>
      <c r="P244" s="10">
        <f t="shared" si="31"/>
        <v>3349.1505194805191</v>
      </c>
      <c r="Q244" s="14">
        <f t="shared" si="32"/>
        <v>0</v>
      </c>
      <c r="R244" s="2" t="e">
        <f t="shared" si="33"/>
        <v>#DIV/0!</v>
      </c>
      <c r="S244" s="130" t="e">
        <f t="shared" si="34"/>
        <v>#DIV/0!</v>
      </c>
      <c r="T244" s="427" t="e">
        <f t="shared" si="35"/>
        <v>#DIV/0!</v>
      </c>
      <c r="U244" s="126"/>
      <c r="V244" s="493"/>
      <c r="W244" s="493"/>
      <c r="X244" s="493"/>
      <c r="Y244" s="493"/>
      <c r="Z244" s="493"/>
      <c r="AA244" s="493"/>
      <c r="AB244" s="413"/>
      <c r="AC244" s="413"/>
      <c r="AD244" s="413"/>
      <c r="AE244" s="413"/>
      <c r="AF244" s="413"/>
    </row>
    <row r="245" spans="1:32" x14ac:dyDescent="0.25">
      <c r="A245" s="49">
        <f>+'A) Base RI'!A246</f>
        <v>5813</v>
      </c>
      <c r="B245" s="458" t="str">
        <f>+'A) Base RI'!B246</f>
        <v>Chevroux</v>
      </c>
      <c r="C245" s="298">
        <f>+'D) Ecrêtage'!C245</f>
        <v>15276.905328467155</v>
      </c>
      <c r="D245" s="430"/>
      <c r="E245" s="430"/>
      <c r="F245" s="430"/>
      <c r="G245" s="430"/>
      <c r="H245" s="428"/>
      <c r="I245" s="298">
        <f t="shared" si="27"/>
        <v>0</v>
      </c>
      <c r="J245" s="278">
        <f t="shared" si="28"/>
        <v>122215.24262773724</v>
      </c>
      <c r="K245" s="10">
        <f t="shared" si="29"/>
        <v>0</v>
      </c>
      <c r="L245" s="295" t="e">
        <f t="shared" si="30"/>
        <v>#DIV/0!</v>
      </c>
      <c r="M245" s="10"/>
      <c r="N245" s="10"/>
      <c r="O245" s="432"/>
      <c r="P245" s="10">
        <f t="shared" si="31"/>
        <v>15276.905328467155</v>
      </c>
      <c r="Q245" s="14">
        <f t="shared" si="32"/>
        <v>0</v>
      </c>
      <c r="R245" s="2" t="e">
        <f t="shared" si="33"/>
        <v>#DIV/0!</v>
      </c>
      <c r="S245" s="130" t="e">
        <f t="shared" si="34"/>
        <v>#DIV/0!</v>
      </c>
      <c r="T245" s="427" t="e">
        <f t="shared" si="35"/>
        <v>#DIV/0!</v>
      </c>
      <c r="U245" s="126"/>
      <c r="V245" s="493"/>
      <c r="W245" s="493"/>
      <c r="X245" s="493"/>
      <c r="Y245" s="493"/>
      <c r="Z245" s="493"/>
      <c r="AA245" s="493"/>
      <c r="AB245" s="413"/>
      <c r="AC245" s="413"/>
      <c r="AD245" s="413"/>
      <c r="AE245" s="413"/>
      <c r="AF245" s="413"/>
    </row>
    <row r="246" spans="1:32" x14ac:dyDescent="0.25">
      <c r="A246" s="49">
        <f>+'A) Base RI'!A247</f>
        <v>5816</v>
      </c>
      <c r="B246" s="458" t="str">
        <f>+'A) Base RI'!B247</f>
        <v>Corcelles-près-Payerne</v>
      </c>
      <c r="C246" s="298">
        <f>+'D) Ecrêtage'!C246</f>
        <v>65651.255161626686</v>
      </c>
      <c r="D246" s="430"/>
      <c r="E246" s="430"/>
      <c r="F246" s="430"/>
      <c r="G246" s="430"/>
      <c r="H246" s="428"/>
      <c r="I246" s="298">
        <f t="shared" si="27"/>
        <v>0</v>
      </c>
      <c r="J246" s="278">
        <f t="shared" si="28"/>
        <v>525210.04129301349</v>
      </c>
      <c r="K246" s="10">
        <f t="shared" si="29"/>
        <v>0</v>
      </c>
      <c r="L246" s="295" t="e">
        <f t="shared" si="30"/>
        <v>#DIV/0!</v>
      </c>
      <c r="M246" s="10"/>
      <c r="N246" s="10"/>
      <c r="O246" s="432"/>
      <c r="P246" s="10">
        <f t="shared" si="31"/>
        <v>65651.255161626686</v>
      </c>
      <c r="Q246" s="14">
        <f t="shared" si="32"/>
        <v>0</v>
      </c>
      <c r="R246" s="2" t="e">
        <f t="shared" si="33"/>
        <v>#DIV/0!</v>
      </c>
      <c r="S246" s="130" t="e">
        <f t="shared" si="34"/>
        <v>#DIV/0!</v>
      </c>
      <c r="T246" s="427" t="e">
        <f t="shared" si="35"/>
        <v>#DIV/0!</v>
      </c>
      <c r="U246" s="126"/>
      <c r="V246" s="493"/>
      <c r="W246" s="493"/>
      <c r="X246" s="493"/>
      <c r="Y246" s="493"/>
      <c r="Z246" s="493"/>
      <c r="AA246" s="493"/>
      <c r="AB246" s="413"/>
      <c r="AC246" s="413"/>
      <c r="AD246" s="413"/>
      <c r="AE246" s="413"/>
      <c r="AF246" s="413"/>
    </row>
    <row r="247" spans="1:32" x14ac:dyDescent="0.25">
      <c r="A247" s="49">
        <f>+'A) Base RI'!A248</f>
        <v>5817</v>
      </c>
      <c r="B247" s="458" t="str">
        <f>+'A) Base RI'!B248</f>
        <v>Grandcour</v>
      </c>
      <c r="C247" s="298">
        <f>+'D) Ecrêtage'!C247</f>
        <v>24623.103809523807</v>
      </c>
      <c r="D247" s="430"/>
      <c r="E247" s="430"/>
      <c r="F247" s="430"/>
      <c r="G247" s="430"/>
      <c r="H247" s="428"/>
      <c r="I247" s="298">
        <f t="shared" si="27"/>
        <v>0</v>
      </c>
      <c r="J247" s="278">
        <f t="shared" si="28"/>
        <v>196984.83047619046</v>
      </c>
      <c r="K247" s="10">
        <f t="shared" si="29"/>
        <v>0</v>
      </c>
      <c r="L247" s="295" t="e">
        <f t="shared" si="30"/>
        <v>#DIV/0!</v>
      </c>
      <c r="M247" s="10"/>
      <c r="N247" s="10"/>
      <c r="O247" s="432"/>
      <c r="P247" s="10">
        <f t="shared" si="31"/>
        <v>24623.103809523807</v>
      </c>
      <c r="Q247" s="14">
        <f t="shared" si="32"/>
        <v>0</v>
      </c>
      <c r="R247" s="2" t="e">
        <f t="shared" si="33"/>
        <v>#DIV/0!</v>
      </c>
      <c r="S247" s="130" t="e">
        <f t="shared" si="34"/>
        <v>#DIV/0!</v>
      </c>
      <c r="T247" s="427" t="e">
        <f t="shared" si="35"/>
        <v>#DIV/0!</v>
      </c>
      <c r="U247" s="126"/>
      <c r="V247" s="493"/>
      <c r="W247" s="493"/>
      <c r="X247" s="493"/>
      <c r="Y247" s="493"/>
      <c r="Z247" s="493"/>
      <c r="AA247" s="493"/>
      <c r="AB247" s="413"/>
      <c r="AC247" s="413"/>
      <c r="AD247" s="413"/>
      <c r="AE247" s="413"/>
      <c r="AF247" s="413"/>
    </row>
    <row r="248" spans="1:32" x14ac:dyDescent="0.25">
      <c r="A248" s="49">
        <f>+'A) Base RI'!A249</f>
        <v>5819</v>
      </c>
      <c r="B248" s="458" t="str">
        <f>+'A) Base RI'!B249</f>
        <v>Henniez</v>
      </c>
      <c r="C248" s="298">
        <f>+'D) Ecrêtage'!C248</f>
        <v>10073.647101449274</v>
      </c>
      <c r="D248" s="430"/>
      <c r="E248" s="430"/>
      <c r="F248" s="430"/>
      <c r="G248" s="430"/>
      <c r="H248" s="428"/>
      <c r="I248" s="298">
        <f t="shared" si="27"/>
        <v>0</v>
      </c>
      <c r="J248" s="278">
        <f t="shared" si="28"/>
        <v>80589.176811594196</v>
      </c>
      <c r="K248" s="10">
        <f t="shared" si="29"/>
        <v>0</v>
      </c>
      <c r="L248" s="295" t="e">
        <f t="shared" si="30"/>
        <v>#DIV/0!</v>
      </c>
      <c r="M248" s="10"/>
      <c r="N248" s="10"/>
      <c r="O248" s="432"/>
      <c r="P248" s="10">
        <f t="shared" si="31"/>
        <v>10073.647101449274</v>
      </c>
      <c r="Q248" s="14">
        <f t="shared" si="32"/>
        <v>0</v>
      </c>
      <c r="R248" s="2" t="e">
        <f t="shared" si="33"/>
        <v>#DIV/0!</v>
      </c>
      <c r="S248" s="130" t="e">
        <f t="shared" si="34"/>
        <v>#DIV/0!</v>
      </c>
      <c r="T248" s="427" t="e">
        <f t="shared" si="35"/>
        <v>#DIV/0!</v>
      </c>
      <c r="U248" s="126"/>
      <c r="V248" s="493"/>
      <c r="W248" s="493"/>
      <c r="X248" s="493"/>
      <c r="Y248" s="493"/>
      <c r="Z248" s="493"/>
      <c r="AA248" s="493"/>
      <c r="AB248" s="413"/>
      <c r="AC248" s="413"/>
      <c r="AD248" s="413"/>
      <c r="AE248" s="413"/>
      <c r="AF248" s="413"/>
    </row>
    <row r="249" spans="1:32" x14ac:dyDescent="0.25">
      <c r="A249" s="49">
        <f>+'A) Base RI'!A250</f>
        <v>5821</v>
      </c>
      <c r="B249" s="458" t="str">
        <f>+'A) Base RI'!B250</f>
        <v>Missy</v>
      </c>
      <c r="C249" s="298">
        <f>+'D) Ecrêtage'!C249</f>
        <v>8044.6855555555558</v>
      </c>
      <c r="D249" s="430"/>
      <c r="E249" s="430"/>
      <c r="F249" s="430"/>
      <c r="G249" s="430"/>
      <c r="H249" s="428"/>
      <c r="I249" s="298">
        <f t="shared" si="27"/>
        <v>0</v>
      </c>
      <c r="J249" s="278">
        <f t="shared" si="28"/>
        <v>64357.484444444446</v>
      </c>
      <c r="K249" s="10">
        <f t="shared" si="29"/>
        <v>0</v>
      </c>
      <c r="L249" s="295" t="e">
        <f t="shared" si="30"/>
        <v>#DIV/0!</v>
      </c>
      <c r="M249" s="10"/>
      <c r="N249" s="10"/>
      <c r="O249" s="432"/>
      <c r="P249" s="10">
        <f t="shared" si="31"/>
        <v>8044.6855555555558</v>
      </c>
      <c r="Q249" s="14">
        <f t="shared" si="32"/>
        <v>0</v>
      </c>
      <c r="R249" s="2" t="e">
        <f t="shared" si="33"/>
        <v>#DIV/0!</v>
      </c>
      <c r="S249" s="130" t="e">
        <f t="shared" si="34"/>
        <v>#DIV/0!</v>
      </c>
      <c r="T249" s="427" t="e">
        <f t="shared" si="35"/>
        <v>#DIV/0!</v>
      </c>
      <c r="U249" s="126"/>
      <c r="V249" s="493"/>
      <c r="W249" s="493"/>
      <c r="X249" s="493"/>
      <c r="Y249" s="493"/>
      <c r="Z249" s="493"/>
      <c r="AA249" s="493"/>
      <c r="AB249" s="413"/>
      <c r="AC249" s="413"/>
      <c r="AD249" s="413"/>
      <c r="AE249" s="413"/>
      <c r="AF249" s="413"/>
    </row>
    <row r="250" spans="1:32" x14ac:dyDescent="0.25">
      <c r="A250" s="49">
        <f>+'A) Base RI'!A251</f>
        <v>5822</v>
      </c>
      <c r="B250" s="458" t="str">
        <f>+'A) Base RI'!B251</f>
        <v>Payerne</v>
      </c>
      <c r="C250" s="298">
        <f>+'D) Ecrêtage'!C250</f>
        <v>239984.44424657538</v>
      </c>
      <c r="D250" s="430"/>
      <c r="E250" s="430"/>
      <c r="F250" s="430"/>
      <c r="G250" s="430"/>
      <c r="H250" s="428"/>
      <c r="I250" s="298">
        <f t="shared" si="27"/>
        <v>0</v>
      </c>
      <c r="J250" s="278">
        <f t="shared" si="28"/>
        <v>1919875.5539726031</v>
      </c>
      <c r="K250" s="10">
        <f t="shared" si="29"/>
        <v>0</v>
      </c>
      <c r="L250" s="295" t="e">
        <f t="shared" si="30"/>
        <v>#DIV/0!</v>
      </c>
      <c r="M250" s="10"/>
      <c r="N250" s="10"/>
      <c r="O250" s="432"/>
      <c r="P250" s="10">
        <f t="shared" si="31"/>
        <v>239984.44424657538</v>
      </c>
      <c r="Q250" s="14">
        <f t="shared" si="32"/>
        <v>0</v>
      </c>
      <c r="R250" s="2" t="e">
        <f t="shared" si="33"/>
        <v>#DIV/0!</v>
      </c>
      <c r="S250" s="130" t="e">
        <f t="shared" si="34"/>
        <v>#DIV/0!</v>
      </c>
      <c r="T250" s="427" t="e">
        <f t="shared" si="35"/>
        <v>#DIV/0!</v>
      </c>
      <c r="U250" s="126"/>
      <c r="V250" s="493"/>
      <c r="W250" s="493"/>
      <c r="X250" s="493"/>
      <c r="Y250" s="493"/>
      <c r="Z250" s="493"/>
      <c r="AA250" s="493"/>
      <c r="AB250" s="413"/>
      <c r="AC250" s="413"/>
      <c r="AD250" s="413"/>
      <c r="AE250" s="413"/>
      <c r="AF250" s="413"/>
    </row>
    <row r="251" spans="1:32" x14ac:dyDescent="0.25">
      <c r="A251" s="49">
        <f>+'A) Base RI'!A252</f>
        <v>5827</v>
      </c>
      <c r="B251" s="458" t="str">
        <f>+'A) Base RI'!B252</f>
        <v>Trey</v>
      </c>
      <c r="C251" s="298">
        <f>+'D) Ecrêtage'!C251</f>
        <v>7747.4438461538457</v>
      </c>
      <c r="D251" s="430"/>
      <c r="E251" s="430"/>
      <c r="F251" s="430"/>
      <c r="G251" s="430"/>
      <c r="H251" s="428"/>
      <c r="I251" s="298">
        <f t="shared" si="27"/>
        <v>0</v>
      </c>
      <c r="J251" s="278">
        <f t="shared" si="28"/>
        <v>61979.550769230766</v>
      </c>
      <c r="K251" s="10">
        <f t="shared" si="29"/>
        <v>0</v>
      </c>
      <c r="L251" s="295" t="e">
        <f t="shared" si="30"/>
        <v>#DIV/0!</v>
      </c>
      <c r="M251" s="10"/>
      <c r="N251" s="10"/>
      <c r="O251" s="432"/>
      <c r="P251" s="10">
        <f t="shared" si="31"/>
        <v>7747.4438461538457</v>
      </c>
      <c r="Q251" s="14">
        <f t="shared" si="32"/>
        <v>0</v>
      </c>
      <c r="R251" s="2" t="e">
        <f t="shared" si="33"/>
        <v>#DIV/0!</v>
      </c>
      <c r="S251" s="130" t="e">
        <f t="shared" si="34"/>
        <v>#DIV/0!</v>
      </c>
      <c r="T251" s="427" t="e">
        <f t="shared" si="35"/>
        <v>#DIV/0!</v>
      </c>
      <c r="U251" s="126"/>
      <c r="V251" s="493"/>
      <c r="W251" s="493"/>
      <c r="X251" s="493"/>
      <c r="Y251" s="493"/>
      <c r="Z251" s="493"/>
      <c r="AA251" s="493"/>
      <c r="AB251" s="413"/>
      <c r="AC251" s="413"/>
      <c r="AD251" s="413"/>
      <c r="AE251" s="413"/>
      <c r="AF251" s="413"/>
    </row>
    <row r="252" spans="1:32" x14ac:dyDescent="0.25">
      <c r="A252" s="49">
        <f>+'A) Base RI'!A253</f>
        <v>5828</v>
      </c>
      <c r="B252" s="458" t="str">
        <f>+'A) Base RI'!B253</f>
        <v>Treytorrens (Payerne)</v>
      </c>
      <c r="C252" s="298">
        <f>+'D) Ecrêtage'!C252</f>
        <v>2899.2203232323236</v>
      </c>
      <c r="D252" s="430"/>
      <c r="E252" s="430"/>
      <c r="F252" s="430"/>
      <c r="G252" s="430"/>
      <c r="H252" s="428"/>
      <c r="I252" s="298">
        <f t="shared" si="27"/>
        <v>0</v>
      </c>
      <c r="J252" s="278">
        <f t="shared" si="28"/>
        <v>23193.762585858589</v>
      </c>
      <c r="K252" s="10">
        <f t="shared" si="29"/>
        <v>0</v>
      </c>
      <c r="L252" s="295" t="e">
        <f t="shared" si="30"/>
        <v>#DIV/0!</v>
      </c>
      <c r="M252" s="10"/>
      <c r="N252" s="10"/>
      <c r="O252" s="432"/>
      <c r="P252" s="10">
        <f t="shared" si="31"/>
        <v>2899.2203232323236</v>
      </c>
      <c r="Q252" s="14">
        <f t="shared" si="32"/>
        <v>0</v>
      </c>
      <c r="R252" s="2" t="e">
        <f t="shared" si="33"/>
        <v>#DIV/0!</v>
      </c>
      <c r="S252" s="130" t="e">
        <f t="shared" si="34"/>
        <v>#DIV/0!</v>
      </c>
      <c r="T252" s="427" t="e">
        <f t="shared" si="35"/>
        <v>#DIV/0!</v>
      </c>
      <c r="U252" s="126"/>
      <c r="V252" s="493"/>
      <c r="W252" s="493"/>
      <c r="X252" s="493"/>
      <c r="Y252" s="493"/>
      <c r="Z252" s="493"/>
      <c r="AA252" s="493"/>
      <c r="AB252" s="413"/>
      <c r="AC252" s="413"/>
      <c r="AD252" s="413"/>
      <c r="AE252" s="413"/>
      <c r="AF252" s="413"/>
    </row>
    <row r="253" spans="1:32" x14ac:dyDescent="0.25">
      <c r="A253" s="49">
        <f>+'A) Base RI'!A254</f>
        <v>5830</v>
      </c>
      <c r="B253" s="458" t="str">
        <f>+'A) Base RI'!B254</f>
        <v>Villarzel</v>
      </c>
      <c r="C253" s="298">
        <f>+'D) Ecrêtage'!C253</f>
        <v>12409.986933333334</v>
      </c>
      <c r="D253" s="430"/>
      <c r="E253" s="430"/>
      <c r="F253" s="430"/>
      <c r="G253" s="430"/>
      <c r="H253" s="428"/>
      <c r="I253" s="298">
        <f t="shared" si="27"/>
        <v>0</v>
      </c>
      <c r="J253" s="278">
        <f t="shared" si="28"/>
        <v>99279.895466666669</v>
      </c>
      <c r="K253" s="10">
        <f t="shared" si="29"/>
        <v>0</v>
      </c>
      <c r="L253" s="295" t="e">
        <f t="shared" si="30"/>
        <v>#DIV/0!</v>
      </c>
      <c r="M253" s="10"/>
      <c r="N253" s="10"/>
      <c r="O253" s="432"/>
      <c r="P253" s="10">
        <f t="shared" si="31"/>
        <v>12409.986933333334</v>
      </c>
      <c r="Q253" s="14">
        <f t="shared" si="32"/>
        <v>0</v>
      </c>
      <c r="R253" s="2" t="e">
        <f t="shared" si="33"/>
        <v>#DIV/0!</v>
      </c>
      <c r="S253" s="130" t="e">
        <f t="shared" si="34"/>
        <v>#DIV/0!</v>
      </c>
      <c r="T253" s="427" t="e">
        <f t="shared" si="35"/>
        <v>#DIV/0!</v>
      </c>
      <c r="U253" s="126"/>
      <c r="V253" s="493"/>
      <c r="W253" s="493"/>
      <c r="X253" s="493"/>
      <c r="Y253" s="493"/>
      <c r="Z253" s="493"/>
      <c r="AA253" s="493"/>
      <c r="AB253" s="413"/>
      <c r="AC253" s="413"/>
      <c r="AD253" s="413"/>
      <c r="AE253" s="413"/>
      <c r="AF253" s="413"/>
    </row>
    <row r="254" spans="1:32" x14ac:dyDescent="0.25">
      <c r="A254" s="49">
        <f>+'A) Base RI'!A255</f>
        <v>5831</v>
      </c>
      <c r="B254" s="458" t="str">
        <f>+'A) Base RI'!B255</f>
        <v>Valbroye</v>
      </c>
      <c r="C254" s="298">
        <f>+'D) Ecrêtage'!C254</f>
        <v>81049.404018912537</v>
      </c>
      <c r="D254" s="430"/>
      <c r="E254" s="430"/>
      <c r="F254" s="430"/>
      <c r="G254" s="430"/>
      <c r="H254" s="428"/>
      <c r="I254" s="298">
        <f t="shared" si="27"/>
        <v>0</v>
      </c>
      <c r="J254" s="278">
        <f t="shared" si="28"/>
        <v>648395.2321513003</v>
      </c>
      <c r="K254" s="10">
        <f t="shared" si="29"/>
        <v>0</v>
      </c>
      <c r="L254" s="295" t="e">
        <f t="shared" si="30"/>
        <v>#DIV/0!</v>
      </c>
      <c r="M254" s="10"/>
      <c r="N254" s="10"/>
      <c r="O254" s="432"/>
      <c r="P254" s="10">
        <f t="shared" si="31"/>
        <v>81049.404018912537</v>
      </c>
      <c r="Q254" s="14">
        <f t="shared" si="32"/>
        <v>0</v>
      </c>
      <c r="R254" s="2" t="e">
        <f t="shared" si="33"/>
        <v>#DIV/0!</v>
      </c>
      <c r="S254" s="130" t="e">
        <f t="shared" si="34"/>
        <v>#DIV/0!</v>
      </c>
      <c r="T254" s="427" t="e">
        <f t="shared" si="35"/>
        <v>#DIV/0!</v>
      </c>
      <c r="U254" s="126"/>
      <c r="V254" s="493"/>
      <c r="W254" s="493"/>
      <c r="X254" s="493"/>
      <c r="Y254" s="493"/>
      <c r="Z254" s="493"/>
      <c r="AA254" s="493"/>
      <c r="AB254" s="413"/>
      <c r="AC254" s="413"/>
      <c r="AD254" s="413"/>
      <c r="AE254" s="413"/>
      <c r="AF254" s="413"/>
    </row>
    <row r="255" spans="1:32" x14ac:dyDescent="0.25">
      <c r="A255" s="49">
        <f>+'A) Base RI'!A256</f>
        <v>5841</v>
      </c>
      <c r="B255" s="458" t="str">
        <f>+'A) Base RI'!B256</f>
        <v>Château-d'Oex</v>
      </c>
      <c r="C255" s="298">
        <f>+'D) Ecrêtage'!C255</f>
        <v>110857.63779141105</v>
      </c>
      <c r="D255" s="430"/>
      <c r="E255" s="430"/>
      <c r="F255" s="430"/>
      <c r="G255" s="430"/>
      <c r="H255" s="428"/>
      <c r="I255" s="298">
        <f t="shared" si="27"/>
        <v>0</v>
      </c>
      <c r="J255" s="278">
        <f t="shared" si="28"/>
        <v>886861.10233128839</v>
      </c>
      <c r="K255" s="10">
        <f t="shared" si="29"/>
        <v>0</v>
      </c>
      <c r="L255" s="295" t="e">
        <f t="shared" si="30"/>
        <v>#DIV/0!</v>
      </c>
      <c r="M255" s="10"/>
      <c r="N255" s="10"/>
      <c r="O255" s="432"/>
      <c r="P255" s="10">
        <f t="shared" si="31"/>
        <v>110857.63779141105</v>
      </c>
      <c r="Q255" s="14">
        <f t="shared" si="32"/>
        <v>0</v>
      </c>
      <c r="R255" s="2" t="e">
        <f t="shared" si="33"/>
        <v>#DIV/0!</v>
      </c>
      <c r="S255" s="130" t="e">
        <f t="shared" si="34"/>
        <v>#DIV/0!</v>
      </c>
      <c r="T255" s="427" t="e">
        <f t="shared" si="35"/>
        <v>#DIV/0!</v>
      </c>
      <c r="U255" s="126"/>
      <c r="V255" s="493"/>
      <c r="W255" s="493"/>
      <c r="X255" s="493"/>
      <c r="Y255" s="493"/>
      <c r="Z255" s="493"/>
      <c r="AA255" s="493"/>
      <c r="AB255" s="413"/>
      <c r="AC255" s="413"/>
      <c r="AD255" s="413"/>
      <c r="AE255" s="413"/>
      <c r="AF255" s="413"/>
    </row>
    <row r="256" spans="1:32" x14ac:dyDescent="0.25">
      <c r="A256" s="49">
        <f>+'A) Base RI'!A257</f>
        <v>5842</v>
      </c>
      <c r="B256" s="458" t="str">
        <f>+'A) Base RI'!B257</f>
        <v>Rossinière</v>
      </c>
      <c r="C256" s="298">
        <f>+'D) Ecrêtage'!C256</f>
        <v>14944.680411522633</v>
      </c>
      <c r="D256" s="430"/>
      <c r="E256" s="430"/>
      <c r="F256" s="430"/>
      <c r="G256" s="430"/>
      <c r="H256" s="428"/>
      <c r="I256" s="298">
        <f t="shared" si="27"/>
        <v>0</v>
      </c>
      <c r="J256" s="278">
        <f t="shared" si="28"/>
        <v>119557.44329218107</v>
      </c>
      <c r="K256" s="10">
        <f t="shared" si="29"/>
        <v>0</v>
      </c>
      <c r="L256" s="295" t="e">
        <f t="shared" si="30"/>
        <v>#DIV/0!</v>
      </c>
      <c r="M256" s="10"/>
      <c r="N256" s="10"/>
      <c r="O256" s="432"/>
      <c r="P256" s="10">
        <f t="shared" si="31"/>
        <v>14944.680411522633</v>
      </c>
      <c r="Q256" s="14">
        <f t="shared" si="32"/>
        <v>0</v>
      </c>
      <c r="R256" s="2" t="e">
        <f t="shared" si="33"/>
        <v>#DIV/0!</v>
      </c>
      <c r="S256" s="130" t="e">
        <f t="shared" si="34"/>
        <v>#DIV/0!</v>
      </c>
      <c r="T256" s="427" t="e">
        <f t="shared" si="35"/>
        <v>#DIV/0!</v>
      </c>
      <c r="U256" s="126"/>
      <c r="V256" s="493"/>
      <c r="W256" s="493"/>
      <c r="X256" s="493"/>
      <c r="Y256" s="493"/>
      <c r="Z256" s="493"/>
      <c r="AA256" s="493"/>
      <c r="AB256" s="413"/>
      <c r="AC256" s="413"/>
      <c r="AD256" s="413"/>
      <c r="AE256" s="413"/>
      <c r="AF256" s="413"/>
    </row>
    <row r="257" spans="1:32" x14ac:dyDescent="0.25">
      <c r="A257" s="49">
        <f>+'A) Base RI'!A258</f>
        <v>5843</v>
      </c>
      <c r="B257" s="458" t="str">
        <f>+'A) Base RI'!B258</f>
        <v>Rougemont</v>
      </c>
      <c r="C257" s="298">
        <f>+'D) Ecrêtage'!C257</f>
        <v>97088.109459459462</v>
      </c>
      <c r="D257" s="430"/>
      <c r="E257" s="430"/>
      <c r="F257" s="430"/>
      <c r="G257" s="430"/>
      <c r="H257" s="428"/>
      <c r="I257" s="298">
        <f t="shared" si="27"/>
        <v>0</v>
      </c>
      <c r="J257" s="278">
        <f t="shared" si="28"/>
        <v>776704.87567567569</v>
      </c>
      <c r="K257" s="10">
        <f t="shared" si="29"/>
        <v>0</v>
      </c>
      <c r="L257" s="295" t="e">
        <f t="shared" si="30"/>
        <v>#DIV/0!</v>
      </c>
      <c r="M257" s="10"/>
      <c r="N257" s="10"/>
      <c r="O257" s="432"/>
      <c r="P257" s="10">
        <f t="shared" si="31"/>
        <v>97088.109459459462</v>
      </c>
      <c r="Q257" s="14">
        <f t="shared" si="32"/>
        <v>0</v>
      </c>
      <c r="R257" s="2" t="e">
        <f t="shared" si="33"/>
        <v>#DIV/0!</v>
      </c>
      <c r="S257" s="130" t="e">
        <f t="shared" si="34"/>
        <v>#DIV/0!</v>
      </c>
      <c r="T257" s="427" t="e">
        <f t="shared" si="35"/>
        <v>#DIV/0!</v>
      </c>
      <c r="U257" s="126"/>
      <c r="V257" s="493"/>
      <c r="W257" s="493"/>
      <c r="X257" s="493"/>
      <c r="Y257" s="493"/>
      <c r="Z257" s="493"/>
      <c r="AA257" s="493"/>
      <c r="AB257" s="413"/>
      <c r="AC257" s="413"/>
      <c r="AD257" s="413"/>
      <c r="AE257" s="413"/>
      <c r="AF257" s="413"/>
    </row>
    <row r="258" spans="1:32" x14ac:dyDescent="0.25">
      <c r="A258" s="49">
        <f>+'A) Base RI'!A259</f>
        <v>5851</v>
      </c>
      <c r="B258" s="458" t="str">
        <f>+'A) Base RI'!B259</f>
        <v>Allaman</v>
      </c>
      <c r="C258" s="298">
        <f>+'D) Ecrêtage'!C258</f>
        <v>24875.935818181821</v>
      </c>
      <c r="D258" s="430"/>
      <c r="E258" s="430"/>
      <c r="F258" s="430"/>
      <c r="G258" s="430"/>
      <c r="H258" s="428"/>
      <c r="I258" s="298">
        <f t="shared" si="27"/>
        <v>0</v>
      </c>
      <c r="J258" s="278">
        <f t="shared" si="28"/>
        <v>199007.48654545457</v>
      </c>
      <c r="K258" s="10">
        <f t="shared" si="29"/>
        <v>0</v>
      </c>
      <c r="L258" s="295" t="e">
        <f t="shared" si="30"/>
        <v>#DIV/0!</v>
      </c>
      <c r="M258" s="10"/>
      <c r="N258" s="10"/>
      <c r="O258" s="432"/>
      <c r="P258" s="10">
        <f t="shared" si="31"/>
        <v>24875.935818181821</v>
      </c>
      <c r="Q258" s="14">
        <f t="shared" si="32"/>
        <v>0</v>
      </c>
      <c r="R258" s="2" t="e">
        <f t="shared" si="33"/>
        <v>#DIV/0!</v>
      </c>
      <c r="S258" s="130" t="e">
        <f t="shared" si="34"/>
        <v>#DIV/0!</v>
      </c>
      <c r="T258" s="427" t="e">
        <f t="shared" si="35"/>
        <v>#DIV/0!</v>
      </c>
      <c r="U258" s="126"/>
      <c r="V258" s="493"/>
      <c r="W258" s="493"/>
      <c r="X258" s="493"/>
      <c r="Y258" s="493"/>
      <c r="Z258" s="493"/>
      <c r="AA258" s="493"/>
      <c r="AB258" s="413"/>
      <c r="AC258" s="413"/>
      <c r="AD258" s="413"/>
      <c r="AE258" s="413"/>
      <c r="AF258" s="413"/>
    </row>
    <row r="259" spans="1:32" x14ac:dyDescent="0.25">
      <c r="A259" s="49">
        <f>+'A) Base RI'!A260</f>
        <v>5852</v>
      </c>
      <c r="B259" s="458" t="str">
        <f>+'A) Base RI'!B260</f>
        <v>Bursinel</v>
      </c>
      <c r="C259" s="298">
        <f>+'D) Ecrêtage'!C259</f>
        <v>34636.657688172039</v>
      </c>
      <c r="D259" s="430"/>
      <c r="E259" s="430"/>
      <c r="F259" s="430"/>
      <c r="G259" s="430"/>
      <c r="H259" s="428"/>
      <c r="I259" s="298">
        <f t="shared" si="27"/>
        <v>0</v>
      </c>
      <c r="J259" s="278">
        <f t="shared" si="28"/>
        <v>277093.26150537631</v>
      </c>
      <c r="K259" s="10">
        <f t="shared" si="29"/>
        <v>0</v>
      </c>
      <c r="L259" s="295" t="e">
        <f t="shared" si="30"/>
        <v>#DIV/0!</v>
      </c>
      <c r="M259" s="10"/>
      <c r="N259" s="10"/>
      <c r="O259" s="432"/>
      <c r="P259" s="10">
        <f t="shared" si="31"/>
        <v>34636.657688172039</v>
      </c>
      <c r="Q259" s="14">
        <f t="shared" si="32"/>
        <v>0</v>
      </c>
      <c r="R259" s="2" t="e">
        <f t="shared" si="33"/>
        <v>#DIV/0!</v>
      </c>
      <c r="S259" s="130" t="e">
        <f t="shared" si="34"/>
        <v>#DIV/0!</v>
      </c>
      <c r="T259" s="427" t="e">
        <f t="shared" si="35"/>
        <v>#DIV/0!</v>
      </c>
      <c r="U259" s="126"/>
      <c r="V259" s="493"/>
      <c r="W259" s="493"/>
      <c r="X259" s="493"/>
      <c r="Y259" s="493"/>
      <c r="Z259" s="493"/>
      <c r="AA259" s="493"/>
      <c r="AB259" s="413"/>
      <c r="AC259" s="413"/>
      <c r="AD259" s="413"/>
      <c r="AE259" s="413"/>
      <c r="AF259" s="413"/>
    </row>
    <row r="260" spans="1:32" x14ac:dyDescent="0.25">
      <c r="A260" s="49">
        <f>+'A) Base RI'!A261</f>
        <v>5853</v>
      </c>
      <c r="B260" s="458" t="str">
        <f>+'A) Base RI'!B261</f>
        <v>Bursins</v>
      </c>
      <c r="C260" s="298">
        <f>+'D) Ecrêtage'!C260</f>
        <v>44486.311690140843</v>
      </c>
      <c r="D260" s="430"/>
      <c r="E260" s="430"/>
      <c r="F260" s="430"/>
      <c r="G260" s="430"/>
      <c r="H260" s="428"/>
      <c r="I260" s="298">
        <f t="shared" si="27"/>
        <v>0</v>
      </c>
      <c r="J260" s="278">
        <f t="shared" si="28"/>
        <v>355890.49352112674</v>
      </c>
      <c r="K260" s="10">
        <f t="shared" si="29"/>
        <v>0</v>
      </c>
      <c r="L260" s="295" t="e">
        <f t="shared" si="30"/>
        <v>#DIV/0!</v>
      </c>
      <c r="M260" s="10"/>
      <c r="N260" s="10"/>
      <c r="O260" s="432"/>
      <c r="P260" s="10">
        <f t="shared" si="31"/>
        <v>44486.311690140843</v>
      </c>
      <c r="Q260" s="14">
        <f t="shared" si="32"/>
        <v>0</v>
      </c>
      <c r="R260" s="2" t="e">
        <f t="shared" si="33"/>
        <v>#DIV/0!</v>
      </c>
      <c r="S260" s="130" t="e">
        <f t="shared" si="34"/>
        <v>#DIV/0!</v>
      </c>
      <c r="T260" s="427" t="e">
        <f t="shared" si="35"/>
        <v>#DIV/0!</v>
      </c>
      <c r="U260" s="126"/>
      <c r="V260" s="493"/>
      <c r="W260" s="493"/>
      <c r="X260" s="493"/>
      <c r="Y260" s="493"/>
      <c r="Z260" s="493"/>
      <c r="AA260" s="493"/>
      <c r="AB260" s="413"/>
      <c r="AC260" s="413"/>
      <c r="AD260" s="413"/>
      <c r="AE260" s="413"/>
      <c r="AF260" s="413"/>
    </row>
    <row r="261" spans="1:32" x14ac:dyDescent="0.25">
      <c r="A261" s="49">
        <f>+'A) Base RI'!A262</f>
        <v>5854</v>
      </c>
      <c r="B261" s="458" t="str">
        <f>+'A) Base RI'!B262</f>
        <v>Burtigny</v>
      </c>
      <c r="C261" s="298">
        <f>+'D) Ecrêtage'!C261</f>
        <v>15255.967208333332</v>
      </c>
      <c r="D261" s="430"/>
      <c r="E261" s="430"/>
      <c r="F261" s="430"/>
      <c r="G261" s="430"/>
      <c r="H261" s="428"/>
      <c r="I261" s="298">
        <f t="shared" si="27"/>
        <v>0</v>
      </c>
      <c r="J261" s="278">
        <f t="shared" si="28"/>
        <v>122047.73766666665</v>
      </c>
      <c r="K261" s="10">
        <f t="shared" si="29"/>
        <v>0</v>
      </c>
      <c r="L261" s="295" t="e">
        <f t="shared" si="30"/>
        <v>#DIV/0!</v>
      </c>
      <c r="M261" s="10"/>
      <c r="N261" s="10"/>
      <c r="O261" s="432"/>
      <c r="P261" s="10">
        <f t="shared" si="31"/>
        <v>15255.967208333332</v>
      </c>
      <c r="Q261" s="14">
        <f t="shared" si="32"/>
        <v>0</v>
      </c>
      <c r="R261" s="2" t="e">
        <f t="shared" si="33"/>
        <v>#DIV/0!</v>
      </c>
      <c r="S261" s="130" t="e">
        <f t="shared" si="34"/>
        <v>#DIV/0!</v>
      </c>
      <c r="T261" s="427" t="e">
        <f t="shared" si="35"/>
        <v>#DIV/0!</v>
      </c>
      <c r="U261" s="126"/>
      <c r="V261" s="493"/>
      <c r="W261" s="493"/>
      <c r="X261" s="493"/>
      <c r="Y261" s="493"/>
      <c r="Z261" s="493"/>
      <c r="AA261" s="493"/>
      <c r="AB261" s="413"/>
      <c r="AC261" s="413"/>
      <c r="AD261" s="413"/>
      <c r="AE261" s="413"/>
      <c r="AF261" s="413"/>
    </row>
    <row r="262" spans="1:32" x14ac:dyDescent="0.25">
      <c r="A262" s="49">
        <f>+'A) Base RI'!A263</f>
        <v>5855</v>
      </c>
      <c r="B262" s="458" t="str">
        <f>+'A) Base RI'!B263</f>
        <v>Dully</v>
      </c>
      <c r="C262" s="298">
        <f>+'D) Ecrêtage'!C262</f>
        <v>93684.152857142864</v>
      </c>
      <c r="D262" s="430"/>
      <c r="E262" s="430"/>
      <c r="F262" s="430"/>
      <c r="G262" s="430"/>
      <c r="H262" s="428"/>
      <c r="I262" s="298">
        <f t="shared" ref="I262:I313" si="36">SUM(F262:H262)</f>
        <v>0</v>
      </c>
      <c r="J262" s="278">
        <f t="shared" ref="J262:J313" si="37">+C262*$K$5</f>
        <v>749473.22285714292</v>
      </c>
      <c r="K262" s="10">
        <f t="shared" ref="K262:K313" si="38">IF(I262&gt;J262,I262-J262,0)</f>
        <v>0</v>
      </c>
      <c r="L262" s="295" t="e">
        <f t="shared" ref="L262:L313" si="39">-K262*L$5</f>
        <v>#DIV/0!</v>
      </c>
      <c r="M262" s="10"/>
      <c r="N262" s="10"/>
      <c r="O262" s="432"/>
      <c r="P262" s="10">
        <f t="shared" ref="P262:P313" si="40">C262*Q$5</f>
        <v>93684.152857142864</v>
      </c>
      <c r="Q262" s="14">
        <f t="shared" ref="Q262:Q313" si="41">IF(O262&gt;P262,O262-P262,0)</f>
        <v>0</v>
      </c>
      <c r="R262" s="2" t="e">
        <f t="shared" ref="R262:R313" si="42">-Q262*R$5</f>
        <v>#DIV/0!</v>
      </c>
      <c r="S262" s="130" t="e">
        <f t="shared" ref="S262:S313" si="43">R262+L262</f>
        <v>#DIV/0!</v>
      </c>
      <c r="T262" s="427" t="e">
        <f t="shared" ref="T262:T313" si="44">+S262/C262</f>
        <v>#DIV/0!</v>
      </c>
      <c r="U262" s="126"/>
      <c r="V262" s="493"/>
      <c r="W262" s="493"/>
      <c r="X262" s="493"/>
      <c r="Y262" s="493"/>
      <c r="Z262" s="493"/>
      <c r="AA262" s="493"/>
      <c r="AB262" s="413"/>
      <c r="AC262" s="413"/>
      <c r="AD262" s="413"/>
      <c r="AE262" s="413"/>
      <c r="AF262" s="413"/>
    </row>
    <row r="263" spans="1:32" x14ac:dyDescent="0.25">
      <c r="A263" s="49">
        <f>+'A) Base RI'!A264</f>
        <v>5856</v>
      </c>
      <c r="B263" s="458" t="str">
        <f>+'A) Base RI'!B264</f>
        <v>Essertines-sur-Rolle</v>
      </c>
      <c r="C263" s="298">
        <f>+'D) Ecrêtage'!C263</f>
        <v>42220.114424522842</v>
      </c>
      <c r="D263" s="430"/>
      <c r="E263" s="430"/>
      <c r="F263" s="430"/>
      <c r="G263" s="430"/>
      <c r="H263" s="428"/>
      <c r="I263" s="298">
        <f t="shared" si="36"/>
        <v>0</v>
      </c>
      <c r="J263" s="278">
        <f t="shared" si="37"/>
        <v>337760.91539618274</v>
      </c>
      <c r="K263" s="10">
        <f t="shared" si="38"/>
        <v>0</v>
      </c>
      <c r="L263" s="295" t="e">
        <f t="shared" si="39"/>
        <v>#DIV/0!</v>
      </c>
      <c r="M263" s="10"/>
      <c r="N263" s="10"/>
      <c r="O263" s="432"/>
      <c r="P263" s="10">
        <f t="shared" si="40"/>
        <v>42220.114424522842</v>
      </c>
      <c r="Q263" s="14">
        <f t="shared" si="41"/>
        <v>0</v>
      </c>
      <c r="R263" s="2" t="e">
        <f t="shared" si="42"/>
        <v>#DIV/0!</v>
      </c>
      <c r="S263" s="130" t="e">
        <f t="shared" si="43"/>
        <v>#DIV/0!</v>
      </c>
      <c r="T263" s="427" t="e">
        <f t="shared" si="44"/>
        <v>#DIV/0!</v>
      </c>
      <c r="U263" s="126"/>
      <c r="V263" s="493"/>
      <c r="W263" s="493"/>
      <c r="X263" s="493"/>
      <c r="Y263" s="493"/>
      <c r="Z263" s="493"/>
      <c r="AA263" s="493"/>
      <c r="AB263" s="413"/>
      <c r="AC263" s="413"/>
      <c r="AD263" s="413"/>
      <c r="AE263" s="413"/>
      <c r="AF263" s="413"/>
    </row>
    <row r="264" spans="1:32" x14ac:dyDescent="0.25">
      <c r="A264" s="49">
        <f>+'A) Base RI'!A265</f>
        <v>5857</v>
      </c>
      <c r="B264" s="458" t="str">
        <f>+'A) Base RI'!B265</f>
        <v>Gilly</v>
      </c>
      <c r="C264" s="298">
        <f>+'D) Ecrêtage'!C264</f>
        <v>88866.553953488372</v>
      </c>
      <c r="D264" s="430"/>
      <c r="E264" s="430"/>
      <c r="F264" s="430"/>
      <c r="G264" s="430"/>
      <c r="H264" s="428"/>
      <c r="I264" s="298">
        <f t="shared" si="36"/>
        <v>0</v>
      </c>
      <c r="J264" s="278">
        <f t="shared" si="37"/>
        <v>710932.43162790698</v>
      </c>
      <c r="K264" s="10">
        <f t="shared" si="38"/>
        <v>0</v>
      </c>
      <c r="L264" s="295" t="e">
        <f t="shared" si="39"/>
        <v>#DIV/0!</v>
      </c>
      <c r="M264" s="10"/>
      <c r="N264" s="10"/>
      <c r="O264" s="432"/>
      <c r="P264" s="10">
        <f t="shared" si="40"/>
        <v>88866.553953488372</v>
      </c>
      <c r="Q264" s="14">
        <f t="shared" si="41"/>
        <v>0</v>
      </c>
      <c r="R264" s="2" t="e">
        <f t="shared" si="42"/>
        <v>#DIV/0!</v>
      </c>
      <c r="S264" s="130" t="e">
        <f t="shared" si="43"/>
        <v>#DIV/0!</v>
      </c>
      <c r="T264" s="427" t="e">
        <f t="shared" si="44"/>
        <v>#DIV/0!</v>
      </c>
      <c r="U264" s="126"/>
      <c r="V264" s="493"/>
      <c r="W264" s="493"/>
      <c r="X264" s="493"/>
      <c r="Y264" s="493"/>
      <c r="Z264" s="493"/>
      <c r="AA264" s="493"/>
      <c r="AB264" s="413"/>
      <c r="AC264" s="413"/>
      <c r="AD264" s="413"/>
      <c r="AE264" s="413"/>
      <c r="AF264" s="413"/>
    </row>
    <row r="265" spans="1:32" x14ac:dyDescent="0.25">
      <c r="A265" s="49">
        <f>+'A) Base RI'!A266</f>
        <v>5858</v>
      </c>
      <c r="B265" s="458" t="str">
        <f>+'A) Base RI'!B266</f>
        <v>Luins</v>
      </c>
      <c r="C265" s="298">
        <f>+'D) Ecrêtage'!C265</f>
        <v>38253.397207977199</v>
      </c>
      <c r="D265" s="430"/>
      <c r="E265" s="430"/>
      <c r="F265" s="430"/>
      <c r="G265" s="430"/>
      <c r="H265" s="428"/>
      <c r="I265" s="298">
        <f t="shared" si="36"/>
        <v>0</v>
      </c>
      <c r="J265" s="278">
        <f t="shared" si="37"/>
        <v>306027.17766381759</v>
      </c>
      <c r="K265" s="10">
        <f t="shared" si="38"/>
        <v>0</v>
      </c>
      <c r="L265" s="295" t="e">
        <f t="shared" si="39"/>
        <v>#DIV/0!</v>
      </c>
      <c r="M265" s="10"/>
      <c r="N265" s="10"/>
      <c r="O265" s="432"/>
      <c r="P265" s="10">
        <f t="shared" si="40"/>
        <v>38253.397207977199</v>
      </c>
      <c r="Q265" s="14">
        <f t="shared" si="41"/>
        <v>0</v>
      </c>
      <c r="R265" s="2" t="e">
        <f t="shared" si="42"/>
        <v>#DIV/0!</v>
      </c>
      <c r="S265" s="130" t="e">
        <f t="shared" si="43"/>
        <v>#DIV/0!</v>
      </c>
      <c r="T265" s="427" t="e">
        <f t="shared" si="44"/>
        <v>#DIV/0!</v>
      </c>
      <c r="U265" s="126"/>
      <c r="V265" s="493"/>
      <c r="W265" s="493"/>
      <c r="X265" s="493"/>
      <c r="Y265" s="493"/>
      <c r="Z265" s="493"/>
      <c r="AA265" s="493"/>
      <c r="AB265" s="413"/>
      <c r="AC265" s="413"/>
      <c r="AD265" s="413"/>
      <c r="AE265" s="413"/>
      <c r="AF265" s="413"/>
    </row>
    <row r="266" spans="1:32" x14ac:dyDescent="0.25">
      <c r="A266" s="49">
        <f>+'A) Base RI'!A267</f>
        <v>5859</v>
      </c>
      <c r="B266" s="458" t="str">
        <f>+'A) Base RI'!B267</f>
        <v>Mont-sur-Rolle</v>
      </c>
      <c r="C266" s="298">
        <f>+'D) Ecrêtage'!C266</f>
        <v>160910.93779527559</v>
      </c>
      <c r="D266" s="430"/>
      <c r="E266" s="430"/>
      <c r="F266" s="430"/>
      <c r="G266" s="430"/>
      <c r="H266" s="428"/>
      <c r="I266" s="298">
        <f t="shared" si="36"/>
        <v>0</v>
      </c>
      <c r="J266" s="278">
        <f t="shared" si="37"/>
        <v>1287287.5023622047</v>
      </c>
      <c r="K266" s="10">
        <f t="shared" si="38"/>
        <v>0</v>
      </c>
      <c r="L266" s="295" t="e">
        <f t="shared" si="39"/>
        <v>#DIV/0!</v>
      </c>
      <c r="M266" s="10"/>
      <c r="N266" s="10"/>
      <c r="O266" s="432"/>
      <c r="P266" s="10">
        <f t="shared" si="40"/>
        <v>160910.93779527559</v>
      </c>
      <c r="Q266" s="14">
        <f t="shared" si="41"/>
        <v>0</v>
      </c>
      <c r="R266" s="2" t="e">
        <f t="shared" si="42"/>
        <v>#DIV/0!</v>
      </c>
      <c r="S266" s="130" t="e">
        <f t="shared" si="43"/>
        <v>#DIV/0!</v>
      </c>
      <c r="T266" s="427" t="e">
        <f t="shared" si="44"/>
        <v>#DIV/0!</v>
      </c>
      <c r="U266" s="126"/>
      <c r="V266" s="493"/>
      <c r="W266" s="493"/>
      <c r="X266" s="493"/>
      <c r="Y266" s="493"/>
      <c r="Z266" s="493"/>
      <c r="AA266" s="493"/>
      <c r="AB266" s="413"/>
      <c r="AC266" s="413"/>
      <c r="AD266" s="413"/>
      <c r="AE266" s="413"/>
      <c r="AF266" s="413"/>
    </row>
    <row r="267" spans="1:32" x14ac:dyDescent="0.25">
      <c r="A267" s="49">
        <f>+'A) Base RI'!A268</f>
        <v>5860</v>
      </c>
      <c r="B267" s="458" t="str">
        <f>+'A) Base RI'!B268</f>
        <v>Perroy</v>
      </c>
      <c r="C267" s="298">
        <f>+'D) Ecrêtage'!C267</f>
        <v>124242.10120973046</v>
      </c>
      <c r="D267" s="430"/>
      <c r="E267" s="430"/>
      <c r="F267" s="430"/>
      <c r="G267" s="430"/>
      <c r="H267" s="428"/>
      <c r="I267" s="298">
        <f t="shared" si="36"/>
        <v>0</v>
      </c>
      <c r="J267" s="278">
        <f t="shared" si="37"/>
        <v>993936.8096778437</v>
      </c>
      <c r="K267" s="10">
        <f t="shared" si="38"/>
        <v>0</v>
      </c>
      <c r="L267" s="295" t="e">
        <f t="shared" si="39"/>
        <v>#DIV/0!</v>
      </c>
      <c r="M267" s="10"/>
      <c r="N267" s="10"/>
      <c r="O267" s="432"/>
      <c r="P267" s="10">
        <f t="shared" si="40"/>
        <v>124242.10120973046</v>
      </c>
      <c r="Q267" s="14">
        <f t="shared" si="41"/>
        <v>0</v>
      </c>
      <c r="R267" s="2" t="e">
        <f t="shared" si="42"/>
        <v>#DIV/0!</v>
      </c>
      <c r="S267" s="130" t="e">
        <f t="shared" si="43"/>
        <v>#DIV/0!</v>
      </c>
      <c r="T267" s="427" t="e">
        <f t="shared" si="44"/>
        <v>#DIV/0!</v>
      </c>
      <c r="U267" s="126"/>
      <c r="V267" s="493"/>
      <c r="W267" s="493"/>
      <c r="X267" s="493"/>
      <c r="Y267" s="493"/>
      <c r="Z267" s="493"/>
      <c r="AA267" s="493"/>
      <c r="AB267" s="413"/>
      <c r="AC267" s="413"/>
      <c r="AD267" s="413"/>
      <c r="AE267" s="413"/>
      <c r="AF267" s="413"/>
    </row>
    <row r="268" spans="1:32" x14ac:dyDescent="0.25">
      <c r="A268" s="49">
        <f>+'A) Base RI'!A269</f>
        <v>5861</v>
      </c>
      <c r="B268" s="458" t="str">
        <f>+'A) Base RI'!B269</f>
        <v>Rolle</v>
      </c>
      <c r="C268" s="298">
        <f>+'D) Ecrêtage'!C268</f>
        <v>638128.58403361356</v>
      </c>
      <c r="D268" s="430"/>
      <c r="E268" s="430"/>
      <c r="F268" s="430"/>
      <c r="G268" s="430"/>
      <c r="H268" s="428"/>
      <c r="I268" s="298">
        <f t="shared" si="36"/>
        <v>0</v>
      </c>
      <c r="J268" s="278">
        <f t="shared" si="37"/>
        <v>5105028.6722689085</v>
      </c>
      <c r="K268" s="10">
        <f t="shared" si="38"/>
        <v>0</v>
      </c>
      <c r="L268" s="295" t="e">
        <f t="shared" si="39"/>
        <v>#DIV/0!</v>
      </c>
      <c r="M268" s="10"/>
      <c r="N268" s="10"/>
      <c r="O268" s="432"/>
      <c r="P268" s="10">
        <f t="shared" si="40"/>
        <v>638128.58403361356</v>
      </c>
      <c r="Q268" s="14">
        <f t="shared" si="41"/>
        <v>0</v>
      </c>
      <c r="R268" s="2" t="e">
        <f t="shared" si="42"/>
        <v>#DIV/0!</v>
      </c>
      <c r="S268" s="130" t="e">
        <f t="shared" si="43"/>
        <v>#DIV/0!</v>
      </c>
      <c r="T268" s="427" t="e">
        <f t="shared" si="44"/>
        <v>#DIV/0!</v>
      </c>
      <c r="U268" s="126"/>
      <c r="V268" s="493"/>
      <c r="W268" s="493"/>
      <c r="X268" s="493"/>
      <c r="Y268" s="493"/>
      <c r="Z268" s="493"/>
      <c r="AA268" s="493"/>
      <c r="AB268" s="413"/>
      <c r="AC268" s="413"/>
      <c r="AD268" s="413"/>
      <c r="AE268" s="413"/>
      <c r="AF268" s="413"/>
    </row>
    <row r="269" spans="1:32" x14ac:dyDescent="0.25">
      <c r="A269" s="49">
        <f>+'A) Base RI'!A270</f>
        <v>5862</v>
      </c>
      <c r="B269" s="458" t="str">
        <f>+'A) Base RI'!B270</f>
        <v>Tartegnin</v>
      </c>
      <c r="C269" s="298">
        <f>+'D) Ecrêtage'!C269</f>
        <v>7891.022278481013</v>
      </c>
      <c r="D269" s="430"/>
      <c r="E269" s="430"/>
      <c r="F269" s="430"/>
      <c r="G269" s="430"/>
      <c r="H269" s="428"/>
      <c r="I269" s="298">
        <f t="shared" si="36"/>
        <v>0</v>
      </c>
      <c r="J269" s="278">
        <f t="shared" si="37"/>
        <v>63128.178227848104</v>
      </c>
      <c r="K269" s="10">
        <f t="shared" si="38"/>
        <v>0</v>
      </c>
      <c r="L269" s="295" t="e">
        <f t="shared" si="39"/>
        <v>#DIV/0!</v>
      </c>
      <c r="M269" s="10"/>
      <c r="N269" s="10"/>
      <c r="O269" s="432"/>
      <c r="P269" s="10">
        <f t="shared" si="40"/>
        <v>7891.022278481013</v>
      </c>
      <c r="Q269" s="14">
        <f t="shared" si="41"/>
        <v>0</v>
      </c>
      <c r="R269" s="2" t="e">
        <f t="shared" si="42"/>
        <v>#DIV/0!</v>
      </c>
      <c r="S269" s="130" t="e">
        <f t="shared" si="43"/>
        <v>#DIV/0!</v>
      </c>
      <c r="T269" s="427" t="e">
        <f t="shared" si="44"/>
        <v>#DIV/0!</v>
      </c>
      <c r="U269" s="126"/>
      <c r="V269" s="493"/>
      <c r="W269" s="493"/>
      <c r="X269" s="493"/>
      <c r="Y269" s="493"/>
      <c r="Z269" s="493"/>
      <c r="AA269" s="493"/>
      <c r="AB269" s="413"/>
      <c r="AC269" s="413"/>
      <c r="AD269" s="413"/>
      <c r="AE269" s="413"/>
      <c r="AF269" s="413"/>
    </row>
    <row r="270" spans="1:32" x14ac:dyDescent="0.25">
      <c r="A270" s="49">
        <f>+'A) Base RI'!A271</f>
        <v>5863</v>
      </c>
      <c r="B270" s="458" t="str">
        <f>+'A) Base RI'!B271</f>
        <v>Vinzel</v>
      </c>
      <c r="C270" s="298">
        <f>+'D) Ecrêtage'!C270</f>
        <v>21424.128507462683</v>
      </c>
      <c r="D270" s="430"/>
      <c r="E270" s="430"/>
      <c r="F270" s="430"/>
      <c r="G270" s="430"/>
      <c r="H270" s="428"/>
      <c r="I270" s="298">
        <f t="shared" si="36"/>
        <v>0</v>
      </c>
      <c r="J270" s="278">
        <f t="shared" si="37"/>
        <v>171393.02805970146</v>
      </c>
      <c r="K270" s="10">
        <f t="shared" si="38"/>
        <v>0</v>
      </c>
      <c r="L270" s="295" t="e">
        <f t="shared" si="39"/>
        <v>#DIV/0!</v>
      </c>
      <c r="M270" s="10"/>
      <c r="N270" s="10"/>
      <c r="O270" s="432"/>
      <c r="P270" s="10">
        <f t="shared" si="40"/>
        <v>21424.128507462683</v>
      </c>
      <c r="Q270" s="14">
        <f t="shared" si="41"/>
        <v>0</v>
      </c>
      <c r="R270" s="2" t="e">
        <f t="shared" si="42"/>
        <v>#DIV/0!</v>
      </c>
      <c r="S270" s="130" t="e">
        <f t="shared" si="43"/>
        <v>#DIV/0!</v>
      </c>
      <c r="T270" s="427" t="e">
        <f t="shared" si="44"/>
        <v>#DIV/0!</v>
      </c>
      <c r="U270" s="126"/>
      <c r="V270" s="493"/>
      <c r="W270" s="493"/>
      <c r="X270" s="493"/>
      <c r="Y270" s="493"/>
      <c r="Z270" s="493"/>
      <c r="AA270" s="493"/>
      <c r="AB270" s="413"/>
      <c r="AC270" s="413"/>
      <c r="AD270" s="413"/>
      <c r="AE270" s="413"/>
      <c r="AF270" s="413"/>
    </row>
    <row r="271" spans="1:32" x14ac:dyDescent="0.25">
      <c r="A271" s="49">
        <f>+'A) Base RI'!A272</f>
        <v>5871</v>
      </c>
      <c r="B271" s="458" t="str">
        <f>+'A) Base RI'!B272</f>
        <v>L'Abbaye</v>
      </c>
      <c r="C271" s="298">
        <f>+'D) Ecrêtage'!C271</f>
        <v>53269.472631578945</v>
      </c>
      <c r="D271" s="430"/>
      <c r="E271" s="430"/>
      <c r="F271" s="430"/>
      <c r="G271" s="430"/>
      <c r="H271" s="428"/>
      <c r="I271" s="298">
        <f t="shared" si="36"/>
        <v>0</v>
      </c>
      <c r="J271" s="278">
        <f t="shared" si="37"/>
        <v>426155.78105263156</v>
      </c>
      <c r="K271" s="10">
        <f t="shared" si="38"/>
        <v>0</v>
      </c>
      <c r="L271" s="295" t="e">
        <f t="shared" si="39"/>
        <v>#DIV/0!</v>
      </c>
      <c r="M271" s="10"/>
      <c r="N271" s="10"/>
      <c r="O271" s="432"/>
      <c r="P271" s="10">
        <f t="shared" si="40"/>
        <v>53269.472631578945</v>
      </c>
      <c r="Q271" s="14">
        <f t="shared" si="41"/>
        <v>0</v>
      </c>
      <c r="R271" s="2" t="e">
        <f t="shared" si="42"/>
        <v>#DIV/0!</v>
      </c>
      <c r="S271" s="130" t="e">
        <f t="shared" si="43"/>
        <v>#DIV/0!</v>
      </c>
      <c r="T271" s="427" t="e">
        <f t="shared" si="44"/>
        <v>#DIV/0!</v>
      </c>
      <c r="U271" s="126"/>
      <c r="V271" s="493"/>
      <c r="W271" s="493"/>
      <c r="X271" s="493"/>
      <c r="Y271" s="493"/>
      <c r="Z271" s="493"/>
      <c r="AA271" s="493"/>
      <c r="AB271" s="413"/>
      <c r="AC271" s="413"/>
      <c r="AD271" s="413"/>
      <c r="AE271" s="413"/>
      <c r="AF271" s="413"/>
    </row>
    <row r="272" spans="1:32" x14ac:dyDescent="0.25">
      <c r="A272" s="49">
        <f>+'A) Base RI'!A273</f>
        <v>5872</v>
      </c>
      <c r="B272" s="458" t="str">
        <f>+'A) Base RI'!B273</f>
        <v>Le Chenit</v>
      </c>
      <c r="C272" s="298">
        <f>+'D) Ecrêtage'!C272</f>
        <v>228048.33794871799</v>
      </c>
      <c r="D272" s="430"/>
      <c r="E272" s="430"/>
      <c r="F272" s="430"/>
      <c r="G272" s="430"/>
      <c r="H272" s="428"/>
      <c r="I272" s="298">
        <f t="shared" si="36"/>
        <v>0</v>
      </c>
      <c r="J272" s="278">
        <f t="shared" si="37"/>
        <v>1824386.7035897439</v>
      </c>
      <c r="K272" s="10">
        <f t="shared" si="38"/>
        <v>0</v>
      </c>
      <c r="L272" s="295" t="e">
        <f t="shared" si="39"/>
        <v>#DIV/0!</v>
      </c>
      <c r="M272" s="10"/>
      <c r="N272" s="10"/>
      <c r="O272" s="432"/>
      <c r="P272" s="10">
        <f t="shared" si="40"/>
        <v>228048.33794871799</v>
      </c>
      <c r="Q272" s="14">
        <f t="shared" si="41"/>
        <v>0</v>
      </c>
      <c r="R272" s="2" t="e">
        <f t="shared" si="42"/>
        <v>#DIV/0!</v>
      </c>
      <c r="S272" s="130" t="e">
        <f t="shared" si="43"/>
        <v>#DIV/0!</v>
      </c>
      <c r="T272" s="427" t="e">
        <f t="shared" si="44"/>
        <v>#DIV/0!</v>
      </c>
      <c r="U272" s="126"/>
      <c r="V272" s="493"/>
      <c r="W272" s="493"/>
      <c r="X272" s="493"/>
      <c r="Y272" s="493"/>
      <c r="Z272" s="493"/>
      <c r="AA272" s="493"/>
      <c r="AB272" s="413"/>
      <c r="AC272" s="413"/>
      <c r="AD272" s="413"/>
      <c r="AE272" s="413"/>
      <c r="AF272" s="413"/>
    </row>
    <row r="273" spans="1:32" x14ac:dyDescent="0.25">
      <c r="A273" s="49">
        <f>+'A) Base RI'!A274</f>
        <v>5873</v>
      </c>
      <c r="B273" s="458" t="str">
        <f>+'A) Base RI'!B274</f>
        <v>Le Lieu</v>
      </c>
      <c r="C273" s="298">
        <f>+'D) Ecrêtage'!C273</f>
        <v>31475.129392857143</v>
      </c>
      <c r="D273" s="430"/>
      <c r="E273" s="430"/>
      <c r="F273" s="430"/>
      <c r="G273" s="430"/>
      <c r="H273" s="428"/>
      <c r="I273" s="298">
        <f t="shared" si="36"/>
        <v>0</v>
      </c>
      <c r="J273" s="278">
        <f t="shared" si="37"/>
        <v>251801.03514285714</v>
      </c>
      <c r="K273" s="10">
        <f t="shared" si="38"/>
        <v>0</v>
      </c>
      <c r="L273" s="295" t="e">
        <f t="shared" si="39"/>
        <v>#DIV/0!</v>
      </c>
      <c r="M273" s="10"/>
      <c r="N273" s="10"/>
      <c r="O273" s="432"/>
      <c r="P273" s="10">
        <f t="shared" si="40"/>
        <v>31475.129392857143</v>
      </c>
      <c r="Q273" s="14">
        <f t="shared" si="41"/>
        <v>0</v>
      </c>
      <c r="R273" s="2" t="e">
        <f t="shared" si="42"/>
        <v>#DIV/0!</v>
      </c>
      <c r="S273" s="130" t="e">
        <f t="shared" si="43"/>
        <v>#DIV/0!</v>
      </c>
      <c r="T273" s="427" t="e">
        <f t="shared" si="44"/>
        <v>#DIV/0!</v>
      </c>
      <c r="U273" s="126"/>
      <c r="V273" s="493"/>
      <c r="W273" s="493"/>
      <c r="X273" s="493"/>
      <c r="Y273" s="493"/>
      <c r="Z273" s="493"/>
      <c r="AA273" s="493"/>
      <c r="AB273" s="413"/>
      <c r="AC273" s="413"/>
      <c r="AD273" s="413"/>
      <c r="AE273" s="413"/>
      <c r="AF273" s="413"/>
    </row>
    <row r="274" spans="1:32" x14ac:dyDescent="0.25">
      <c r="A274" s="49">
        <f>+'A) Base RI'!A275</f>
        <v>5881</v>
      </c>
      <c r="B274" s="458" t="str">
        <f>+'A) Base RI'!B275</f>
        <v>Blonay</v>
      </c>
      <c r="C274" s="298">
        <f>+'D) Ecrêtage'!C274</f>
        <v>371401.9382481752</v>
      </c>
      <c r="D274" s="430"/>
      <c r="E274" s="430"/>
      <c r="F274" s="430"/>
      <c r="G274" s="430"/>
      <c r="H274" s="428"/>
      <c r="I274" s="298">
        <f t="shared" si="36"/>
        <v>0</v>
      </c>
      <c r="J274" s="278">
        <f t="shared" si="37"/>
        <v>2971215.5059854016</v>
      </c>
      <c r="K274" s="10">
        <f t="shared" si="38"/>
        <v>0</v>
      </c>
      <c r="L274" s="295" t="e">
        <f t="shared" si="39"/>
        <v>#DIV/0!</v>
      </c>
      <c r="M274" s="10"/>
      <c r="N274" s="10"/>
      <c r="O274" s="432"/>
      <c r="P274" s="10">
        <f t="shared" si="40"/>
        <v>371401.9382481752</v>
      </c>
      <c r="Q274" s="14">
        <f t="shared" si="41"/>
        <v>0</v>
      </c>
      <c r="R274" s="2" t="e">
        <f t="shared" si="42"/>
        <v>#DIV/0!</v>
      </c>
      <c r="S274" s="130" t="e">
        <f t="shared" si="43"/>
        <v>#DIV/0!</v>
      </c>
      <c r="T274" s="427" t="e">
        <f t="shared" si="44"/>
        <v>#DIV/0!</v>
      </c>
      <c r="U274" s="126"/>
      <c r="V274" s="493"/>
      <c r="W274" s="493"/>
      <c r="X274" s="493"/>
      <c r="Y274" s="493"/>
      <c r="Z274" s="493"/>
      <c r="AA274" s="493"/>
      <c r="AB274" s="413"/>
      <c r="AC274" s="413"/>
      <c r="AD274" s="413"/>
      <c r="AE274" s="413"/>
      <c r="AF274" s="413"/>
    </row>
    <row r="275" spans="1:32" x14ac:dyDescent="0.25">
      <c r="A275" s="49">
        <f>+'A) Base RI'!A276</f>
        <v>5882</v>
      </c>
      <c r="B275" s="458" t="str">
        <f>+'A) Base RI'!B276</f>
        <v>Chardonne</v>
      </c>
      <c r="C275" s="298">
        <f>+'D) Ecrêtage'!C275</f>
        <v>186952.68588235296</v>
      </c>
      <c r="D275" s="430"/>
      <c r="E275" s="430"/>
      <c r="F275" s="430"/>
      <c r="G275" s="430"/>
      <c r="H275" s="428"/>
      <c r="I275" s="298">
        <f t="shared" si="36"/>
        <v>0</v>
      </c>
      <c r="J275" s="278">
        <f t="shared" si="37"/>
        <v>1495621.4870588237</v>
      </c>
      <c r="K275" s="10">
        <f t="shared" si="38"/>
        <v>0</v>
      </c>
      <c r="L275" s="295" t="e">
        <f t="shared" si="39"/>
        <v>#DIV/0!</v>
      </c>
      <c r="M275" s="10"/>
      <c r="N275" s="10"/>
      <c r="O275" s="432"/>
      <c r="P275" s="10">
        <f t="shared" si="40"/>
        <v>186952.68588235296</v>
      </c>
      <c r="Q275" s="14">
        <f t="shared" si="41"/>
        <v>0</v>
      </c>
      <c r="R275" s="2" t="e">
        <f t="shared" si="42"/>
        <v>#DIV/0!</v>
      </c>
      <c r="S275" s="130" t="e">
        <f t="shared" si="43"/>
        <v>#DIV/0!</v>
      </c>
      <c r="T275" s="427" t="e">
        <f t="shared" si="44"/>
        <v>#DIV/0!</v>
      </c>
      <c r="U275" s="126"/>
      <c r="V275" s="493"/>
      <c r="W275" s="493"/>
      <c r="X275" s="493"/>
      <c r="Y275" s="493"/>
      <c r="Z275" s="493"/>
      <c r="AA275" s="493"/>
      <c r="AB275" s="413"/>
      <c r="AC275" s="413"/>
      <c r="AD275" s="413"/>
      <c r="AE275" s="413"/>
      <c r="AF275" s="413"/>
    </row>
    <row r="276" spans="1:32" x14ac:dyDescent="0.25">
      <c r="A276" s="49">
        <f>+'A) Base RI'!A277</f>
        <v>5883</v>
      </c>
      <c r="B276" s="458" t="str">
        <f>+'A) Base RI'!B277</f>
        <v>Corseaux</v>
      </c>
      <c r="C276" s="298">
        <f>+'D) Ecrêtage'!C276</f>
        <v>193095.30118518518</v>
      </c>
      <c r="D276" s="430"/>
      <c r="E276" s="430"/>
      <c r="F276" s="430"/>
      <c r="G276" s="430"/>
      <c r="H276" s="428"/>
      <c r="I276" s="298">
        <f t="shared" si="36"/>
        <v>0</v>
      </c>
      <c r="J276" s="278">
        <f t="shared" si="37"/>
        <v>1544762.4094814814</v>
      </c>
      <c r="K276" s="10">
        <f t="shared" si="38"/>
        <v>0</v>
      </c>
      <c r="L276" s="295" t="e">
        <f t="shared" si="39"/>
        <v>#DIV/0!</v>
      </c>
      <c r="M276" s="10"/>
      <c r="N276" s="10"/>
      <c r="O276" s="432"/>
      <c r="P276" s="10">
        <f t="shared" si="40"/>
        <v>193095.30118518518</v>
      </c>
      <c r="Q276" s="14">
        <f t="shared" si="41"/>
        <v>0</v>
      </c>
      <c r="R276" s="2" t="e">
        <f t="shared" si="42"/>
        <v>#DIV/0!</v>
      </c>
      <c r="S276" s="130" t="e">
        <f t="shared" si="43"/>
        <v>#DIV/0!</v>
      </c>
      <c r="T276" s="427" t="e">
        <f t="shared" si="44"/>
        <v>#DIV/0!</v>
      </c>
      <c r="U276" s="126"/>
      <c r="V276" s="493"/>
      <c r="W276" s="493"/>
      <c r="X276" s="493"/>
      <c r="Y276" s="493"/>
      <c r="Z276" s="493"/>
      <c r="AA276" s="493"/>
      <c r="AB276" s="413"/>
      <c r="AC276" s="413"/>
      <c r="AD276" s="413"/>
      <c r="AE276" s="413"/>
      <c r="AF276" s="413"/>
    </row>
    <row r="277" spans="1:32" x14ac:dyDescent="0.25">
      <c r="A277" s="49">
        <f>+'A) Base RI'!A278</f>
        <v>5884</v>
      </c>
      <c r="B277" s="458" t="str">
        <f>+'A) Base RI'!B278</f>
        <v>Corsier-sur-Vevey</v>
      </c>
      <c r="C277" s="298">
        <f>+'D) Ecrêtage'!C277</f>
        <v>148896.79012919901</v>
      </c>
      <c r="D277" s="430"/>
      <c r="E277" s="430"/>
      <c r="F277" s="430"/>
      <c r="G277" s="430"/>
      <c r="H277" s="428"/>
      <c r="I277" s="298">
        <f t="shared" si="36"/>
        <v>0</v>
      </c>
      <c r="J277" s="278">
        <f t="shared" si="37"/>
        <v>1191174.3210335921</v>
      </c>
      <c r="K277" s="10">
        <f t="shared" si="38"/>
        <v>0</v>
      </c>
      <c r="L277" s="295" t="e">
        <f t="shared" si="39"/>
        <v>#DIV/0!</v>
      </c>
      <c r="M277" s="10"/>
      <c r="N277" s="10"/>
      <c r="O277" s="432"/>
      <c r="P277" s="10">
        <f t="shared" si="40"/>
        <v>148896.79012919901</v>
      </c>
      <c r="Q277" s="14">
        <f t="shared" si="41"/>
        <v>0</v>
      </c>
      <c r="R277" s="2" t="e">
        <f t="shared" si="42"/>
        <v>#DIV/0!</v>
      </c>
      <c r="S277" s="130" t="e">
        <f t="shared" si="43"/>
        <v>#DIV/0!</v>
      </c>
      <c r="T277" s="427" t="e">
        <f t="shared" si="44"/>
        <v>#DIV/0!</v>
      </c>
      <c r="U277" s="126"/>
      <c r="V277" s="493"/>
      <c r="W277" s="493"/>
      <c r="X277" s="493"/>
      <c r="Y277" s="493"/>
      <c r="Z277" s="493"/>
      <c r="AA277" s="493"/>
      <c r="AB277" s="413"/>
      <c r="AC277" s="413"/>
      <c r="AD277" s="413"/>
      <c r="AE277" s="413"/>
      <c r="AF277" s="413"/>
    </row>
    <row r="278" spans="1:32" x14ac:dyDescent="0.25">
      <c r="A278" s="49">
        <f>+'A) Base RI'!A279</f>
        <v>5885</v>
      </c>
      <c r="B278" s="458" t="str">
        <f>+'A) Base RI'!B279</f>
        <v>Jongny</v>
      </c>
      <c r="C278" s="298">
        <f>+'D) Ecrêtage'!C278</f>
        <v>97076.940527577928</v>
      </c>
      <c r="D278" s="430"/>
      <c r="E278" s="430"/>
      <c r="F278" s="430"/>
      <c r="G278" s="430"/>
      <c r="H278" s="428"/>
      <c r="I278" s="298">
        <f t="shared" si="36"/>
        <v>0</v>
      </c>
      <c r="J278" s="278">
        <f t="shared" si="37"/>
        <v>776615.52422062343</v>
      </c>
      <c r="K278" s="10">
        <f t="shared" si="38"/>
        <v>0</v>
      </c>
      <c r="L278" s="295" t="e">
        <f t="shared" si="39"/>
        <v>#DIV/0!</v>
      </c>
      <c r="M278" s="10"/>
      <c r="N278" s="10"/>
      <c r="O278" s="432"/>
      <c r="P278" s="10">
        <f t="shared" si="40"/>
        <v>97076.940527577928</v>
      </c>
      <c r="Q278" s="14">
        <f t="shared" si="41"/>
        <v>0</v>
      </c>
      <c r="R278" s="2" t="e">
        <f t="shared" si="42"/>
        <v>#DIV/0!</v>
      </c>
      <c r="S278" s="130" t="e">
        <f t="shared" si="43"/>
        <v>#DIV/0!</v>
      </c>
      <c r="T278" s="427" t="e">
        <f t="shared" si="44"/>
        <v>#DIV/0!</v>
      </c>
      <c r="U278" s="126"/>
      <c r="V278" s="493"/>
      <c r="W278" s="493"/>
      <c r="X278" s="493"/>
      <c r="Y278" s="493"/>
      <c r="Z278" s="493"/>
      <c r="AA278" s="493"/>
      <c r="AB278" s="413"/>
      <c r="AC278" s="413"/>
      <c r="AD278" s="413"/>
      <c r="AE278" s="413"/>
      <c r="AF278" s="413"/>
    </row>
    <row r="279" spans="1:32" x14ac:dyDescent="0.25">
      <c r="A279" s="49">
        <f>+'A) Base RI'!A280</f>
        <v>5886</v>
      </c>
      <c r="B279" s="458" t="str">
        <f>+'A) Base RI'!B280</f>
        <v>Montreux</v>
      </c>
      <c r="C279" s="298">
        <f>+'D) Ecrêtage'!C279</f>
        <v>1223405.0430769229</v>
      </c>
      <c r="D279" s="430"/>
      <c r="E279" s="430"/>
      <c r="F279" s="430"/>
      <c r="G279" s="430"/>
      <c r="H279" s="428"/>
      <c r="I279" s="298">
        <f t="shared" si="36"/>
        <v>0</v>
      </c>
      <c r="J279" s="278">
        <f t="shared" si="37"/>
        <v>9787240.3446153831</v>
      </c>
      <c r="K279" s="10">
        <f t="shared" si="38"/>
        <v>0</v>
      </c>
      <c r="L279" s="295" t="e">
        <f t="shared" si="39"/>
        <v>#DIV/0!</v>
      </c>
      <c r="M279" s="10"/>
      <c r="N279" s="10"/>
      <c r="O279" s="432"/>
      <c r="P279" s="10">
        <f t="shared" si="40"/>
        <v>1223405.0430769229</v>
      </c>
      <c r="Q279" s="14">
        <f t="shared" si="41"/>
        <v>0</v>
      </c>
      <c r="R279" s="2" t="e">
        <f t="shared" si="42"/>
        <v>#DIV/0!</v>
      </c>
      <c r="S279" s="130" t="e">
        <f t="shared" si="43"/>
        <v>#DIV/0!</v>
      </c>
      <c r="T279" s="427" t="e">
        <f t="shared" si="44"/>
        <v>#DIV/0!</v>
      </c>
      <c r="U279" s="126"/>
      <c r="V279" s="493"/>
      <c r="W279" s="493"/>
      <c r="X279" s="493"/>
      <c r="Y279" s="493"/>
      <c r="Z279" s="493"/>
      <c r="AA279" s="493"/>
      <c r="AB279" s="413"/>
      <c r="AC279" s="413"/>
      <c r="AD279" s="413"/>
      <c r="AE279" s="413"/>
      <c r="AF279" s="413"/>
    </row>
    <row r="280" spans="1:32" x14ac:dyDescent="0.25">
      <c r="A280" s="49">
        <f>+'A) Base RI'!A281</f>
        <v>5888</v>
      </c>
      <c r="B280" s="458" t="str">
        <f>+'A) Base RI'!B281</f>
        <v>Saint-Légier-La Chiésaz</v>
      </c>
      <c r="C280" s="298">
        <f>+'D) Ecrêtage'!C280</f>
        <v>334017.18953771284</v>
      </c>
      <c r="D280" s="430"/>
      <c r="E280" s="430"/>
      <c r="F280" s="430"/>
      <c r="G280" s="430"/>
      <c r="H280" s="428"/>
      <c r="I280" s="298">
        <f t="shared" si="36"/>
        <v>0</v>
      </c>
      <c r="J280" s="278">
        <f t="shared" si="37"/>
        <v>2672137.5163017027</v>
      </c>
      <c r="K280" s="10">
        <f t="shared" si="38"/>
        <v>0</v>
      </c>
      <c r="L280" s="295" t="e">
        <f t="shared" si="39"/>
        <v>#DIV/0!</v>
      </c>
      <c r="M280" s="10"/>
      <c r="N280" s="10"/>
      <c r="O280" s="432"/>
      <c r="P280" s="10">
        <f t="shared" si="40"/>
        <v>334017.18953771284</v>
      </c>
      <c r="Q280" s="14">
        <f t="shared" si="41"/>
        <v>0</v>
      </c>
      <c r="R280" s="2" t="e">
        <f t="shared" si="42"/>
        <v>#DIV/0!</v>
      </c>
      <c r="S280" s="130" t="e">
        <f t="shared" si="43"/>
        <v>#DIV/0!</v>
      </c>
      <c r="T280" s="427" t="e">
        <f t="shared" si="44"/>
        <v>#DIV/0!</v>
      </c>
      <c r="U280" s="126"/>
      <c r="V280" s="493"/>
      <c r="W280" s="493"/>
      <c r="X280" s="493"/>
      <c r="Y280" s="493"/>
      <c r="Z280" s="493"/>
      <c r="AA280" s="493"/>
      <c r="AB280" s="413"/>
      <c r="AC280" s="413"/>
      <c r="AD280" s="413"/>
      <c r="AE280" s="413"/>
      <c r="AF280" s="413"/>
    </row>
    <row r="281" spans="1:32" x14ac:dyDescent="0.25">
      <c r="A281" s="49">
        <f>+'A) Base RI'!A282</f>
        <v>5889</v>
      </c>
      <c r="B281" s="458" t="str">
        <f>+'A) Base RI'!B282</f>
        <v>La Tour-de-Peilz</v>
      </c>
      <c r="C281" s="298">
        <f>+'D) Ecrêtage'!C281</f>
        <v>740535.59942708339</v>
      </c>
      <c r="D281" s="430"/>
      <c r="E281" s="430"/>
      <c r="F281" s="430"/>
      <c r="G281" s="430"/>
      <c r="H281" s="428"/>
      <c r="I281" s="298">
        <f t="shared" si="36"/>
        <v>0</v>
      </c>
      <c r="J281" s="278">
        <f t="shared" si="37"/>
        <v>5924284.7954166671</v>
      </c>
      <c r="K281" s="10">
        <f t="shared" si="38"/>
        <v>0</v>
      </c>
      <c r="L281" s="295" t="e">
        <f t="shared" si="39"/>
        <v>#DIV/0!</v>
      </c>
      <c r="M281" s="10"/>
      <c r="N281" s="10"/>
      <c r="O281" s="432"/>
      <c r="P281" s="10">
        <f t="shared" si="40"/>
        <v>740535.59942708339</v>
      </c>
      <c r="Q281" s="14">
        <f t="shared" si="41"/>
        <v>0</v>
      </c>
      <c r="R281" s="2" t="e">
        <f t="shared" si="42"/>
        <v>#DIV/0!</v>
      </c>
      <c r="S281" s="130" t="e">
        <f t="shared" si="43"/>
        <v>#DIV/0!</v>
      </c>
      <c r="T281" s="427" t="e">
        <f t="shared" si="44"/>
        <v>#DIV/0!</v>
      </c>
      <c r="U281" s="126"/>
      <c r="V281" s="493"/>
      <c r="W281" s="493"/>
      <c r="X281" s="493"/>
      <c r="Y281" s="493"/>
      <c r="Z281" s="493"/>
      <c r="AA281" s="493"/>
      <c r="AB281" s="413"/>
      <c r="AC281" s="413"/>
      <c r="AD281" s="413"/>
      <c r="AE281" s="413"/>
      <c r="AF281" s="413"/>
    </row>
    <row r="282" spans="1:32" x14ac:dyDescent="0.25">
      <c r="A282" s="49">
        <f>+'A) Base RI'!A283</f>
        <v>5890</v>
      </c>
      <c r="B282" s="458" t="str">
        <f>+'A) Base RI'!B283</f>
        <v>Vevey</v>
      </c>
      <c r="C282" s="298">
        <f>+'D) Ecrêtage'!C282</f>
        <v>969776.79771812086</v>
      </c>
      <c r="D282" s="430"/>
      <c r="E282" s="430"/>
      <c r="F282" s="430"/>
      <c r="G282" s="430"/>
      <c r="H282" s="428"/>
      <c r="I282" s="298">
        <f t="shared" si="36"/>
        <v>0</v>
      </c>
      <c r="J282" s="278">
        <f t="shared" si="37"/>
        <v>7758214.3817449668</v>
      </c>
      <c r="K282" s="10">
        <f t="shared" si="38"/>
        <v>0</v>
      </c>
      <c r="L282" s="295" t="e">
        <f t="shared" si="39"/>
        <v>#DIV/0!</v>
      </c>
      <c r="M282" s="10"/>
      <c r="N282" s="10"/>
      <c r="O282" s="432"/>
      <c r="P282" s="10">
        <f t="shared" si="40"/>
        <v>969776.79771812086</v>
      </c>
      <c r="Q282" s="14">
        <f t="shared" si="41"/>
        <v>0</v>
      </c>
      <c r="R282" s="2" t="e">
        <f t="shared" si="42"/>
        <v>#DIV/0!</v>
      </c>
      <c r="S282" s="130" t="e">
        <f t="shared" si="43"/>
        <v>#DIV/0!</v>
      </c>
      <c r="T282" s="427" t="e">
        <f t="shared" si="44"/>
        <v>#DIV/0!</v>
      </c>
      <c r="U282" s="126"/>
      <c r="V282" s="493"/>
      <c r="W282" s="493"/>
      <c r="X282" s="493"/>
      <c r="Y282" s="493"/>
      <c r="Z282" s="493"/>
      <c r="AA282" s="493"/>
      <c r="AB282" s="413"/>
      <c r="AC282" s="413"/>
      <c r="AD282" s="413"/>
      <c r="AE282" s="413"/>
      <c r="AF282" s="413"/>
    </row>
    <row r="283" spans="1:32" x14ac:dyDescent="0.25">
      <c r="A283" s="49">
        <f>+'A) Base RI'!A284</f>
        <v>5891</v>
      </c>
      <c r="B283" s="458" t="str">
        <f>+'A) Base RI'!B284</f>
        <v>Veytaux</v>
      </c>
      <c r="C283" s="298">
        <f>+'D) Ecrêtage'!C283</f>
        <v>39123.353381294961</v>
      </c>
      <c r="D283" s="430"/>
      <c r="E283" s="430"/>
      <c r="F283" s="430"/>
      <c r="G283" s="430"/>
      <c r="H283" s="428"/>
      <c r="I283" s="298">
        <f t="shared" si="36"/>
        <v>0</v>
      </c>
      <c r="J283" s="278">
        <f t="shared" si="37"/>
        <v>312986.82705035969</v>
      </c>
      <c r="K283" s="10">
        <f t="shared" si="38"/>
        <v>0</v>
      </c>
      <c r="L283" s="295" t="e">
        <f t="shared" si="39"/>
        <v>#DIV/0!</v>
      </c>
      <c r="M283" s="10"/>
      <c r="N283" s="10"/>
      <c r="O283" s="432"/>
      <c r="P283" s="10">
        <f t="shared" si="40"/>
        <v>39123.353381294961</v>
      </c>
      <c r="Q283" s="14">
        <f t="shared" si="41"/>
        <v>0</v>
      </c>
      <c r="R283" s="2" t="e">
        <f t="shared" si="42"/>
        <v>#DIV/0!</v>
      </c>
      <c r="S283" s="130" t="e">
        <f t="shared" si="43"/>
        <v>#DIV/0!</v>
      </c>
      <c r="T283" s="427" t="e">
        <f t="shared" si="44"/>
        <v>#DIV/0!</v>
      </c>
      <c r="U283" s="126"/>
      <c r="V283" s="493"/>
      <c r="W283" s="493"/>
      <c r="X283" s="493"/>
      <c r="Y283" s="493"/>
      <c r="Z283" s="493"/>
      <c r="AA283" s="493"/>
      <c r="AB283" s="413"/>
      <c r="AC283" s="413"/>
      <c r="AD283" s="413"/>
      <c r="AE283" s="413"/>
      <c r="AF283" s="413"/>
    </row>
    <row r="284" spans="1:32" x14ac:dyDescent="0.25">
      <c r="A284" s="49">
        <f>+'A) Base RI'!A285</f>
        <v>5902</v>
      </c>
      <c r="B284" s="458" t="str">
        <f>+'A) Base RI'!B285</f>
        <v>Belmont-sur-Yverdon</v>
      </c>
      <c r="C284" s="298">
        <f>+'D) Ecrêtage'!C284</f>
        <v>12109.15</v>
      </c>
      <c r="D284" s="430"/>
      <c r="E284" s="430"/>
      <c r="F284" s="430"/>
      <c r="G284" s="430"/>
      <c r="H284" s="428"/>
      <c r="I284" s="298">
        <f t="shared" si="36"/>
        <v>0</v>
      </c>
      <c r="J284" s="278">
        <f t="shared" si="37"/>
        <v>96873.2</v>
      </c>
      <c r="K284" s="10">
        <f t="shared" si="38"/>
        <v>0</v>
      </c>
      <c r="L284" s="295" t="e">
        <f t="shared" si="39"/>
        <v>#DIV/0!</v>
      </c>
      <c r="M284" s="10"/>
      <c r="N284" s="10"/>
      <c r="O284" s="432"/>
      <c r="P284" s="10">
        <f t="shared" si="40"/>
        <v>12109.15</v>
      </c>
      <c r="Q284" s="14">
        <f t="shared" si="41"/>
        <v>0</v>
      </c>
      <c r="R284" s="2" t="e">
        <f t="shared" si="42"/>
        <v>#DIV/0!</v>
      </c>
      <c r="S284" s="130" t="e">
        <f t="shared" si="43"/>
        <v>#DIV/0!</v>
      </c>
      <c r="T284" s="427" t="e">
        <f t="shared" si="44"/>
        <v>#DIV/0!</v>
      </c>
      <c r="U284" s="126"/>
      <c r="V284" s="493"/>
      <c r="W284" s="493"/>
      <c r="X284" s="493"/>
      <c r="Y284" s="493"/>
      <c r="Z284" s="493"/>
      <c r="AA284" s="493"/>
      <c r="AB284" s="413"/>
      <c r="AC284" s="413"/>
      <c r="AD284" s="413"/>
      <c r="AE284" s="413"/>
      <c r="AF284" s="413"/>
    </row>
    <row r="285" spans="1:32" x14ac:dyDescent="0.25">
      <c r="A285" s="49">
        <f>+'A) Base RI'!A286</f>
        <v>5903</v>
      </c>
      <c r="B285" s="458" t="str">
        <f>+'A) Base RI'!B286</f>
        <v>Bioley-Magnoux</v>
      </c>
      <c r="C285" s="298">
        <f>+'D) Ecrêtage'!C285</f>
        <v>6059.1993849206356</v>
      </c>
      <c r="D285" s="430"/>
      <c r="E285" s="430"/>
      <c r="F285" s="430"/>
      <c r="G285" s="430"/>
      <c r="H285" s="428"/>
      <c r="I285" s="298">
        <f t="shared" si="36"/>
        <v>0</v>
      </c>
      <c r="J285" s="278">
        <f t="shared" si="37"/>
        <v>48473.595079365085</v>
      </c>
      <c r="K285" s="10">
        <f t="shared" si="38"/>
        <v>0</v>
      </c>
      <c r="L285" s="295" t="e">
        <f t="shared" si="39"/>
        <v>#DIV/0!</v>
      </c>
      <c r="M285" s="10"/>
      <c r="N285" s="10"/>
      <c r="O285" s="432"/>
      <c r="P285" s="10">
        <f t="shared" si="40"/>
        <v>6059.1993849206356</v>
      </c>
      <c r="Q285" s="14">
        <f t="shared" si="41"/>
        <v>0</v>
      </c>
      <c r="R285" s="2" t="e">
        <f t="shared" si="42"/>
        <v>#DIV/0!</v>
      </c>
      <c r="S285" s="130" t="e">
        <f t="shared" si="43"/>
        <v>#DIV/0!</v>
      </c>
      <c r="T285" s="427" t="e">
        <f t="shared" si="44"/>
        <v>#DIV/0!</v>
      </c>
      <c r="U285" s="126"/>
      <c r="V285" s="493"/>
      <c r="W285" s="493"/>
      <c r="X285" s="493"/>
      <c r="Y285" s="493"/>
      <c r="Z285" s="493"/>
      <c r="AA285" s="493"/>
      <c r="AB285" s="413"/>
      <c r="AC285" s="413"/>
      <c r="AD285" s="413"/>
      <c r="AE285" s="413"/>
      <c r="AF285" s="413"/>
    </row>
    <row r="286" spans="1:32" x14ac:dyDescent="0.25">
      <c r="A286" s="49">
        <f>+'A) Base RI'!A287</f>
        <v>5904</v>
      </c>
      <c r="B286" s="458" t="str">
        <f>+'A) Base RI'!B287</f>
        <v>Chamblon</v>
      </c>
      <c r="C286" s="298">
        <f>+'D) Ecrêtage'!C286</f>
        <v>22178.215151515149</v>
      </c>
      <c r="D286" s="430"/>
      <c r="E286" s="430"/>
      <c r="F286" s="430"/>
      <c r="G286" s="430"/>
      <c r="H286" s="428"/>
      <c r="I286" s="298">
        <f t="shared" si="36"/>
        <v>0</v>
      </c>
      <c r="J286" s="278">
        <f t="shared" si="37"/>
        <v>177425.72121212119</v>
      </c>
      <c r="K286" s="10">
        <f t="shared" si="38"/>
        <v>0</v>
      </c>
      <c r="L286" s="295" t="e">
        <f t="shared" si="39"/>
        <v>#DIV/0!</v>
      </c>
      <c r="M286" s="10"/>
      <c r="N286" s="10"/>
      <c r="O286" s="432"/>
      <c r="P286" s="10">
        <f t="shared" si="40"/>
        <v>22178.215151515149</v>
      </c>
      <c r="Q286" s="14">
        <f t="shared" si="41"/>
        <v>0</v>
      </c>
      <c r="R286" s="2" t="e">
        <f t="shared" si="42"/>
        <v>#DIV/0!</v>
      </c>
      <c r="S286" s="130" t="e">
        <f t="shared" si="43"/>
        <v>#DIV/0!</v>
      </c>
      <c r="T286" s="427" t="e">
        <f t="shared" si="44"/>
        <v>#DIV/0!</v>
      </c>
      <c r="U286" s="126"/>
      <c r="V286" s="493"/>
      <c r="W286" s="493"/>
      <c r="X286" s="493"/>
      <c r="Y286" s="493"/>
      <c r="Z286" s="493"/>
      <c r="AA286" s="493"/>
      <c r="AB286" s="413"/>
      <c r="AC286" s="413"/>
      <c r="AD286" s="413"/>
      <c r="AE286" s="413"/>
      <c r="AF286" s="413"/>
    </row>
    <row r="287" spans="1:32" x14ac:dyDescent="0.25">
      <c r="A287" s="49">
        <f>+'A) Base RI'!A288</f>
        <v>5905</v>
      </c>
      <c r="B287" s="458" t="str">
        <f>+'A) Base RI'!B288</f>
        <v>Champvent</v>
      </c>
      <c r="C287" s="298">
        <f>+'D) Ecrêtage'!C287</f>
        <v>23236.229714285717</v>
      </c>
      <c r="D287" s="430"/>
      <c r="E287" s="430"/>
      <c r="F287" s="430"/>
      <c r="G287" s="430"/>
      <c r="H287" s="428"/>
      <c r="I287" s="298">
        <f t="shared" si="36"/>
        <v>0</v>
      </c>
      <c r="J287" s="278">
        <f t="shared" si="37"/>
        <v>185889.83771428574</v>
      </c>
      <c r="K287" s="10">
        <f t="shared" si="38"/>
        <v>0</v>
      </c>
      <c r="L287" s="295" t="e">
        <f t="shared" si="39"/>
        <v>#DIV/0!</v>
      </c>
      <c r="M287" s="10"/>
      <c r="N287" s="10"/>
      <c r="O287" s="432"/>
      <c r="P287" s="10">
        <f t="shared" si="40"/>
        <v>23236.229714285717</v>
      </c>
      <c r="Q287" s="14">
        <f t="shared" si="41"/>
        <v>0</v>
      </c>
      <c r="R287" s="2" t="e">
        <f t="shared" si="42"/>
        <v>#DIV/0!</v>
      </c>
      <c r="S287" s="130" t="e">
        <f t="shared" si="43"/>
        <v>#DIV/0!</v>
      </c>
      <c r="T287" s="427" t="e">
        <f t="shared" si="44"/>
        <v>#DIV/0!</v>
      </c>
      <c r="U287" s="126"/>
      <c r="V287" s="493"/>
      <c r="W287" s="493"/>
      <c r="X287" s="493"/>
      <c r="Y287" s="493"/>
      <c r="Z287" s="493"/>
      <c r="AA287" s="493"/>
      <c r="AB287" s="413"/>
      <c r="AC287" s="413"/>
      <c r="AD287" s="413"/>
      <c r="AE287" s="413"/>
      <c r="AF287" s="413"/>
    </row>
    <row r="288" spans="1:32" x14ac:dyDescent="0.25">
      <c r="A288" s="49">
        <f>+'A) Base RI'!A289</f>
        <v>5907</v>
      </c>
      <c r="B288" s="458" t="str">
        <f>+'A) Base RI'!B289</f>
        <v>Chavannes-le-Chêne</v>
      </c>
      <c r="C288" s="298">
        <f>+'D) Ecrêtage'!C288</f>
        <v>7818.3477333333331</v>
      </c>
      <c r="D288" s="430"/>
      <c r="E288" s="430"/>
      <c r="F288" s="430"/>
      <c r="G288" s="430"/>
      <c r="H288" s="428"/>
      <c r="I288" s="298">
        <f t="shared" si="36"/>
        <v>0</v>
      </c>
      <c r="J288" s="278">
        <f t="shared" si="37"/>
        <v>62546.781866666664</v>
      </c>
      <c r="K288" s="10">
        <f t="shared" si="38"/>
        <v>0</v>
      </c>
      <c r="L288" s="295" t="e">
        <f t="shared" si="39"/>
        <v>#DIV/0!</v>
      </c>
      <c r="M288" s="10"/>
      <c r="N288" s="10"/>
      <c r="O288" s="432"/>
      <c r="P288" s="10">
        <f t="shared" si="40"/>
        <v>7818.3477333333331</v>
      </c>
      <c r="Q288" s="14">
        <f t="shared" si="41"/>
        <v>0</v>
      </c>
      <c r="R288" s="2" t="e">
        <f t="shared" si="42"/>
        <v>#DIV/0!</v>
      </c>
      <c r="S288" s="130" t="e">
        <f t="shared" si="43"/>
        <v>#DIV/0!</v>
      </c>
      <c r="T288" s="427" t="e">
        <f t="shared" si="44"/>
        <v>#DIV/0!</v>
      </c>
      <c r="U288" s="126"/>
      <c r="V288" s="493"/>
      <c r="W288" s="493"/>
      <c r="X288" s="493"/>
      <c r="Y288" s="493"/>
      <c r="Z288" s="493"/>
      <c r="AA288" s="493"/>
      <c r="AB288" s="413"/>
      <c r="AC288" s="413"/>
      <c r="AD288" s="413"/>
      <c r="AE288" s="413"/>
      <c r="AF288" s="413"/>
    </row>
    <row r="289" spans="1:32" x14ac:dyDescent="0.25">
      <c r="A289" s="49">
        <f>+'A) Base RI'!A290</f>
        <v>5908</v>
      </c>
      <c r="B289" s="458" t="str">
        <f>+'A) Base RI'!B290</f>
        <v>Chêne-Pâquier</v>
      </c>
      <c r="C289" s="298">
        <f>+'D) Ecrêtage'!C289</f>
        <v>4413.8781012658228</v>
      </c>
      <c r="D289" s="430"/>
      <c r="E289" s="430"/>
      <c r="F289" s="430"/>
      <c r="G289" s="430"/>
      <c r="H289" s="428"/>
      <c r="I289" s="298">
        <f t="shared" si="36"/>
        <v>0</v>
      </c>
      <c r="J289" s="278">
        <f t="shared" si="37"/>
        <v>35311.024810126582</v>
      </c>
      <c r="K289" s="10">
        <f t="shared" si="38"/>
        <v>0</v>
      </c>
      <c r="L289" s="295" t="e">
        <f t="shared" si="39"/>
        <v>#DIV/0!</v>
      </c>
      <c r="M289" s="10"/>
      <c r="N289" s="10"/>
      <c r="O289" s="432"/>
      <c r="P289" s="10">
        <f t="shared" si="40"/>
        <v>4413.8781012658228</v>
      </c>
      <c r="Q289" s="14">
        <f t="shared" si="41"/>
        <v>0</v>
      </c>
      <c r="R289" s="2" t="e">
        <f t="shared" si="42"/>
        <v>#DIV/0!</v>
      </c>
      <c r="S289" s="130" t="e">
        <f t="shared" si="43"/>
        <v>#DIV/0!</v>
      </c>
      <c r="T289" s="427" t="e">
        <f t="shared" si="44"/>
        <v>#DIV/0!</v>
      </c>
      <c r="U289" s="126"/>
      <c r="V289" s="493"/>
      <c r="W289" s="493"/>
      <c r="X289" s="493"/>
      <c r="Y289" s="493"/>
      <c r="Z289" s="493"/>
      <c r="AA289" s="493"/>
      <c r="AB289" s="413"/>
      <c r="AC289" s="413"/>
      <c r="AD289" s="413"/>
      <c r="AE289" s="413"/>
      <c r="AF289" s="413"/>
    </row>
    <row r="290" spans="1:32" x14ac:dyDescent="0.25">
      <c r="A290" s="49">
        <f>+'A) Base RI'!A291</f>
        <v>5909</v>
      </c>
      <c r="B290" s="458" t="str">
        <f>+'A) Base RI'!B291</f>
        <v>Cheseaux-Noréaz</v>
      </c>
      <c r="C290" s="298">
        <f>+'D) Ecrêtage'!C290</f>
        <v>36898.573134328355</v>
      </c>
      <c r="D290" s="430"/>
      <c r="E290" s="430"/>
      <c r="F290" s="430"/>
      <c r="G290" s="430"/>
      <c r="H290" s="428"/>
      <c r="I290" s="298">
        <f t="shared" si="36"/>
        <v>0</v>
      </c>
      <c r="J290" s="278">
        <f t="shared" si="37"/>
        <v>295188.58507462684</v>
      </c>
      <c r="K290" s="10">
        <f t="shared" si="38"/>
        <v>0</v>
      </c>
      <c r="L290" s="295" t="e">
        <f t="shared" si="39"/>
        <v>#DIV/0!</v>
      </c>
      <c r="M290" s="10"/>
      <c r="N290" s="10"/>
      <c r="O290" s="432"/>
      <c r="P290" s="10">
        <f t="shared" si="40"/>
        <v>36898.573134328355</v>
      </c>
      <c r="Q290" s="14">
        <f t="shared" si="41"/>
        <v>0</v>
      </c>
      <c r="R290" s="2" t="e">
        <f t="shared" si="42"/>
        <v>#DIV/0!</v>
      </c>
      <c r="S290" s="130" t="e">
        <f t="shared" si="43"/>
        <v>#DIV/0!</v>
      </c>
      <c r="T290" s="427" t="e">
        <f t="shared" si="44"/>
        <v>#DIV/0!</v>
      </c>
      <c r="U290" s="126"/>
      <c r="V290" s="493"/>
      <c r="W290" s="493"/>
      <c r="X290" s="493"/>
      <c r="Y290" s="493"/>
      <c r="Z290" s="493"/>
      <c r="AA290" s="493"/>
      <c r="AB290" s="413"/>
      <c r="AC290" s="413"/>
      <c r="AD290" s="413"/>
      <c r="AE290" s="413"/>
      <c r="AF290" s="413"/>
    </row>
    <row r="291" spans="1:32" x14ac:dyDescent="0.25">
      <c r="A291" s="49">
        <f>+'A) Base RI'!A292</f>
        <v>5910</v>
      </c>
      <c r="B291" s="458" t="str">
        <f>+'A) Base RI'!B292</f>
        <v>Cronay</v>
      </c>
      <c r="C291" s="298">
        <f>+'D) Ecrêtage'!C291</f>
        <v>10600.416103896103</v>
      </c>
      <c r="D291" s="430"/>
      <c r="E291" s="430"/>
      <c r="F291" s="430"/>
      <c r="G291" s="430"/>
      <c r="H291" s="428"/>
      <c r="I291" s="298">
        <f t="shared" si="36"/>
        <v>0</v>
      </c>
      <c r="J291" s="278">
        <f t="shared" si="37"/>
        <v>84803.328831168823</v>
      </c>
      <c r="K291" s="10">
        <f t="shared" si="38"/>
        <v>0</v>
      </c>
      <c r="L291" s="295" t="e">
        <f t="shared" si="39"/>
        <v>#DIV/0!</v>
      </c>
      <c r="M291" s="10"/>
      <c r="N291" s="10"/>
      <c r="O291" s="432"/>
      <c r="P291" s="10">
        <f t="shared" si="40"/>
        <v>10600.416103896103</v>
      </c>
      <c r="Q291" s="14">
        <f t="shared" si="41"/>
        <v>0</v>
      </c>
      <c r="R291" s="2" t="e">
        <f t="shared" si="42"/>
        <v>#DIV/0!</v>
      </c>
      <c r="S291" s="130" t="e">
        <f t="shared" si="43"/>
        <v>#DIV/0!</v>
      </c>
      <c r="T291" s="427" t="e">
        <f t="shared" si="44"/>
        <v>#DIV/0!</v>
      </c>
      <c r="U291" s="126"/>
      <c r="V291" s="493"/>
      <c r="W291" s="493"/>
      <c r="X291" s="493"/>
      <c r="Y291" s="493"/>
      <c r="Z291" s="493"/>
      <c r="AA291" s="493"/>
      <c r="AB291" s="413"/>
      <c r="AC291" s="413"/>
      <c r="AD291" s="413"/>
      <c r="AE291" s="413"/>
      <c r="AF291" s="413"/>
    </row>
    <row r="292" spans="1:32" x14ac:dyDescent="0.25">
      <c r="A292" s="49">
        <f>+'A) Base RI'!A293</f>
        <v>5911</v>
      </c>
      <c r="B292" s="458" t="str">
        <f>+'A) Base RI'!B293</f>
        <v>Cuarny</v>
      </c>
      <c r="C292" s="298">
        <f>+'D) Ecrêtage'!C292</f>
        <v>7504.0945454545454</v>
      </c>
      <c r="D292" s="430"/>
      <c r="E292" s="430"/>
      <c r="F292" s="430"/>
      <c r="G292" s="430"/>
      <c r="H292" s="428"/>
      <c r="I292" s="298">
        <f t="shared" si="36"/>
        <v>0</v>
      </c>
      <c r="J292" s="278">
        <f t="shared" si="37"/>
        <v>60032.756363636363</v>
      </c>
      <c r="K292" s="10">
        <f t="shared" si="38"/>
        <v>0</v>
      </c>
      <c r="L292" s="295" t="e">
        <f t="shared" si="39"/>
        <v>#DIV/0!</v>
      </c>
      <c r="M292" s="10"/>
      <c r="N292" s="10"/>
      <c r="O292" s="432"/>
      <c r="P292" s="10">
        <f t="shared" si="40"/>
        <v>7504.0945454545454</v>
      </c>
      <c r="Q292" s="14">
        <f t="shared" si="41"/>
        <v>0</v>
      </c>
      <c r="R292" s="2" t="e">
        <f t="shared" si="42"/>
        <v>#DIV/0!</v>
      </c>
      <c r="S292" s="130" t="e">
        <f t="shared" si="43"/>
        <v>#DIV/0!</v>
      </c>
      <c r="T292" s="427" t="e">
        <f t="shared" si="44"/>
        <v>#DIV/0!</v>
      </c>
      <c r="U292" s="126"/>
      <c r="V292" s="493"/>
      <c r="W292" s="493"/>
      <c r="X292" s="493"/>
      <c r="Y292" s="493"/>
      <c r="Z292" s="493"/>
      <c r="AA292" s="493"/>
      <c r="AB292" s="413"/>
      <c r="AC292" s="413"/>
      <c r="AD292" s="413"/>
      <c r="AE292" s="413"/>
      <c r="AF292" s="413"/>
    </row>
    <row r="293" spans="1:32" x14ac:dyDescent="0.25">
      <c r="A293" s="49">
        <f>+'A) Base RI'!A294</f>
        <v>5912</v>
      </c>
      <c r="B293" s="458" t="str">
        <f>+'A) Base RI'!B294</f>
        <v>Démoret</v>
      </c>
      <c r="C293" s="298">
        <f>+'D) Ecrêtage'!C293</f>
        <v>4722.5551851851851</v>
      </c>
      <c r="D293" s="430"/>
      <c r="E293" s="430"/>
      <c r="F293" s="430"/>
      <c r="G293" s="430"/>
      <c r="H293" s="428"/>
      <c r="I293" s="298">
        <f t="shared" si="36"/>
        <v>0</v>
      </c>
      <c r="J293" s="278">
        <f t="shared" si="37"/>
        <v>37780.441481481481</v>
      </c>
      <c r="K293" s="10">
        <f t="shared" si="38"/>
        <v>0</v>
      </c>
      <c r="L293" s="295" t="e">
        <f t="shared" si="39"/>
        <v>#DIV/0!</v>
      </c>
      <c r="M293" s="10"/>
      <c r="N293" s="10"/>
      <c r="O293" s="432"/>
      <c r="P293" s="10">
        <f t="shared" si="40"/>
        <v>4722.5551851851851</v>
      </c>
      <c r="Q293" s="14">
        <f t="shared" si="41"/>
        <v>0</v>
      </c>
      <c r="R293" s="2" t="e">
        <f t="shared" si="42"/>
        <v>#DIV/0!</v>
      </c>
      <c r="S293" s="130" t="e">
        <f t="shared" si="43"/>
        <v>#DIV/0!</v>
      </c>
      <c r="T293" s="427" t="e">
        <f t="shared" si="44"/>
        <v>#DIV/0!</v>
      </c>
      <c r="U293" s="126"/>
      <c r="V293" s="493"/>
      <c r="W293" s="493"/>
      <c r="X293" s="493"/>
      <c r="Y293" s="493"/>
      <c r="Z293" s="493"/>
      <c r="AA293" s="493"/>
      <c r="AB293" s="413"/>
      <c r="AC293" s="413"/>
      <c r="AD293" s="413"/>
      <c r="AE293" s="413"/>
      <c r="AF293" s="413"/>
    </row>
    <row r="294" spans="1:32" x14ac:dyDescent="0.25">
      <c r="A294" s="49">
        <f>+'A) Base RI'!A295</f>
        <v>5913</v>
      </c>
      <c r="B294" s="458" t="str">
        <f>+'A) Base RI'!B295</f>
        <v>Donneloye</v>
      </c>
      <c r="C294" s="298">
        <f>+'D) Ecrêtage'!C294</f>
        <v>23893.322465753423</v>
      </c>
      <c r="D294" s="430"/>
      <c r="E294" s="430"/>
      <c r="F294" s="430"/>
      <c r="G294" s="430"/>
      <c r="H294" s="428"/>
      <c r="I294" s="298">
        <f t="shared" si="36"/>
        <v>0</v>
      </c>
      <c r="J294" s="278">
        <f t="shared" si="37"/>
        <v>191146.57972602738</v>
      </c>
      <c r="K294" s="10">
        <f t="shared" si="38"/>
        <v>0</v>
      </c>
      <c r="L294" s="295" t="e">
        <f t="shared" si="39"/>
        <v>#DIV/0!</v>
      </c>
      <c r="M294" s="10"/>
      <c r="N294" s="10"/>
      <c r="O294" s="432"/>
      <c r="P294" s="10">
        <f t="shared" si="40"/>
        <v>23893.322465753423</v>
      </c>
      <c r="Q294" s="14">
        <f t="shared" si="41"/>
        <v>0</v>
      </c>
      <c r="R294" s="2" t="e">
        <f t="shared" si="42"/>
        <v>#DIV/0!</v>
      </c>
      <c r="S294" s="130" t="e">
        <f t="shared" si="43"/>
        <v>#DIV/0!</v>
      </c>
      <c r="T294" s="427" t="e">
        <f t="shared" si="44"/>
        <v>#DIV/0!</v>
      </c>
      <c r="U294" s="126"/>
      <c r="V294" s="493"/>
      <c r="W294" s="493"/>
      <c r="X294" s="493"/>
      <c r="Y294" s="493"/>
      <c r="Z294" s="493"/>
      <c r="AA294" s="493"/>
      <c r="AB294" s="413"/>
      <c r="AC294" s="413"/>
      <c r="AD294" s="413"/>
      <c r="AE294" s="413"/>
      <c r="AF294" s="413"/>
    </row>
    <row r="295" spans="1:32" x14ac:dyDescent="0.25">
      <c r="A295" s="49">
        <f>+'A) Base RI'!A296</f>
        <v>5914</v>
      </c>
      <c r="B295" s="458" t="str">
        <f>+'A) Base RI'!B296</f>
        <v>Ependes</v>
      </c>
      <c r="C295" s="298">
        <f>+'D) Ecrêtage'!C295</f>
        <v>9829.5133333333324</v>
      </c>
      <c r="D295" s="430"/>
      <c r="E295" s="430"/>
      <c r="F295" s="430"/>
      <c r="G295" s="430"/>
      <c r="H295" s="428"/>
      <c r="I295" s="298">
        <f t="shared" si="36"/>
        <v>0</v>
      </c>
      <c r="J295" s="278">
        <f t="shared" si="37"/>
        <v>78636.106666666659</v>
      </c>
      <c r="K295" s="10">
        <f t="shared" si="38"/>
        <v>0</v>
      </c>
      <c r="L295" s="295" t="e">
        <f t="shared" si="39"/>
        <v>#DIV/0!</v>
      </c>
      <c r="M295" s="10"/>
      <c r="N295" s="10"/>
      <c r="O295" s="432"/>
      <c r="P295" s="10">
        <f t="shared" si="40"/>
        <v>9829.5133333333324</v>
      </c>
      <c r="Q295" s="14">
        <f t="shared" si="41"/>
        <v>0</v>
      </c>
      <c r="R295" s="2" t="e">
        <f t="shared" si="42"/>
        <v>#DIV/0!</v>
      </c>
      <c r="S295" s="130" t="e">
        <f t="shared" si="43"/>
        <v>#DIV/0!</v>
      </c>
      <c r="T295" s="427" t="e">
        <f t="shared" si="44"/>
        <v>#DIV/0!</v>
      </c>
      <c r="U295" s="126"/>
      <c r="V295" s="493"/>
      <c r="W295" s="493"/>
      <c r="X295" s="493"/>
      <c r="Y295" s="493"/>
      <c r="Z295" s="493"/>
      <c r="AA295" s="493"/>
      <c r="AB295" s="413"/>
      <c r="AC295" s="413"/>
      <c r="AD295" s="413"/>
      <c r="AE295" s="413"/>
      <c r="AF295" s="413"/>
    </row>
    <row r="296" spans="1:32" x14ac:dyDescent="0.25">
      <c r="A296" s="49">
        <f>+'A) Base RI'!A297</f>
        <v>5919</v>
      </c>
      <c r="B296" s="458" t="str">
        <f>+'A) Base RI'!B297</f>
        <v>Mathod</v>
      </c>
      <c r="C296" s="298">
        <f>+'D) Ecrêtage'!C296</f>
        <v>18684.885972222222</v>
      </c>
      <c r="D296" s="430"/>
      <c r="E296" s="430"/>
      <c r="F296" s="430"/>
      <c r="G296" s="430"/>
      <c r="H296" s="428"/>
      <c r="I296" s="298">
        <f t="shared" si="36"/>
        <v>0</v>
      </c>
      <c r="J296" s="278">
        <f t="shared" si="37"/>
        <v>149479.08777777778</v>
      </c>
      <c r="K296" s="10">
        <f t="shared" si="38"/>
        <v>0</v>
      </c>
      <c r="L296" s="295" t="e">
        <f t="shared" si="39"/>
        <v>#DIV/0!</v>
      </c>
      <c r="M296" s="10"/>
      <c r="N296" s="10"/>
      <c r="O296" s="432"/>
      <c r="P296" s="10">
        <f t="shared" si="40"/>
        <v>18684.885972222222</v>
      </c>
      <c r="Q296" s="14">
        <f t="shared" si="41"/>
        <v>0</v>
      </c>
      <c r="R296" s="2" t="e">
        <f t="shared" si="42"/>
        <v>#DIV/0!</v>
      </c>
      <c r="S296" s="130" t="e">
        <f t="shared" si="43"/>
        <v>#DIV/0!</v>
      </c>
      <c r="T296" s="427" t="e">
        <f t="shared" si="44"/>
        <v>#DIV/0!</v>
      </c>
      <c r="U296" s="126"/>
      <c r="V296" s="493"/>
      <c r="W296" s="493"/>
      <c r="X296" s="493"/>
      <c r="Y296" s="493"/>
      <c r="Z296" s="493"/>
      <c r="AA296" s="493"/>
      <c r="AB296" s="413"/>
      <c r="AC296" s="413"/>
      <c r="AD296" s="413"/>
      <c r="AE296" s="413"/>
      <c r="AF296" s="413"/>
    </row>
    <row r="297" spans="1:32" x14ac:dyDescent="0.25">
      <c r="A297" s="49">
        <f>+'A) Base RI'!A298</f>
        <v>5921</v>
      </c>
      <c r="B297" s="458" t="str">
        <f>+'A) Base RI'!B298</f>
        <v>Molondin</v>
      </c>
      <c r="C297" s="298">
        <f>+'D) Ecrêtage'!C297</f>
        <v>5874.9966666666678</v>
      </c>
      <c r="D297" s="430"/>
      <c r="E297" s="430"/>
      <c r="F297" s="430"/>
      <c r="G297" s="430"/>
      <c r="H297" s="428"/>
      <c r="I297" s="298">
        <f t="shared" si="36"/>
        <v>0</v>
      </c>
      <c r="J297" s="278">
        <f t="shared" si="37"/>
        <v>46999.973333333342</v>
      </c>
      <c r="K297" s="10">
        <f t="shared" si="38"/>
        <v>0</v>
      </c>
      <c r="L297" s="295" t="e">
        <f t="shared" si="39"/>
        <v>#DIV/0!</v>
      </c>
      <c r="M297" s="10"/>
      <c r="N297" s="10"/>
      <c r="O297" s="432"/>
      <c r="P297" s="10">
        <f t="shared" si="40"/>
        <v>5874.9966666666678</v>
      </c>
      <c r="Q297" s="14">
        <f t="shared" si="41"/>
        <v>0</v>
      </c>
      <c r="R297" s="2" t="e">
        <f t="shared" si="42"/>
        <v>#DIV/0!</v>
      </c>
      <c r="S297" s="130" t="e">
        <f t="shared" si="43"/>
        <v>#DIV/0!</v>
      </c>
      <c r="T297" s="427" t="e">
        <f t="shared" si="44"/>
        <v>#DIV/0!</v>
      </c>
      <c r="U297" s="126"/>
      <c r="V297" s="493"/>
      <c r="W297" s="493"/>
      <c r="X297" s="493"/>
      <c r="Y297" s="493"/>
      <c r="Z297" s="493"/>
      <c r="AA297" s="493"/>
      <c r="AB297" s="413"/>
      <c r="AC297" s="413"/>
      <c r="AD297" s="413"/>
      <c r="AE297" s="413"/>
      <c r="AF297" s="413"/>
    </row>
    <row r="298" spans="1:32" x14ac:dyDescent="0.25">
      <c r="A298" s="49">
        <f>+'A) Base RI'!A299</f>
        <v>5922</v>
      </c>
      <c r="B298" s="458" t="str">
        <f>+'A) Base RI'!B299</f>
        <v>Montagny-près-Yverdon</v>
      </c>
      <c r="C298" s="298">
        <f>+'D) Ecrêtage'!C298</f>
        <v>39614.024961240313</v>
      </c>
      <c r="D298" s="430"/>
      <c r="E298" s="430"/>
      <c r="F298" s="430"/>
      <c r="G298" s="430"/>
      <c r="H298" s="428"/>
      <c r="I298" s="298">
        <f t="shared" si="36"/>
        <v>0</v>
      </c>
      <c r="J298" s="278">
        <f t="shared" si="37"/>
        <v>316912.19968992251</v>
      </c>
      <c r="K298" s="10">
        <f t="shared" si="38"/>
        <v>0</v>
      </c>
      <c r="L298" s="295" t="e">
        <f t="shared" si="39"/>
        <v>#DIV/0!</v>
      </c>
      <c r="M298" s="10"/>
      <c r="N298" s="10"/>
      <c r="O298" s="432"/>
      <c r="P298" s="10">
        <f t="shared" si="40"/>
        <v>39614.024961240313</v>
      </c>
      <c r="Q298" s="14">
        <f t="shared" si="41"/>
        <v>0</v>
      </c>
      <c r="R298" s="2" t="e">
        <f t="shared" si="42"/>
        <v>#DIV/0!</v>
      </c>
      <c r="S298" s="130" t="e">
        <f t="shared" si="43"/>
        <v>#DIV/0!</v>
      </c>
      <c r="T298" s="427" t="e">
        <f t="shared" si="44"/>
        <v>#DIV/0!</v>
      </c>
      <c r="U298" s="126"/>
      <c r="V298" s="493"/>
      <c r="W298" s="493"/>
      <c r="X298" s="493"/>
      <c r="Y298" s="493"/>
      <c r="Z298" s="493"/>
      <c r="AA298" s="493"/>
      <c r="AB298" s="413"/>
      <c r="AC298" s="413"/>
      <c r="AD298" s="413"/>
      <c r="AE298" s="413"/>
      <c r="AF298" s="413"/>
    </row>
    <row r="299" spans="1:32" x14ac:dyDescent="0.25">
      <c r="A299" s="49">
        <f>+'A) Base RI'!A300</f>
        <v>5923</v>
      </c>
      <c r="B299" s="458" t="str">
        <f>+'A) Base RI'!B300</f>
        <v>Oppens</v>
      </c>
      <c r="C299" s="298">
        <f>+'D) Ecrêtage'!C299</f>
        <v>5094.8359259259259</v>
      </c>
      <c r="D299" s="430"/>
      <c r="E299" s="430"/>
      <c r="F299" s="430"/>
      <c r="G299" s="430"/>
      <c r="H299" s="428"/>
      <c r="I299" s="298">
        <f t="shared" si="36"/>
        <v>0</v>
      </c>
      <c r="J299" s="278">
        <f t="shared" si="37"/>
        <v>40758.687407407408</v>
      </c>
      <c r="K299" s="10">
        <f t="shared" si="38"/>
        <v>0</v>
      </c>
      <c r="L299" s="295" t="e">
        <f t="shared" si="39"/>
        <v>#DIV/0!</v>
      </c>
      <c r="M299" s="10"/>
      <c r="N299" s="10"/>
      <c r="O299" s="432"/>
      <c r="P299" s="10">
        <f t="shared" si="40"/>
        <v>5094.8359259259259</v>
      </c>
      <c r="Q299" s="14">
        <f t="shared" si="41"/>
        <v>0</v>
      </c>
      <c r="R299" s="2" t="e">
        <f t="shared" si="42"/>
        <v>#DIV/0!</v>
      </c>
      <c r="S299" s="130" t="e">
        <f t="shared" si="43"/>
        <v>#DIV/0!</v>
      </c>
      <c r="T299" s="427" t="e">
        <f t="shared" si="44"/>
        <v>#DIV/0!</v>
      </c>
      <c r="U299" s="126"/>
      <c r="V299" s="493"/>
      <c r="W299" s="493"/>
      <c r="X299" s="493"/>
      <c r="Y299" s="493"/>
      <c r="Z299" s="493"/>
      <c r="AA299" s="493"/>
      <c r="AB299" s="413"/>
      <c r="AC299" s="413"/>
      <c r="AD299" s="413"/>
      <c r="AE299" s="413"/>
      <c r="AF299" s="413"/>
    </row>
    <row r="300" spans="1:32" x14ac:dyDescent="0.25">
      <c r="A300" s="49">
        <f>+'A) Base RI'!A301</f>
        <v>5924</v>
      </c>
      <c r="B300" s="458" t="str">
        <f>+'A) Base RI'!B301</f>
        <v>Orges</v>
      </c>
      <c r="C300" s="298">
        <f>+'D) Ecrêtage'!C300</f>
        <v>13110.169864864867</v>
      </c>
      <c r="D300" s="430"/>
      <c r="E300" s="430"/>
      <c r="F300" s="430"/>
      <c r="G300" s="430"/>
      <c r="H300" s="428"/>
      <c r="I300" s="298">
        <f t="shared" si="36"/>
        <v>0</v>
      </c>
      <c r="J300" s="278">
        <f t="shared" si="37"/>
        <v>104881.35891891894</v>
      </c>
      <c r="K300" s="10">
        <f t="shared" si="38"/>
        <v>0</v>
      </c>
      <c r="L300" s="295" t="e">
        <f t="shared" si="39"/>
        <v>#DIV/0!</v>
      </c>
      <c r="M300" s="10"/>
      <c r="N300" s="10"/>
      <c r="O300" s="432"/>
      <c r="P300" s="10">
        <f t="shared" si="40"/>
        <v>13110.169864864867</v>
      </c>
      <c r="Q300" s="14">
        <f t="shared" si="41"/>
        <v>0</v>
      </c>
      <c r="R300" s="2" t="e">
        <f t="shared" si="42"/>
        <v>#DIV/0!</v>
      </c>
      <c r="S300" s="130" t="e">
        <f t="shared" si="43"/>
        <v>#DIV/0!</v>
      </c>
      <c r="T300" s="427" t="e">
        <f t="shared" si="44"/>
        <v>#DIV/0!</v>
      </c>
      <c r="U300" s="126"/>
      <c r="V300" s="493"/>
      <c r="W300" s="493"/>
      <c r="X300" s="493"/>
      <c r="Y300" s="493"/>
      <c r="Z300" s="493"/>
      <c r="AA300" s="493"/>
      <c r="AB300" s="413"/>
      <c r="AC300" s="413"/>
      <c r="AD300" s="413"/>
      <c r="AE300" s="413"/>
      <c r="AF300" s="413"/>
    </row>
    <row r="301" spans="1:32" x14ac:dyDescent="0.25">
      <c r="A301" s="49">
        <f>+'A) Base RI'!A302</f>
        <v>5925</v>
      </c>
      <c r="B301" s="458" t="str">
        <f>+'A) Base RI'!B302</f>
        <v>Orzens</v>
      </c>
      <c r="C301" s="298">
        <f>+'D) Ecrêtage'!C301</f>
        <v>5230.5868354430377</v>
      </c>
      <c r="D301" s="430"/>
      <c r="E301" s="430"/>
      <c r="F301" s="430"/>
      <c r="G301" s="430"/>
      <c r="H301" s="428"/>
      <c r="I301" s="298">
        <f t="shared" si="36"/>
        <v>0</v>
      </c>
      <c r="J301" s="278">
        <f t="shared" si="37"/>
        <v>41844.694683544301</v>
      </c>
      <c r="K301" s="10">
        <f t="shared" si="38"/>
        <v>0</v>
      </c>
      <c r="L301" s="295" t="e">
        <f t="shared" si="39"/>
        <v>#DIV/0!</v>
      </c>
      <c r="M301" s="10"/>
      <c r="N301" s="10"/>
      <c r="O301" s="432"/>
      <c r="P301" s="10">
        <f t="shared" si="40"/>
        <v>5230.5868354430377</v>
      </c>
      <c r="Q301" s="14">
        <f t="shared" si="41"/>
        <v>0</v>
      </c>
      <c r="R301" s="2" t="e">
        <f t="shared" si="42"/>
        <v>#DIV/0!</v>
      </c>
      <c r="S301" s="130" t="e">
        <f t="shared" si="43"/>
        <v>#DIV/0!</v>
      </c>
      <c r="T301" s="427" t="e">
        <f t="shared" si="44"/>
        <v>#DIV/0!</v>
      </c>
      <c r="U301" s="126"/>
      <c r="V301" s="493"/>
      <c r="W301" s="493"/>
      <c r="X301" s="493"/>
      <c r="Y301" s="493"/>
      <c r="Z301" s="493"/>
      <c r="AA301" s="493"/>
      <c r="AB301" s="413"/>
      <c r="AC301" s="413"/>
      <c r="AD301" s="413"/>
      <c r="AE301" s="413"/>
      <c r="AF301" s="413"/>
    </row>
    <row r="302" spans="1:32" x14ac:dyDescent="0.25">
      <c r="A302" s="49">
        <f>+'A) Base RI'!A303</f>
        <v>5926</v>
      </c>
      <c r="B302" s="458" t="str">
        <f>+'A) Base RI'!B303</f>
        <v>Pomy</v>
      </c>
      <c r="C302" s="298">
        <f>+'D) Ecrêtage'!C302</f>
        <v>27875.103943661972</v>
      </c>
      <c r="D302" s="430"/>
      <c r="E302" s="430"/>
      <c r="F302" s="430"/>
      <c r="G302" s="430"/>
      <c r="H302" s="428"/>
      <c r="I302" s="298">
        <f t="shared" si="36"/>
        <v>0</v>
      </c>
      <c r="J302" s="278">
        <f t="shared" si="37"/>
        <v>223000.83154929578</v>
      </c>
      <c r="K302" s="10">
        <f t="shared" si="38"/>
        <v>0</v>
      </c>
      <c r="L302" s="295" t="e">
        <f t="shared" si="39"/>
        <v>#DIV/0!</v>
      </c>
      <c r="M302" s="10"/>
      <c r="N302" s="10"/>
      <c r="O302" s="432"/>
      <c r="P302" s="10">
        <f t="shared" si="40"/>
        <v>27875.103943661972</v>
      </c>
      <c r="Q302" s="14">
        <f t="shared" si="41"/>
        <v>0</v>
      </c>
      <c r="R302" s="2" t="e">
        <f t="shared" si="42"/>
        <v>#DIV/0!</v>
      </c>
      <c r="S302" s="130" t="e">
        <f t="shared" si="43"/>
        <v>#DIV/0!</v>
      </c>
      <c r="T302" s="427" t="e">
        <f t="shared" si="44"/>
        <v>#DIV/0!</v>
      </c>
      <c r="U302" s="126"/>
      <c r="V302" s="493"/>
      <c r="W302" s="493"/>
      <c r="X302" s="493"/>
      <c r="Y302" s="493"/>
      <c r="Z302" s="493"/>
      <c r="AA302" s="493"/>
      <c r="AB302" s="413"/>
      <c r="AC302" s="413"/>
      <c r="AD302" s="413"/>
      <c r="AE302" s="413"/>
      <c r="AF302" s="413"/>
    </row>
    <row r="303" spans="1:32" x14ac:dyDescent="0.25">
      <c r="A303" s="49">
        <f>+'A) Base RI'!A304</f>
        <v>5928</v>
      </c>
      <c r="B303" s="458" t="str">
        <f>+'A) Base RI'!B304</f>
        <v>Rovray</v>
      </c>
      <c r="C303" s="298">
        <f>+'D) Ecrêtage'!C303</f>
        <v>5459.4606993006983</v>
      </c>
      <c r="D303" s="430"/>
      <c r="E303" s="430"/>
      <c r="F303" s="430"/>
      <c r="G303" s="430"/>
      <c r="H303" s="428"/>
      <c r="I303" s="298">
        <f t="shared" si="36"/>
        <v>0</v>
      </c>
      <c r="J303" s="278">
        <f t="shared" si="37"/>
        <v>43675.685594405586</v>
      </c>
      <c r="K303" s="10">
        <f t="shared" si="38"/>
        <v>0</v>
      </c>
      <c r="L303" s="295" t="e">
        <f t="shared" si="39"/>
        <v>#DIV/0!</v>
      </c>
      <c r="M303" s="10"/>
      <c r="N303" s="10"/>
      <c r="O303" s="432"/>
      <c r="P303" s="10">
        <f t="shared" si="40"/>
        <v>5459.4606993006983</v>
      </c>
      <c r="Q303" s="14">
        <f t="shared" si="41"/>
        <v>0</v>
      </c>
      <c r="R303" s="2" t="e">
        <f t="shared" si="42"/>
        <v>#DIV/0!</v>
      </c>
      <c r="S303" s="130" t="e">
        <f t="shared" si="43"/>
        <v>#DIV/0!</v>
      </c>
      <c r="T303" s="427" t="e">
        <f t="shared" si="44"/>
        <v>#DIV/0!</v>
      </c>
      <c r="U303" s="126"/>
      <c r="V303" s="493"/>
      <c r="W303" s="493"/>
      <c r="X303" s="493"/>
      <c r="Y303" s="493"/>
      <c r="Z303" s="493"/>
      <c r="AA303" s="493"/>
      <c r="AB303" s="413"/>
      <c r="AC303" s="413"/>
      <c r="AD303" s="413"/>
      <c r="AE303" s="413"/>
      <c r="AF303" s="413"/>
    </row>
    <row r="304" spans="1:32" x14ac:dyDescent="0.25">
      <c r="A304" s="49">
        <f>+'A) Base RI'!A305</f>
        <v>5929</v>
      </c>
      <c r="B304" s="458" t="str">
        <f>+'A) Base RI'!B305</f>
        <v>Suchy</v>
      </c>
      <c r="C304" s="298">
        <f>+'D) Ecrêtage'!C304</f>
        <v>20266.988392857143</v>
      </c>
      <c r="D304" s="430"/>
      <c r="E304" s="430"/>
      <c r="F304" s="430"/>
      <c r="G304" s="430"/>
      <c r="H304" s="428"/>
      <c r="I304" s="298">
        <f t="shared" si="36"/>
        <v>0</v>
      </c>
      <c r="J304" s="278">
        <f t="shared" si="37"/>
        <v>162135.90714285715</v>
      </c>
      <c r="K304" s="10">
        <f t="shared" si="38"/>
        <v>0</v>
      </c>
      <c r="L304" s="295" t="e">
        <f t="shared" si="39"/>
        <v>#DIV/0!</v>
      </c>
      <c r="M304" s="10"/>
      <c r="N304" s="10"/>
      <c r="O304" s="432"/>
      <c r="P304" s="10">
        <f t="shared" si="40"/>
        <v>20266.988392857143</v>
      </c>
      <c r="Q304" s="14">
        <f t="shared" si="41"/>
        <v>0</v>
      </c>
      <c r="R304" s="2" t="e">
        <f t="shared" si="42"/>
        <v>#DIV/0!</v>
      </c>
      <c r="S304" s="130" t="e">
        <f t="shared" si="43"/>
        <v>#DIV/0!</v>
      </c>
      <c r="T304" s="427" t="e">
        <f t="shared" si="44"/>
        <v>#DIV/0!</v>
      </c>
      <c r="U304" s="126"/>
      <c r="V304" s="493"/>
      <c r="W304" s="493"/>
      <c r="X304" s="493"/>
      <c r="Y304" s="493"/>
      <c r="Z304" s="493"/>
      <c r="AA304" s="493"/>
      <c r="AB304" s="413"/>
      <c r="AC304" s="413"/>
      <c r="AD304" s="413"/>
      <c r="AE304" s="413"/>
      <c r="AF304" s="413"/>
    </row>
    <row r="305" spans="1:32" x14ac:dyDescent="0.25">
      <c r="A305" s="49">
        <f>+'A) Base RI'!A306</f>
        <v>5930</v>
      </c>
      <c r="B305" s="458" t="str">
        <f>+'A) Base RI'!B306</f>
        <v>Suscévaz</v>
      </c>
      <c r="C305" s="298">
        <f>+'D) Ecrêtage'!C305</f>
        <v>6661.8138888888889</v>
      </c>
      <c r="D305" s="430"/>
      <c r="E305" s="430"/>
      <c r="F305" s="430"/>
      <c r="G305" s="430"/>
      <c r="H305" s="428"/>
      <c r="I305" s="298">
        <f t="shared" si="36"/>
        <v>0</v>
      </c>
      <c r="J305" s="278">
        <f t="shared" si="37"/>
        <v>53294.511111111111</v>
      </c>
      <c r="K305" s="10">
        <f t="shared" si="38"/>
        <v>0</v>
      </c>
      <c r="L305" s="295" t="e">
        <f t="shared" si="39"/>
        <v>#DIV/0!</v>
      </c>
      <c r="M305" s="10"/>
      <c r="N305" s="10"/>
      <c r="O305" s="432"/>
      <c r="P305" s="10">
        <f t="shared" si="40"/>
        <v>6661.8138888888889</v>
      </c>
      <c r="Q305" s="14">
        <f t="shared" si="41"/>
        <v>0</v>
      </c>
      <c r="R305" s="2" t="e">
        <f t="shared" si="42"/>
        <v>#DIV/0!</v>
      </c>
      <c r="S305" s="130" t="e">
        <f t="shared" si="43"/>
        <v>#DIV/0!</v>
      </c>
      <c r="T305" s="427" t="e">
        <f t="shared" si="44"/>
        <v>#DIV/0!</v>
      </c>
      <c r="U305" s="126"/>
      <c r="V305" s="493"/>
      <c r="W305" s="493"/>
      <c r="X305" s="493"/>
      <c r="Y305" s="493"/>
      <c r="Z305" s="493"/>
      <c r="AA305" s="493"/>
      <c r="AB305" s="413"/>
      <c r="AC305" s="413"/>
      <c r="AD305" s="413"/>
      <c r="AE305" s="413"/>
      <c r="AF305" s="413"/>
    </row>
    <row r="306" spans="1:32" x14ac:dyDescent="0.25">
      <c r="A306" s="49">
        <f>+'A) Base RI'!A307</f>
        <v>5931</v>
      </c>
      <c r="B306" s="458" t="str">
        <f>+'A) Base RI'!B307</f>
        <v>Treycovagnes</v>
      </c>
      <c r="C306" s="298">
        <f>+'D) Ecrêtage'!C306</f>
        <v>15271.093466666664</v>
      </c>
      <c r="D306" s="430"/>
      <c r="E306" s="430"/>
      <c r="F306" s="430"/>
      <c r="G306" s="430"/>
      <c r="H306" s="428"/>
      <c r="I306" s="298">
        <f t="shared" si="36"/>
        <v>0</v>
      </c>
      <c r="J306" s="278">
        <f t="shared" si="37"/>
        <v>122168.74773333331</v>
      </c>
      <c r="K306" s="10">
        <f t="shared" si="38"/>
        <v>0</v>
      </c>
      <c r="L306" s="295" t="e">
        <f t="shared" si="39"/>
        <v>#DIV/0!</v>
      </c>
      <c r="M306" s="10"/>
      <c r="N306" s="10"/>
      <c r="O306" s="432"/>
      <c r="P306" s="10">
        <f t="shared" si="40"/>
        <v>15271.093466666664</v>
      </c>
      <c r="Q306" s="14">
        <f t="shared" si="41"/>
        <v>0</v>
      </c>
      <c r="R306" s="2" t="e">
        <f t="shared" si="42"/>
        <v>#DIV/0!</v>
      </c>
      <c r="S306" s="130" t="e">
        <f t="shared" si="43"/>
        <v>#DIV/0!</v>
      </c>
      <c r="T306" s="427" t="e">
        <f t="shared" si="44"/>
        <v>#DIV/0!</v>
      </c>
      <c r="U306" s="126"/>
      <c r="V306" s="493"/>
      <c r="W306" s="493"/>
      <c r="X306" s="493"/>
      <c r="Y306" s="493"/>
      <c r="Z306" s="493"/>
      <c r="AA306" s="493"/>
      <c r="AB306" s="413"/>
      <c r="AC306" s="413"/>
      <c r="AD306" s="413"/>
      <c r="AE306" s="413"/>
      <c r="AF306" s="413"/>
    </row>
    <row r="307" spans="1:32" x14ac:dyDescent="0.25">
      <c r="A307" s="49">
        <f>+'A) Base RI'!A308</f>
        <v>5932</v>
      </c>
      <c r="B307" s="458" t="str">
        <f>+'A) Base RI'!B308</f>
        <v>Ursins</v>
      </c>
      <c r="C307" s="298">
        <f>+'D) Ecrêtage'!C307</f>
        <v>7703.3244000000022</v>
      </c>
      <c r="D307" s="430"/>
      <c r="E307" s="430"/>
      <c r="F307" s="430"/>
      <c r="G307" s="430"/>
      <c r="H307" s="428"/>
      <c r="I307" s="298">
        <f t="shared" si="36"/>
        <v>0</v>
      </c>
      <c r="J307" s="278">
        <f t="shared" si="37"/>
        <v>61626.595200000018</v>
      </c>
      <c r="K307" s="10">
        <f t="shared" si="38"/>
        <v>0</v>
      </c>
      <c r="L307" s="295" t="e">
        <f t="shared" si="39"/>
        <v>#DIV/0!</v>
      </c>
      <c r="M307" s="10"/>
      <c r="N307" s="10"/>
      <c r="O307" s="432"/>
      <c r="P307" s="10">
        <f t="shared" si="40"/>
        <v>7703.3244000000022</v>
      </c>
      <c r="Q307" s="14">
        <f t="shared" si="41"/>
        <v>0</v>
      </c>
      <c r="R307" s="2" t="e">
        <f t="shared" si="42"/>
        <v>#DIV/0!</v>
      </c>
      <c r="S307" s="130" t="e">
        <f t="shared" si="43"/>
        <v>#DIV/0!</v>
      </c>
      <c r="T307" s="427" t="e">
        <f t="shared" si="44"/>
        <v>#DIV/0!</v>
      </c>
      <c r="U307" s="126"/>
      <c r="V307" s="493"/>
      <c r="W307" s="493"/>
      <c r="X307" s="493"/>
      <c r="Y307" s="493"/>
      <c r="Z307" s="493"/>
      <c r="AA307" s="493"/>
      <c r="AB307" s="413"/>
      <c r="AC307" s="413"/>
      <c r="AD307" s="413"/>
      <c r="AE307" s="413"/>
      <c r="AF307" s="413"/>
    </row>
    <row r="308" spans="1:32" x14ac:dyDescent="0.25">
      <c r="A308" s="49">
        <f>+'A) Base RI'!A309</f>
        <v>5933</v>
      </c>
      <c r="B308" s="458" t="str">
        <f>+'A) Base RI'!B309</f>
        <v>Valeyres-sous-Montagny</v>
      </c>
      <c r="C308" s="298">
        <f>+'D) Ecrêtage'!C308</f>
        <v>19607.073049645387</v>
      </c>
      <c r="D308" s="430"/>
      <c r="E308" s="430"/>
      <c r="F308" s="430"/>
      <c r="G308" s="430"/>
      <c r="H308" s="428"/>
      <c r="I308" s="298">
        <f t="shared" si="36"/>
        <v>0</v>
      </c>
      <c r="J308" s="278">
        <f t="shared" si="37"/>
        <v>156856.5843971631</v>
      </c>
      <c r="K308" s="10">
        <f t="shared" si="38"/>
        <v>0</v>
      </c>
      <c r="L308" s="295" t="e">
        <f t="shared" si="39"/>
        <v>#DIV/0!</v>
      </c>
      <c r="M308" s="10"/>
      <c r="N308" s="10"/>
      <c r="O308" s="432"/>
      <c r="P308" s="10">
        <f t="shared" si="40"/>
        <v>19607.073049645387</v>
      </c>
      <c r="Q308" s="14">
        <f t="shared" si="41"/>
        <v>0</v>
      </c>
      <c r="R308" s="2" t="e">
        <f t="shared" si="42"/>
        <v>#DIV/0!</v>
      </c>
      <c r="S308" s="130" t="e">
        <f t="shared" si="43"/>
        <v>#DIV/0!</v>
      </c>
      <c r="T308" s="427" t="e">
        <f t="shared" si="44"/>
        <v>#DIV/0!</v>
      </c>
      <c r="U308" s="126"/>
      <c r="V308" s="493"/>
      <c r="W308" s="493"/>
      <c r="X308" s="493"/>
      <c r="Y308" s="493"/>
      <c r="Z308" s="493"/>
      <c r="AA308" s="493"/>
      <c r="AB308" s="413"/>
      <c r="AC308" s="413"/>
      <c r="AD308" s="413"/>
      <c r="AE308" s="413"/>
      <c r="AF308" s="413"/>
    </row>
    <row r="309" spans="1:32" x14ac:dyDescent="0.25">
      <c r="A309" s="49">
        <f>+'A) Base RI'!A310</f>
        <v>5934</v>
      </c>
      <c r="B309" s="458" t="str">
        <f>+'A) Base RI'!B310</f>
        <v>Valeyres-sous-Ursins</v>
      </c>
      <c r="C309" s="298">
        <f>+'D) Ecrêtage'!C309</f>
        <v>7018.283636363637</v>
      </c>
      <c r="D309" s="430"/>
      <c r="E309" s="430"/>
      <c r="F309" s="430"/>
      <c r="G309" s="430"/>
      <c r="H309" s="428"/>
      <c r="I309" s="298">
        <f t="shared" si="36"/>
        <v>0</v>
      </c>
      <c r="J309" s="278">
        <f t="shared" si="37"/>
        <v>56146.269090909096</v>
      </c>
      <c r="K309" s="10">
        <f t="shared" si="38"/>
        <v>0</v>
      </c>
      <c r="L309" s="295" t="e">
        <f t="shared" si="39"/>
        <v>#DIV/0!</v>
      </c>
      <c r="M309" s="10"/>
      <c r="N309" s="10"/>
      <c r="O309" s="432"/>
      <c r="P309" s="10">
        <f t="shared" si="40"/>
        <v>7018.283636363637</v>
      </c>
      <c r="Q309" s="14">
        <f t="shared" si="41"/>
        <v>0</v>
      </c>
      <c r="R309" s="2" t="e">
        <f t="shared" si="42"/>
        <v>#DIV/0!</v>
      </c>
      <c r="S309" s="130" t="e">
        <f t="shared" si="43"/>
        <v>#DIV/0!</v>
      </c>
      <c r="T309" s="427" t="e">
        <f t="shared" si="44"/>
        <v>#DIV/0!</v>
      </c>
      <c r="U309" s="126"/>
      <c r="V309" s="493"/>
      <c r="W309" s="493"/>
      <c r="X309" s="493"/>
      <c r="Y309" s="493"/>
      <c r="Z309" s="493"/>
      <c r="AA309" s="493"/>
      <c r="AB309" s="413"/>
      <c r="AC309" s="413"/>
      <c r="AD309" s="413"/>
      <c r="AE309" s="413"/>
      <c r="AF309" s="413"/>
    </row>
    <row r="310" spans="1:32" x14ac:dyDescent="0.25">
      <c r="A310" s="49">
        <f>+'A) Base RI'!A311</f>
        <v>5935</v>
      </c>
      <c r="B310" s="458" t="str">
        <f>+'A) Base RI'!B311</f>
        <v>Villars-Epeney</v>
      </c>
      <c r="C310" s="298">
        <f>+'D) Ecrêtage'!C310</f>
        <v>3448.2304999999997</v>
      </c>
      <c r="D310" s="430"/>
      <c r="E310" s="430"/>
      <c r="F310" s="430"/>
      <c r="G310" s="430"/>
      <c r="H310" s="428"/>
      <c r="I310" s="298">
        <f t="shared" si="36"/>
        <v>0</v>
      </c>
      <c r="J310" s="278">
        <f t="shared" si="37"/>
        <v>27585.843999999997</v>
      </c>
      <c r="K310" s="10">
        <f t="shared" si="38"/>
        <v>0</v>
      </c>
      <c r="L310" s="295" t="e">
        <f t="shared" si="39"/>
        <v>#DIV/0!</v>
      </c>
      <c r="M310" s="10"/>
      <c r="N310" s="10"/>
      <c r="O310" s="432"/>
      <c r="P310" s="10">
        <f t="shared" si="40"/>
        <v>3448.2304999999997</v>
      </c>
      <c r="Q310" s="14">
        <f t="shared" si="41"/>
        <v>0</v>
      </c>
      <c r="R310" s="2" t="e">
        <f t="shared" si="42"/>
        <v>#DIV/0!</v>
      </c>
      <c r="S310" s="130" t="e">
        <f t="shared" si="43"/>
        <v>#DIV/0!</v>
      </c>
      <c r="T310" s="427" t="e">
        <f t="shared" si="44"/>
        <v>#DIV/0!</v>
      </c>
      <c r="U310" s="126"/>
      <c r="V310" s="493"/>
      <c r="W310" s="493"/>
      <c r="X310" s="493"/>
      <c r="Y310" s="493"/>
      <c r="Z310" s="493"/>
      <c r="AA310" s="493"/>
      <c r="AB310" s="413"/>
      <c r="AC310" s="413"/>
      <c r="AD310" s="413"/>
      <c r="AE310" s="413"/>
      <c r="AF310" s="413"/>
    </row>
    <row r="311" spans="1:32" x14ac:dyDescent="0.25">
      <c r="A311" s="49">
        <f>+'A) Base RI'!A312</f>
        <v>5937</v>
      </c>
      <c r="B311" s="458" t="str">
        <f>+'A) Base RI'!B312</f>
        <v>Vugelles-La Mothe</v>
      </c>
      <c r="C311" s="298">
        <f>+'D) Ecrêtage'!C311</f>
        <v>3471.6885918367348</v>
      </c>
      <c r="D311" s="430"/>
      <c r="E311" s="430"/>
      <c r="F311" s="430"/>
      <c r="G311" s="430"/>
      <c r="H311" s="428"/>
      <c r="I311" s="298">
        <f t="shared" si="36"/>
        <v>0</v>
      </c>
      <c r="J311" s="278">
        <f t="shared" si="37"/>
        <v>27773.508734693878</v>
      </c>
      <c r="K311" s="10">
        <f t="shared" si="38"/>
        <v>0</v>
      </c>
      <c r="L311" s="295" t="e">
        <f t="shared" si="39"/>
        <v>#DIV/0!</v>
      </c>
      <c r="M311" s="10"/>
      <c r="N311" s="10"/>
      <c r="O311" s="432"/>
      <c r="P311" s="10">
        <f t="shared" si="40"/>
        <v>3471.6885918367348</v>
      </c>
      <c r="Q311" s="14">
        <f t="shared" si="41"/>
        <v>0</v>
      </c>
      <c r="R311" s="2" t="e">
        <f t="shared" si="42"/>
        <v>#DIV/0!</v>
      </c>
      <c r="S311" s="130" t="e">
        <f t="shared" si="43"/>
        <v>#DIV/0!</v>
      </c>
      <c r="T311" s="427" t="e">
        <f t="shared" si="44"/>
        <v>#DIV/0!</v>
      </c>
      <c r="U311" s="126"/>
      <c r="V311" s="493"/>
      <c r="W311" s="493"/>
      <c r="X311" s="493"/>
      <c r="Y311" s="493"/>
      <c r="Z311" s="493"/>
      <c r="AA311" s="493"/>
      <c r="AB311" s="413"/>
      <c r="AC311" s="413"/>
      <c r="AD311" s="413"/>
      <c r="AE311" s="413"/>
      <c r="AF311" s="413"/>
    </row>
    <row r="312" spans="1:32" x14ac:dyDescent="0.25">
      <c r="A312" s="49">
        <f>+'A) Base RI'!A313</f>
        <v>5938</v>
      </c>
      <c r="B312" s="458" t="str">
        <f>+'A) Base RI'!B313</f>
        <v>Yverdon-les-Bains</v>
      </c>
      <c r="C312" s="298">
        <f>+'D) Ecrêtage'!C312</f>
        <v>762770.29813333345</v>
      </c>
      <c r="D312" s="430"/>
      <c r="E312" s="430"/>
      <c r="F312" s="430"/>
      <c r="G312" s="430"/>
      <c r="H312" s="428"/>
      <c r="I312" s="298">
        <f t="shared" si="36"/>
        <v>0</v>
      </c>
      <c r="J312" s="278">
        <f t="shared" si="37"/>
        <v>6102162.3850666676</v>
      </c>
      <c r="K312" s="10">
        <f t="shared" si="38"/>
        <v>0</v>
      </c>
      <c r="L312" s="295" t="e">
        <f t="shared" si="39"/>
        <v>#DIV/0!</v>
      </c>
      <c r="M312" s="10"/>
      <c r="N312" s="10"/>
      <c r="O312" s="432"/>
      <c r="P312" s="10">
        <f t="shared" si="40"/>
        <v>762770.29813333345</v>
      </c>
      <c r="Q312" s="14">
        <f t="shared" si="41"/>
        <v>0</v>
      </c>
      <c r="R312" s="2" t="e">
        <f t="shared" si="42"/>
        <v>#DIV/0!</v>
      </c>
      <c r="S312" s="130" t="e">
        <f t="shared" si="43"/>
        <v>#DIV/0!</v>
      </c>
      <c r="T312" s="427" t="e">
        <f t="shared" si="44"/>
        <v>#DIV/0!</v>
      </c>
      <c r="U312" s="126"/>
      <c r="V312" s="493"/>
      <c r="W312" s="493"/>
      <c r="X312" s="493"/>
      <c r="Y312" s="493"/>
      <c r="Z312" s="493"/>
      <c r="AA312" s="493"/>
      <c r="AB312" s="413"/>
      <c r="AC312" s="413"/>
      <c r="AD312" s="413"/>
      <c r="AE312" s="413"/>
      <c r="AF312" s="413"/>
    </row>
    <row r="313" spans="1:32" x14ac:dyDescent="0.25">
      <c r="A313" s="49">
        <f>+'A) Base RI'!A314</f>
        <v>5939</v>
      </c>
      <c r="B313" s="458" t="str">
        <f>+'A) Base RI'!B314</f>
        <v>Yvonand</v>
      </c>
      <c r="C313" s="298">
        <f>+'D) Ecrêtage'!C313</f>
        <v>105336.86867132869</v>
      </c>
      <c r="D313" s="430"/>
      <c r="E313" s="430"/>
      <c r="F313" s="242"/>
      <c r="G313" s="430"/>
      <c r="H313" s="428"/>
      <c r="I313" s="298">
        <f t="shared" si="36"/>
        <v>0</v>
      </c>
      <c r="J313" s="278">
        <f t="shared" si="37"/>
        <v>842694.9493706295</v>
      </c>
      <c r="K313" s="10">
        <f t="shared" si="38"/>
        <v>0</v>
      </c>
      <c r="L313" s="295" t="e">
        <f t="shared" si="39"/>
        <v>#DIV/0!</v>
      </c>
      <c r="M313" s="10"/>
      <c r="N313" s="10"/>
      <c r="O313" s="434"/>
      <c r="P313" s="18">
        <f t="shared" si="40"/>
        <v>105336.86867132869</v>
      </c>
      <c r="Q313" s="70">
        <f t="shared" si="41"/>
        <v>0</v>
      </c>
      <c r="R313" s="131" t="e">
        <f t="shared" si="42"/>
        <v>#DIV/0!</v>
      </c>
      <c r="S313" s="132" t="e">
        <f t="shared" si="43"/>
        <v>#DIV/0!</v>
      </c>
      <c r="T313" s="427" t="e">
        <f t="shared" si="44"/>
        <v>#DIV/0!</v>
      </c>
      <c r="U313" s="126"/>
      <c r="V313" s="493"/>
      <c r="W313" s="493"/>
      <c r="X313" s="493"/>
      <c r="Y313" s="493"/>
      <c r="Z313" s="493"/>
      <c r="AA313" s="493"/>
      <c r="AB313" s="413"/>
      <c r="AC313" s="413"/>
      <c r="AD313" s="413"/>
      <c r="AE313" s="413"/>
      <c r="AF313" s="413"/>
    </row>
    <row r="314" spans="1:32" x14ac:dyDescent="0.25">
      <c r="A314" s="78"/>
      <c r="B314" s="292">
        <f>COUNTA(B6:B313)</f>
        <v>308</v>
      </c>
      <c r="C314" s="11">
        <f t="shared" ref="C314:R314" si="45">SUM(C6:C313)</f>
        <v>39896757.238841556</v>
      </c>
      <c r="D314" s="11"/>
      <c r="E314" s="11"/>
      <c r="F314" s="293">
        <f t="shared" si="45"/>
        <v>0</v>
      </c>
      <c r="G314" s="11">
        <f t="shared" si="45"/>
        <v>0</v>
      </c>
      <c r="H314" s="293">
        <f t="shared" si="45"/>
        <v>0</v>
      </c>
      <c r="I314" s="11">
        <f t="shared" si="45"/>
        <v>0</v>
      </c>
      <c r="J314" s="293">
        <f t="shared" si="45"/>
        <v>319174057.91073245</v>
      </c>
      <c r="K314" s="11">
        <f t="shared" si="45"/>
        <v>0</v>
      </c>
      <c r="L314" s="296" t="e">
        <f t="shared" si="45"/>
        <v>#DIV/0!</v>
      </c>
      <c r="M314" s="11"/>
      <c r="N314" s="119"/>
      <c r="O314" s="119">
        <f t="shared" si="45"/>
        <v>0</v>
      </c>
      <c r="P314" s="18">
        <f t="shared" si="45"/>
        <v>39896757.238841556</v>
      </c>
      <c r="Q314" s="11">
        <f t="shared" si="45"/>
        <v>0</v>
      </c>
      <c r="R314" s="131" t="e">
        <f t="shared" si="45"/>
        <v>#DIV/0!</v>
      </c>
      <c r="S314" s="37">
        <f>-'D) Ecrêtage'!C314*4.5</f>
        <v>-179535407.57478699</v>
      </c>
      <c r="T314" s="98">
        <f>S314/'D) Ecrêtage'!C314</f>
        <v>-4.5</v>
      </c>
      <c r="V314" s="493"/>
      <c r="W314" s="493"/>
      <c r="X314" s="493"/>
      <c r="Y314" s="493"/>
      <c r="Z314" s="493"/>
      <c r="AA314" s="493"/>
    </row>
    <row r="320" spans="1:32" x14ac:dyDescent="0.25">
      <c r="I320" s="393"/>
    </row>
  </sheetData>
  <mergeCells count="10">
    <mergeCell ref="C4:C5"/>
    <mergeCell ref="B4:B5"/>
    <mergeCell ref="A4:A5"/>
    <mergeCell ref="P4:P5"/>
    <mergeCell ref="O4:O5"/>
    <mergeCell ref="J4:J5"/>
    <mergeCell ref="I4:I5"/>
    <mergeCell ref="H4:H5"/>
    <mergeCell ref="G4:G5"/>
    <mergeCell ref="F4:F5"/>
  </mergeCells>
  <phoneticPr fontId="0" type="noConversion"/>
  <printOptions horizontalCentered="1"/>
  <pageMargins left="0" right="0" top="0" bottom="0" header="0.51181102362204722" footer="0.51181102362204722"/>
  <pageSetup paperSize="9" scale="64" orientation="landscape" horizontalDpi="1200" verticalDpi="1200"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Feuil13">
    <tabColor rgb="FF00B050"/>
  </sheetPr>
  <dimension ref="A1:Z320"/>
  <sheetViews>
    <sheetView workbookViewId="0">
      <pane ySplit="5" topLeftCell="A138" activePane="bottomLeft" state="frozen"/>
      <selection pane="bottomLeft" activeCell="J20" sqref="J20"/>
    </sheetView>
  </sheetViews>
  <sheetFormatPr baseColWidth="10" defaultColWidth="10.75" defaultRowHeight="15" x14ac:dyDescent="0.25"/>
  <cols>
    <col min="1" max="1" width="7.25" style="13" customWidth="1"/>
    <col min="2" max="2" width="19.875" style="13" customWidth="1"/>
    <col min="3" max="3" width="11.75" style="13" customWidth="1"/>
    <col min="4" max="4" width="13.75" style="13" customWidth="1"/>
    <col min="5" max="5" width="15.625" style="13" customWidth="1"/>
    <col min="6" max="6" width="12.375" style="13" customWidth="1"/>
    <col min="7" max="7" width="10.75" style="13" customWidth="1"/>
    <col min="8" max="8" width="15.125" style="400" customWidth="1"/>
    <col min="9" max="9" width="10" style="139" customWidth="1"/>
    <col min="10" max="10" width="11.75" style="13" customWidth="1"/>
    <col min="11" max="11" width="10" style="15" customWidth="1"/>
    <col min="12" max="12" width="12.125" style="15" customWidth="1"/>
    <col min="13" max="15" width="12.125" style="13" customWidth="1"/>
    <col min="16" max="18" width="8.125" style="13" customWidth="1"/>
    <col min="19" max="16384" width="10.75" style="13"/>
  </cols>
  <sheetData>
    <row r="1" spans="1:26" s="43" customFormat="1" ht="21" x14ac:dyDescent="0.25">
      <c r="A1" s="51" t="s">
        <v>207</v>
      </c>
      <c r="B1" s="42"/>
      <c r="C1" s="68"/>
      <c r="D1" s="68"/>
      <c r="E1" s="68"/>
      <c r="F1" s="68"/>
      <c r="G1" s="68"/>
      <c r="H1" s="404"/>
      <c r="I1" s="138"/>
      <c r="J1" s="68"/>
      <c r="K1" s="133"/>
      <c r="L1" s="134"/>
      <c r="M1" s="56"/>
      <c r="O1" s="13"/>
      <c r="P1" s="13"/>
      <c r="Q1" s="13"/>
      <c r="R1" s="13"/>
      <c r="S1" s="13"/>
      <c r="Z1" s="13"/>
    </row>
    <row r="2" spans="1:26" s="43" customFormat="1" ht="21" x14ac:dyDescent="0.25">
      <c r="A2" s="200" t="str">
        <f>Paramètres!B5</f>
        <v>décompte provisoire 2021</v>
      </c>
      <c r="B2" s="42"/>
      <c r="C2" s="404"/>
      <c r="D2" s="404"/>
      <c r="E2" s="404"/>
      <c r="F2" s="404"/>
      <c r="G2" s="404"/>
      <c r="H2" s="404"/>
      <c r="I2" s="138"/>
      <c r="J2" s="404"/>
      <c r="K2" s="133"/>
      <c r="L2" s="134"/>
      <c r="M2" s="56"/>
      <c r="O2" s="400"/>
      <c r="P2" s="400"/>
      <c r="Q2" s="400"/>
      <c r="R2" s="400"/>
      <c r="S2" s="400"/>
      <c r="Z2" s="400"/>
    </row>
    <row r="4" spans="1:26" ht="30" customHeight="1" x14ac:dyDescent="0.25">
      <c r="A4" s="581" t="s">
        <v>46</v>
      </c>
      <c r="B4" s="581" t="s">
        <v>94</v>
      </c>
      <c r="C4" s="581" t="s">
        <v>511</v>
      </c>
      <c r="D4" s="581" t="s">
        <v>562</v>
      </c>
      <c r="E4" s="581" t="s">
        <v>565</v>
      </c>
      <c r="F4" s="581" t="s">
        <v>137</v>
      </c>
      <c r="G4" s="597" t="s">
        <v>350</v>
      </c>
      <c r="H4" s="581" t="s">
        <v>516</v>
      </c>
      <c r="I4" s="140" t="s">
        <v>566</v>
      </c>
      <c r="J4" s="595" t="s">
        <v>360</v>
      </c>
      <c r="K4" s="602" t="s">
        <v>332</v>
      </c>
    </row>
    <row r="5" spans="1:26" x14ac:dyDescent="0.25">
      <c r="A5" s="582"/>
      <c r="B5" s="583"/>
      <c r="C5" s="582"/>
      <c r="D5" s="583"/>
      <c r="E5" s="582"/>
      <c r="F5" s="583"/>
      <c r="G5" s="607"/>
      <c r="H5" s="582"/>
      <c r="I5" s="424">
        <f>Paramètres!B42</f>
        <v>48</v>
      </c>
      <c r="J5" s="606"/>
      <c r="K5" s="605"/>
    </row>
    <row r="6" spans="1:26" x14ac:dyDescent="0.25">
      <c r="A6" s="46">
        <f>'A) Base RI'!A7</f>
        <v>5401</v>
      </c>
      <c r="B6" s="286" t="str">
        <f>'A) Base RI'!B7</f>
        <v>Aigle</v>
      </c>
      <c r="C6" s="94">
        <f>'B) D RI'!U7</f>
        <v>280991.46517676767</v>
      </c>
      <c r="D6" s="405">
        <f>'E) PCS'!G12/C6</f>
        <v>17.394578574833179</v>
      </c>
      <c r="E6" s="135">
        <f>'H) Péréquation directe'!I16/C6</f>
        <v>-16.791183445164751</v>
      </c>
      <c r="F6" s="110"/>
      <c r="G6" s="135">
        <f>SUM(D6:F6)</f>
        <v>0.6033951296684279</v>
      </c>
      <c r="H6" s="406">
        <f>G6-'C) Prél. conj.'!I6</f>
        <v>-4.5978468158141101</v>
      </c>
      <c r="I6" s="410">
        <f t="shared" ref="I6" si="0">IF(H6&gt;I$5,I$5-H6,0)</f>
        <v>0</v>
      </c>
      <c r="J6" s="100">
        <f>I6*C6</f>
        <v>0</v>
      </c>
      <c r="K6" s="406">
        <f>H6+I6</f>
        <v>-4.5978468158141101</v>
      </c>
    </row>
    <row r="7" spans="1:26" x14ac:dyDescent="0.25">
      <c r="A7" s="49">
        <f>'A) Base RI'!A8</f>
        <v>5402</v>
      </c>
      <c r="B7" s="286" t="str">
        <f>'A) Base RI'!B8</f>
        <v>Bex</v>
      </c>
      <c r="C7" s="95">
        <f>'B) D RI'!U8</f>
        <v>192706.98084507044</v>
      </c>
      <c r="D7" s="405">
        <f>'E) PCS'!G13/C7</f>
        <v>16.869943911805784</v>
      </c>
      <c r="E7" s="136">
        <f>'H) Péréquation directe'!I17/C7</f>
        <v>-20.83243815838108</v>
      </c>
      <c r="F7" s="405"/>
      <c r="G7" s="136">
        <f t="shared" ref="G7:G69" si="1">SUM(D7:F7)</f>
        <v>-3.9624942465752966</v>
      </c>
      <c r="H7" s="406">
        <f>G7-'C) Prél. conj.'!I7</f>
        <v>-8.6391015290304374</v>
      </c>
      <c r="I7" s="410">
        <f t="shared" ref="I7:I69" si="2">IF(H7&gt;I$5,I$5-H7,0)</f>
        <v>0</v>
      </c>
      <c r="J7" s="55">
        <f t="shared" ref="J7:J69" si="3">I7*C7</f>
        <v>0</v>
      </c>
      <c r="K7" s="406">
        <f t="shared" ref="K7:K69" si="4">H7+I7</f>
        <v>-8.6391015290304374</v>
      </c>
      <c r="L7" s="436"/>
    </row>
    <row r="8" spans="1:26" x14ac:dyDescent="0.25">
      <c r="A8" s="49">
        <f>'A) Base RI'!A9</f>
        <v>5403</v>
      </c>
      <c r="B8" s="286" t="str">
        <f>'A) Base RI'!B9</f>
        <v>Chessel</v>
      </c>
      <c r="C8" s="95">
        <f>'B) D RI'!U9</f>
        <v>12090.332702702703</v>
      </c>
      <c r="D8" s="405">
        <f>'E) PCS'!G14/C8</f>
        <v>15.547592959363335</v>
      </c>
      <c r="E8" s="136">
        <f>'H) Péréquation directe'!I18/C8</f>
        <v>-7.9983750176023252</v>
      </c>
      <c r="F8" s="405"/>
      <c r="G8" s="136">
        <f t="shared" si="1"/>
        <v>7.5492179417610101</v>
      </c>
      <c r="H8" s="406">
        <f>G8-'C) Prél. conj.'!I8</f>
        <v>4.1949616117483188</v>
      </c>
      <c r="I8" s="410">
        <f t="shared" si="2"/>
        <v>0</v>
      </c>
      <c r="J8" s="55">
        <f t="shared" si="3"/>
        <v>0</v>
      </c>
      <c r="K8" s="406">
        <f t="shared" si="4"/>
        <v>4.1949616117483188</v>
      </c>
      <c r="L8" s="436"/>
    </row>
    <row r="9" spans="1:26" x14ac:dyDescent="0.25">
      <c r="A9" s="49">
        <f>'A) Base RI'!A10</f>
        <v>5404</v>
      </c>
      <c r="B9" s="286" t="str">
        <f>'A) Base RI'!B10</f>
        <v>Corbeyrier</v>
      </c>
      <c r="C9" s="95">
        <f>'B) D RI'!U10</f>
        <v>11581.118783783784</v>
      </c>
      <c r="D9" s="405">
        <f>'E) PCS'!G15/C9</f>
        <v>16.920753817805771</v>
      </c>
      <c r="E9" s="136">
        <f>'H) Péréquation directe'!I19/C9</f>
        <v>-4.2066057741928242</v>
      </c>
      <c r="F9" s="405"/>
      <c r="G9" s="136">
        <f t="shared" si="1"/>
        <v>12.714148043612948</v>
      </c>
      <c r="H9" s="406">
        <f>G9-'C) Prél. conj.'!I9</f>
        <v>7.9867308551578207</v>
      </c>
      <c r="I9" s="410">
        <f t="shared" si="2"/>
        <v>0</v>
      </c>
      <c r="J9" s="55">
        <f t="shared" si="3"/>
        <v>0</v>
      </c>
      <c r="K9" s="406">
        <f t="shared" si="4"/>
        <v>7.9867308551578207</v>
      </c>
      <c r="L9" s="436"/>
    </row>
    <row r="10" spans="1:26" x14ac:dyDescent="0.25">
      <c r="A10" s="49">
        <f>'A) Base RI'!A11</f>
        <v>5405</v>
      </c>
      <c r="B10" s="286" t="str">
        <f>'A) Base RI'!B11</f>
        <v>Gryon</v>
      </c>
      <c r="C10" s="95">
        <f>'B) D RI'!U11</f>
        <v>78111.135102040818</v>
      </c>
      <c r="D10" s="405">
        <f>'E) PCS'!G16/C10</f>
        <v>23.618326853974068</v>
      </c>
      <c r="E10" s="136">
        <f>'H) Péréquation directe'!I20/C10</f>
        <v>15.507122637383848</v>
      </c>
      <c r="F10" s="405"/>
      <c r="G10" s="136">
        <f t="shared" si="1"/>
        <v>39.125449491357912</v>
      </c>
      <c r="H10" s="406">
        <f>G10-'C) Prél. conj.'!I10</f>
        <v>29.805825611241232</v>
      </c>
      <c r="I10" s="410">
        <f t="shared" si="2"/>
        <v>0</v>
      </c>
      <c r="J10" s="55">
        <f t="shared" si="3"/>
        <v>0</v>
      </c>
      <c r="K10" s="406">
        <f t="shared" si="4"/>
        <v>29.805825611241232</v>
      </c>
      <c r="L10" s="436"/>
    </row>
    <row r="11" spans="1:26" x14ac:dyDescent="0.25">
      <c r="A11" s="49">
        <f>'A) Base RI'!A12</f>
        <v>5406</v>
      </c>
      <c r="B11" s="286" t="str">
        <f>'A) Base RI'!B12</f>
        <v>Lavey-Morcles</v>
      </c>
      <c r="C11" s="95">
        <f>'B) D RI'!U12</f>
        <v>21513.822183969878</v>
      </c>
      <c r="D11" s="405">
        <f>'E) PCS'!G17/C11</f>
        <v>14.544509264666445</v>
      </c>
      <c r="E11" s="136">
        <f>'H) Péréquation directe'!I21/C11</f>
        <v>-10.785750737237924</v>
      </c>
      <c r="F11" s="405"/>
      <c r="G11" s="136">
        <f t="shared" si="1"/>
        <v>3.7587585274285207</v>
      </c>
      <c r="H11" s="406">
        <f>G11-'C) Prél. conj.'!I11</f>
        <v>1.4075858921127198</v>
      </c>
      <c r="I11" s="410">
        <f t="shared" si="2"/>
        <v>0</v>
      </c>
      <c r="J11" s="55">
        <f t="shared" si="3"/>
        <v>0</v>
      </c>
      <c r="K11" s="406">
        <f t="shared" si="4"/>
        <v>1.4075858921127198</v>
      </c>
      <c r="L11" s="436"/>
    </row>
    <row r="12" spans="1:26" x14ac:dyDescent="0.25">
      <c r="A12" s="49">
        <f>'A) Base RI'!A13</f>
        <v>5407</v>
      </c>
      <c r="B12" s="286" t="str">
        <f>'A) Base RI'!B13</f>
        <v>Leysin</v>
      </c>
      <c r="C12" s="95">
        <f>'B) D RI'!U13</f>
        <v>90687.443803418792</v>
      </c>
      <c r="D12" s="405">
        <f>'E) PCS'!G18/C12</f>
        <v>18.554180543425694</v>
      </c>
      <c r="E12" s="136">
        <f>'H) Péréquation directe'!I22/C12</f>
        <v>-16.681132565006916</v>
      </c>
      <c r="F12" s="405"/>
      <c r="G12" s="136">
        <f t="shared" si="1"/>
        <v>1.8730479784187786</v>
      </c>
      <c r="H12" s="406">
        <f>G12-'C) Prél. conj.'!I12</f>
        <v>-4.4877959356562762</v>
      </c>
      <c r="I12" s="410">
        <f t="shared" si="2"/>
        <v>0</v>
      </c>
      <c r="J12" s="55">
        <f t="shared" si="3"/>
        <v>0</v>
      </c>
      <c r="K12" s="406">
        <f t="shared" si="4"/>
        <v>-4.4877959356562762</v>
      </c>
      <c r="L12" s="436"/>
    </row>
    <row r="13" spans="1:26" x14ac:dyDescent="0.25">
      <c r="A13" s="49">
        <f>'A) Base RI'!A14</f>
        <v>5408</v>
      </c>
      <c r="B13" s="286" t="str">
        <f>'A) Base RI'!B14</f>
        <v>Noville</v>
      </c>
      <c r="C13" s="95">
        <f>'B) D RI'!U14</f>
        <v>41389.442632696395</v>
      </c>
      <c r="D13" s="405">
        <f>'E) PCS'!G19/C13</f>
        <v>18.578638851111506</v>
      </c>
      <c r="E13" s="136">
        <f>'H) Péréquation directe'!I23/C13</f>
        <v>5.3148909536974882</v>
      </c>
      <c r="F13" s="405"/>
      <c r="G13" s="136">
        <f t="shared" si="1"/>
        <v>23.893529804808995</v>
      </c>
      <c r="H13" s="406">
        <f>G13-'C) Prél. conj.'!I13</f>
        <v>17.508227583048136</v>
      </c>
      <c r="I13" s="410">
        <f t="shared" si="2"/>
        <v>0</v>
      </c>
      <c r="J13" s="55">
        <f t="shared" si="3"/>
        <v>0</v>
      </c>
      <c r="K13" s="406">
        <f t="shared" si="4"/>
        <v>17.508227583048136</v>
      </c>
      <c r="L13" s="436"/>
    </row>
    <row r="14" spans="1:26" x14ac:dyDescent="0.25">
      <c r="A14" s="49">
        <f>'A) Base RI'!A15</f>
        <v>5409</v>
      </c>
      <c r="B14" s="286" t="str">
        <f>'A) Base RI'!B15</f>
        <v>Ollon</v>
      </c>
      <c r="C14" s="95">
        <f>'B) D RI'!U15</f>
        <v>428262.96074660635</v>
      </c>
      <c r="D14" s="405">
        <f>'E) PCS'!G20/C14</f>
        <v>22.822199387127469</v>
      </c>
      <c r="E14" s="136">
        <f>'H) Péréquation directe'!I24/C14</f>
        <v>10.49923808406721</v>
      </c>
      <c r="F14" s="405"/>
      <c r="G14" s="136">
        <f t="shared" si="1"/>
        <v>33.321437471194677</v>
      </c>
      <c r="H14" s="406">
        <f>G14-'C) Prél. conj.'!I14</f>
        <v>24.137757406630126</v>
      </c>
      <c r="I14" s="410">
        <f t="shared" si="2"/>
        <v>0</v>
      </c>
      <c r="J14" s="55">
        <f t="shared" si="3"/>
        <v>0</v>
      </c>
      <c r="K14" s="406">
        <f t="shared" si="4"/>
        <v>24.137757406630126</v>
      </c>
      <c r="L14" s="436"/>
    </row>
    <row r="15" spans="1:26" x14ac:dyDescent="0.25">
      <c r="A15" s="49">
        <f>'A) Base RI'!A16</f>
        <v>5410</v>
      </c>
      <c r="B15" s="286" t="str">
        <f>'A) Base RI'!B16</f>
        <v>Ormont-Dessous</v>
      </c>
      <c r="C15" s="95">
        <f>'B) D RI'!U16</f>
        <v>38607.205194805196</v>
      </c>
      <c r="D15" s="405">
        <f>'E) PCS'!G21/C15</f>
        <v>20.717377629974042</v>
      </c>
      <c r="E15" s="136">
        <f>'H) Péréquation directe'!I25/C15</f>
        <v>3.2733036295468727</v>
      </c>
      <c r="F15" s="405"/>
      <c r="G15" s="136">
        <f t="shared" si="1"/>
        <v>23.990681259520915</v>
      </c>
      <c r="H15" s="406">
        <f>G15-'C) Prél. conj.'!I15</f>
        <v>15.46664025889752</v>
      </c>
      <c r="I15" s="410">
        <f t="shared" si="2"/>
        <v>0</v>
      </c>
      <c r="J15" s="55">
        <f t="shared" si="3"/>
        <v>0</v>
      </c>
      <c r="K15" s="406">
        <f t="shared" si="4"/>
        <v>15.46664025889752</v>
      </c>
      <c r="L15" s="436"/>
    </row>
    <row r="16" spans="1:26" x14ac:dyDescent="0.25">
      <c r="A16" s="49">
        <f>'A) Base RI'!A17</f>
        <v>5411</v>
      </c>
      <c r="B16" s="286" t="str">
        <f>'A) Base RI'!B17</f>
        <v>Ormont-Dessus</v>
      </c>
      <c r="C16" s="95">
        <f>'B) D RI'!U17</f>
        <v>77411.411228070181</v>
      </c>
      <c r="D16" s="405">
        <f>'E) PCS'!G22/C16</f>
        <v>20.254399002290373</v>
      </c>
      <c r="E16" s="136">
        <f>'H) Péréquation directe'!I26/C16</f>
        <v>15.165904281031199</v>
      </c>
      <c r="F16" s="405"/>
      <c r="G16" s="136">
        <f t="shared" si="1"/>
        <v>35.420303283321573</v>
      </c>
      <c r="H16" s="406">
        <f>G16-'C) Prél. conj.'!I16</f>
        <v>28.762416844828227</v>
      </c>
      <c r="I16" s="410">
        <f t="shared" si="2"/>
        <v>0</v>
      </c>
      <c r="J16" s="55">
        <f t="shared" si="3"/>
        <v>0</v>
      </c>
      <c r="K16" s="406">
        <f t="shared" si="4"/>
        <v>28.762416844828227</v>
      </c>
      <c r="L16" s="436"/>
    </row>
    <row r="17" spans="1:12" x14ac:dyDescent="0.25">
      <c r="A17" s="49">
        <f>'A) Base RI'!A18</f>
        <v>5412</v>
      </c>
      <c r="B17" s="286" t="str">
        <f>'A) Base RI'!B18</f>
        <v>Rennaz</v>
      </c>
      <c r="C17" s="95">
        <f>'B) D RI'!U18</f>
        <v>28875.999420289856</v>
      </c>
      <c r="D17" s="405">
        <f>'E) PCS'!G23/C17</f>
        <v>24.0795115459089</v>
      </c>
      <c r="E17" s="136">
        <f>'H) Péréquation directe'!I27/C17</f>
        <v>5.8481378626618747</v>
      </c>
      <c r="F17" s="405"/>
      <c r="G17" s="136">
        <f t="shared" si="1"/>
        <v>29.927649408570776</v>
      </c>
      <c r="H17" s="406">
        <f>G17-'C) Prél. conj.'!I17</f>
        <v>18.041474492012519</v>
      </c>
      <c r="I17" s="410">
        <f t="shared" si="2"/>
        <v>0</v>
      </c>
      <c r="J17" s="55">
        <f t="shared" si="3"/>
        <v>0</v>
      </c>
      <c r="K17" s="406">
        <f t="shared" si="4"/>
        <v>18.041474492012519</v>
      </c>
      <c r="L17" s="436"/>
    </row>
    <row r="18" spans="1:12" x14ac:dyDescent="0.25">
      <c r="A18" s="49">
        <f>'A) Base RI'!A19</f>
        <v>5413</v>
      </c>
      <c r="B18" s="286" t="str">
        <f>'A) Base RI'!B19</f>
        <v>Roche</v>
      </c>
      <c r="C18" s="95">
        <f>'B) D RI'!U19</f>
        <v>43148.541249999987</v>
      </c>
      <c r="D18" s="405">
        <f>'E) PCS'!G24/C18</f>
        <v>23.809115992459478</v>
      </c>
      <c r="E18" s="136">
        <f>'H) Péréquation directe'!I28/C18</f>
        <v>-11.543210784212732</v>
      </c>
      <c r="F18" s="405"/>
      <c r="G18" s="136">
        <f t="shared" si="1"/>
        <v>12.265905208246746</v>
      </c>
      <c r="H18" s="406">
        <f>G18-'C) Prél. conj.'!I18</f>
        <v>0.65012584513791438</v>
      </c>
      <c r="I18" s="410">
        <f t="shared" si="2"/>
        <v>0</v>
      </c>
      <c r="J18" s="55">
        <f t="shared" si="3"/>
        <v>0</v>
      </c>
      <c r="K18" s="406">
        <f t="shared" si="4"/>
        <v>0.65012584513791438</v>
      </c>
      <c r="L18" s="436"/>
    </row>
    <row r="19" spans="1:12" x14ac:dyDescent="0.25">
      <c r="A19" s="49">
        <f>'A) Base RI'!A20</f>
        <v>5414</v>
      </c>
      <c r="B19" s="286" t="str">
        <f>'A) Base RI'!B20</f>
        <v>Villeneuve</v>
      </c>
      <c r="C19" s="95">
        <f>'B) D RI'!U20</f>
        <v>185712.20711111111</v>
      </c>
      <c r="D19" s="405">
        <f>'E) PCS'!G25/C19</f>
        <v>19.148604110648694</v>
      </c>
      <c r="E19" s="136">
        <f>'H) Péréquation directe'!I29/C19</f>
        <v>-3.8702091671405499</v>
      </c>
      <c r="F19" s="405"/>
      <c r="G19" s="136">
        <f t="shared" si="1"/>
        <v>15.278394943508145</v>
      </c>
      <c r="H19" s="406">
        <f>G19-'C) Prél. conj.'!I19</f>
        <v>8.3231274622100919</v>
      </c>
      <c r="I19" s="410">
        <f t="shared" si="2"/>
        <v>0</v>
      </c>
      <c r="J19" s="55">
        <f t="shared" si="3"/>
        <v>0</v>
      </c>
      <c r="K19" s="406">
        <f t="shared" si="4"/>
        <v>8.3231274622100919</v>
      </c>
      <c r="L19" s="436"/>
    </row>
    <row r="20" spans="1:12" x14ac:dyDescent="0.25">
      <c r="A20" s="49">
        <f>'A) Base RI'!A21</f>
        <v>5415</v>
      </c>
      <c r="B20" s="286" t="str">
        <f>'A) Base RI'!B21</f>
        <v>Yvorne</v>
      </c>
      <c r="C20" s="95">
        <f>'B) D RI'!U21</f>
        <v>35910.274638694631</v>
      </c>
      <c r="D20" s="405">
        <f>'E) PCS'!G26/C20</f>
        <v>20.097684559180848</v>
      </c>
      <c r="E20" s="136">
        <f>'H) Péréquation directe'!I30/C20</f>
        <v>6.8003892644572623</v>
      </c>
      <c r="F20" s="405"/>
      <c r="G20" s="136">
        <f t="shared" si="1"/>
        <v>26.898073823638111</v>
      </c>
      <c r="H20" s="406">
        <f>G20-'C) Prél. conj.'!I20</f>
        <v>18.993725893807905</v>
      </c>
      <c r="I20" s="410">
        <f t="shared" si="2"/>
        <v>0</v>
      </c>
      <c r="J20" s="55">
        <f t="shared" si="3"/>
        <v>0</v>
      </c>
      <c r="K20" s="406">
        <f t="shared" si="4"/>
        <v>18.993725893807905</v>
      </c>
      <c r="L20" s="436"/>
    </row>
    <row r="21" spans="1:12" x14ac:dyDescent="0.25">
      <c r="A21" s="49">
        <f>'A) Base RI'!A22</f>
        <v>5421</v>
      </c>
      <c r="B21" s="286" t="str">
        <f>'A) Base RI'!B22</f>
        <v>Apples</v>
      </c>
      <c r="C21" s="95">
        <f>'B) D RI'!U22</f>
        <v>68531.648243243253</v>
      </c>
      <c r="D21" s="405">
        <f>'E) PCS'!G27/C21</f>
        <v>18.414131779159877</v>
      </c>
      <c r="E21" s="136">
        <f>'H) Péréquation directe'!I31/C21</f>
        <v>13.769609893994348</v>
      </c>
      <c r="F21" s="405"/>
      <c r="G21" s="136">
        <f t="shared" si="1"/>
        <v>32.183741673154223</v>
      </c>
      <c r="H21" s="406">
        <f>G21-'C) Prél. conj.'!I21</f>
        <v>25.962946523344989</v>
      </c>
      <c r="I21" s="410">
        <f t="shared" si="2"/>
        <v>0</v>
      </c>
      <c r="J21" s="55">
        <f t="shared" si="3"/>
        <v>0</v>
      </c>
      <c r="K21" s="406">
        <f t="shared" si="4"/>
        <v>25.962946523344989</v>
      </c>
      <c r="L21" s="436"/>
    </row>
    <row r="22" spans="1:12" x14ac:dyDescent="0.25">
      <c r="A22" s="49">
        <f>'A) Base RI'!A23</f>
        <v>5422</v>
      </c>
      <c r="B22" s="286" t="str">
        <f>'A) Base RI'!B23</f>
        <v>Aubonne</v>
      </c>
      <c r="C22" s="95">
        <f>'B) D RI'!U23</f>
        <v>364706.48499999999</v>
      </c>
      <c r="D22" s="405">
        <f>'E) PCS'!G28/C22</f>
        <v>26.474434359024279</v>
      </c>
      <c r="E22" s="136">
        <f>'H) Péréquation directe'!I32/C22</f>
        <v>15.486295328162392</v>
      </c>
      <c r="F22" s="405"/>
      <c r="G22" s="136">
        <f t="shared" si="1"/>
        <v>41.960729687186671</v>
      </c>
      <c r="H22" s="406">
        <f>G22-'C) Prél. conj.'!I22</f>
        <v>39.162592727817824</v>
      </c>
      <c r="I22" s="410">
        <f t="shared" si="2"/>
        <v>0</v>
      </c>
      <c r="J22" s="55">
        <f t="shared" si="3"/>
        <v>0</v>
      </c>
      <c r="K22" s="406">
        <f t="shared" si="4"/>
        <v>39.162592727817824</v>
      </c>
      <c r="L22" s="436"/>
    </row>
    <row r="23" spans="1:12" x14ac:dyDescent="0.25">
      <c r="A23" s="49">
        <f>'A) Base RI'!A24</f>
        <v>5423</v>
      </c>
      <c r="B23" s="286" t="str">
        <f>'A) Base RI'!B24</f>
        <v>Ballens</v>
      </c>
      <c r="C23" s="95">
        <f>'B) D RI'!U24</f>
        <v>16194.440273972601</v>
      </c>
      <c r="D23" s="405">
        <f>'E) PCS'!G29/C23</f>
        <v>17.136454677626539</v>
      </c>
      <c r="E23" s="136">
        <f>'H) Péréquation directe'!I33/C23</f>
        <v>-0.36892985393094885</v>
      </c>
      <c r="F23" s="405"/>
      <c r="G23" s="136">
        <f t="shared" si="1"/>
        <v>16.767524823695588</v>
      </c>
      <c r="H23" s="406">
        <f>G23-'C) Prél. conj.'!I23</f>
        <v>11.824406775419693</v>
      </c>
      <c r="I23" s="410">
        <f t="shared" si="2"/>
        <v>0</v>
      </c>
      <c r="J23" s="55">
        <f t="shared" si="3"/>
        <v>0</v>
      </c>
      <c r="K23" s="406">
        <f t="shared" si="4"/>
        <v>11.824406775419693</v>
      </c>
      <c r="L23" s="436"/>
    </row>
    <row r="24" spans="1:12" x14ac:dyDescent="0.25">
      <c r="A24" s="49">
        <f>'A) Base RI'!A25</f>
        <v>5424</v>
      </c>
      <c r="B24" s="286" t="str">
        <f>'A) Base RI'!B25</f>
        <v>Berolle</v>
      </c>
      <c r="C24" s="95">
        <f>'B) D RI'!U25</f>
        <v>8301.8684768211915</v>
      </c>
      <c r="D24" s="405">
        <f>'E) PCS'!G30/C24</f>
        <v>14.094652585399603</v>
      </c>
      <c r="E24" s="136">
        <f>'H) Péréquation directe'!I34/C24</f>
        <v>-3.9652400537208745</v>
      </c>
      <c r="F24" s="405"/>
      <c r="G24" s="136">
        <f t="shared" si="1"/>
        <v>10.129412531678728</v>
      </c>
      <c r="H24" s="406">
        <f>G24-'C) Prél. conj.'!I24</f>
        <v>8.2280965756297686</v>
      </c>
      <c r="I24" s="410">
        <f t="shared" si="2"/>
        <v>0</v>
      </c>
      <c r="J24" s="55">
        <f t="shared" si="3"/>
        <v>0</v>
      </c>
      <c r="K24" s="406">
        <f t="shared" si="4"/>
        <v>8.2280965756297686</v>
      </c>
      <c r="L24" s="436"/>
    </row>
    <row r="25" spans="1:12" x14ac:dyDescent="0.25">
      <c r="A25" s="49">
        <f>'A) Base RI'!A26</f>
        <v>5425</v>
      </c>
      <c r="B25" s="286" t="str">
        <f>'A) Base RI'!B26</f>
        <v>Bière</v>
      </c>
      <c r="C25" s="95">
        <f>'B) D RI'!U26</f>
        <v>44230.498130934531</v>
      </c>
      <c r="D25" s="405">
        <f>'E) PCS'!G31/C25</f>
        <v>15.880612872932804</v>
      </c>
      <c r="E25" s="136">
        <f>'H) Péréquation directe'!I35/C25</f>
        <v>-4.0288266186283517</v>
      </c>
      <c r="F25" s="405"/>
      <c r="G25" s="136">
        <f t="shared" si="1"/>
        <v>11.851786254304454</v>
      </c>
      <c r="H25" s="406">
        <f>G25-'C) Prél. conj.'!I25</f>
        <v>8.1645100107222941</v>
      </c>
      <c r="I25" s="410">
        <f t="shared" si="2"/>
        <v>0</v>
      </c>
      <c r="J25" s="55">
        <f t="shared" si="3"/>
        <v>0</v>
      </c>
      <c r="K25" s="406">
        <f t="shared" si="4"/>
        <v>8.1645100107222941</v>
      </c>
      <c r="L25" s="436"/>
    </row>
    <row r="26" spans="1:12" x14ac:dyDescent="0.25">
      <c r="A26" s="49">
        <f>'A) Base RI'!A27</f>
        <v>5426</v>
      </c>
      <c r="B26" s="286" t="str">
        <f>'A) Base RI'!B27</f>
        <v>Bougy-Villars</v>
      </c>
      <c r="C26" s="95">
        <f>'B) D RI'!U27</f>
        <v>53043.718423772611</v>
      </c>
      <c r="D26" s="405">
        <f>'E) PCS'!G32/C26</f>
        <v>45.719735633239729</v>
      </c>
      <c r="E26" s="136">
        <f>'H) Péréquation directe'!I36/C26</f>
        <v>17.643559365360741</v>
      </c>
      <c r="F26" s="405"/>
      <c r="G26" s="136">
        <f t="shared" si="1"/>
        <v>63.363294998600466</v>
      </c>
      <c r="H26" s="406">
        <f>G26-'C) Prél. conj.'!I26</f>
        <v>42.479042387389732</v>
      </c>
      <c r="I26" s="410">
        <f t="shared" si="2"/>
        <v>0</v>
      </c>
      <c r="J26" s="55">
        <f t="shared" si="3"/>
        <v>0</v>
      </c>
      <c r="K26" s="406">
        <f t="shared" si="4"/>
        <v>42.479042387389732</v>
      </c>
      <c r="L26" s="436"/>
    </row>
    <row r="27" spans="1:12" x14ac:dyDescent="0.25">
      <c r="A27" s="49">
        <f>'A) Base RI'!A28</f>
        <v>5427</v>
      </c>
      <c r="B27" s="286" t="str">
        <f>'A) Base RI'!B28</f>
        <v>Féchy</v>
      </c>
      <c r="C27" s="95">
        <f>'B) D RI'!U28</f>
        <v>88218.508882211536</v>
      </c>
      <c r="D27" s="405">
        <f>'E) PCS'!G33/C27</f>
        <v>25.630020474236883</v>
      </c>
      <c r="E27" s="136">
        <f>'H) Péréquation directe'!I37/C27</f>
        <v>17.549628416551833</v>
      </c>
      <c r="F27" s="405"/>
      <c r="G27" s="136">
        <f t="shared" si="1"/>
        <v>43.179648890788712</v>
      </c>
      <c r="H27" s="406">
        <f>G27-'C) Prél. conj.'!I27</f>
        <v>40.723598026346032</v>
      </c>
      <c r="I27" s="410">
        <f t="shared" si="2"/>
        <v>0</v>
      </c>
      <c r="J27" s="55">
        <f t="shared" si="3"/>
        <v>0</v>
      </c>
      <c r="K27" s="406">
        <f t="shared" si="4"/>
        <v>40.723598026346032</v>
      </c>
      <c r="L27" s="436"/>
    </row>
    <row r="28" spans="1:12" x14ac:dyDescent="0.25">
      <c r="A28" s="49">
        <f>'A) Base RI'!A29</f>
        <v>5428</v>
      </c>
      <c r="B28" s="286" t="str">
        <f>'A) Base RI'!B29</f>
        <v>Gimel</v>
      </c>
      <c r="C28" s="95">
        <f>'B) D RI'!U29</f>
        <v>70558.698881431759</v>
      </c>
      <c r="D28" s="405">
        <f>'E) PCS'!G34/C28</f>
        <v>18.148055418964955</v>
      </c>
      <c r="E28" s="136">
        <f>'H) Péréquation directe'!I38/C28</f>
        <v>-4.2833172968439088</v>
      </c>
      <c r="F28" s="405"/>
      <c r="G28" s="136">
        <f t="shared" si="1"/>
        <v>13.864738122121047</v>
      </c>
      <c r="H28" s="406">
        <f>G28-'C) Prél. conj.'!I28</f>
        <v>7.9100193325067361</v>
      </c>
      <c r="I28" s="410">
        <f t="shared" si="2"/>
        <v>0</v>
      </c>
      <c r="J28" s="55">
        <f t="shared" si="3"/>
        <v>0</v>
      </c>
      <c r="K28" s="406">
        <f t="shared" si="4"/>
        <v>7.9100193325067361</v>
      </c>
      <c r="L28" s="436"/>
    </row>
    <row r="29" spans="1:12" x14ac:dyDescent="0.25">
      <c r="A29" s="49">
        <f>'A) Base RI'!A30</f>
        <v>5429</v>
      </c>
      <c r="B29" s="286" t="str">
        <f>'A) Base RI'!B30</f>
        <v>Longirod</v>
      </c>
      <c r="C29" s="95">
        <f>'B) D RI'!U30</f>
        <v>18574.452387096771</v>
      </c>
      <c r="D29" s="405">
        <f>'E) PCS'!G35/C29</f>
        <v>16.570762854657985</v>
      </c>
      <c r="E29" s="136">
        <f>'H) Péréquation directe'!I39/C29</f>
        <v>6.7809073902226542</v>
      </c>
      <c r="F29" s="405"/>
      <c r="G29" s="136">
        <f t="shared" si="1"/>
        <v>23.351670244880641</v>
      </c>
      <c r="H29" s="406">
        <f>G29-'C) Prél. conj.'!I29</f>
        <v>18.974244019573298</v>
      </c>
      <c r="I29" s="410">
        <f t="shared" si="2"/>
        <v>0</v>
      </c>
      <c r="J29" s="55">
        <f t="shared" si="3"/>
        <v>0</v>
      </c>
      <c r="K29" s="406">
        <f t="shared" si="4"/>
        <v>18.974244019573298</v>
      </c>
      <c r="L29" s="436"/>
    </row>
    <row r="30" spans="1:12" x14ac:dyDescent="0.25">
      <c r="A30" s="49">
        <f>'A) Base RI'!A31</f>
        <v>5430</v>
      </c>
      <c r="B30" s="286" t="str">
        <f>'A) Base RI'!B31</f>
        <v>Marchissy</v>
      </c>
      <c r="C30" s="95">
        <f>'B) D RI'!U31</f>
        <v>15580.981548387101</v>
      </c>
      <c r="D30" s="405">
        <f>'E) PCS'!G36/C30</f>
        <v>15.260250921726955</v>
      </c>
      <c r="E30" s="136">
        <f>'H) Péréquation directe'!I40/C30</f>
        <v>2.7487469911969722</v>
      </c>
      <c r="F30" s="405"/>
      <c r="G30" s="136">
        <f t="shared" si="1"/>
        <v>18.008997912923927</v>
      </c>
      <c r="H30" s="406">
        <f>G30-'C) Prél. conj.'!I30</f>
        <v>14.942083620547615</v>
      </c>
      <c r="I30" s="410">
        <f t="shared" si="2"/>
        <v>0</v>
      </c>
      <c r="J30" s="55">
        <f t="shared" si="3"/>
        <v>0</v>
      </c>
      <c r="K30" s="406">
        <f t="shared" si="4"/>
        <v>14.942083620547615</v>
      </c>
      <c r="L30" s="436"/>
    </row>
    <row r="31" spans="1:12" x14ac:dyDescent="0.25">
      <c r="A31" s="49">
        <f>'A) Base RI'!A32</f>
        <v>5431</v>
      </c>
      <c r="B31" s="286" t="str">
        <f>'A) Base RI'!B32</f>
        <v>Mollens</v>
      </c>
      <c r="C31" s="95">
        <f>'B) D RI'!U32</f>
        <v>10464.972567567567</v>
      </c>
      <c r="D31" s="405">
        <f>'E) PCS'!G37/C31</f>
        <v>13.833791001223908</v>
      </c>
      <c r="E31" s="136">
        <f>'H) Péréquation directe'!I41/C31</f>
        <v>4.5882544589489287</v>
      </c>
      <c r="F31" s="405"/>
      <c r="G31" s="136">
        <f t="shared" si="1"/>
        <v>18.422045460172836</v>
      </c>
      <c r="H31" s="406">
        <f>G31-'C) Prél. conj.'!I31</f>
        <v>16.781591088299571</v>
      </c>
      <c r="I31" s="410">
        <f t="shared" si="2"/>
        <v>0</v>
      </c>
      <c r="J31" s="55">
        <f t="shared" si="3"/>
        <v>0</v>
      </c>
      <c r="K31" s="406">
        <f t="shared" si="4"/>
        <v>16.781591088299571</v>
      </c>
      <c r="L31" s="436"/>
    </row>
    <row r="32" spans="1:12" x14ac:dyDescent="0.25">
      <c r="A32" s="49">
        <f>'A) Base RI'!A33</f>
        <v>5434</v>
      </c>
      <c r="B32" s="286" t="str">
        <f>'A) Base RI'!B33</f>
        <v>Saint-George</v>
      </c>
      <c r="C32" s="95">
        <f>'B) D RI'!U33</f>
        <v>43544.748513189443</v>
      </c>
      <c r="D32" s="405">
        <f>'E) PCS'!G38/C32</f>
        <v>15.469707715907418</v>
      </c>
      <c r="E32" s="136">
        <f>'H) Péréquation directe'!I42/C32</f>
        <v>11.660184256403992</v>
      </c>
      <c r="F32" s="405"/>
      <c r="G32" s="136">
        <f t="shared" si="1"/>
        <v>27.129891972311412</v>
      </c>
      <c r="H32" s="406">
        <f>G32-'C) Prél. conj.'!I32</f>
        <v>23.853520885754637</v>
      </c>
      <c r="I32" s="410">
        <f t="shared" si="2"/>
        <v>0</v>
      </c>
      <c r="J32" s="55">
        <f t="shared" si="3"/>
        <v>0</v>
      </c>
      <c r="K32" s="406">
        <f t="shared" si="4"/>
        <v>23.853520885754637</v>
      </c>
      <c r="L32" s="436"/>
    </row>
    <row r="33" spans="1:12" x14ac:dyDescent="0.25">
      <c r="A33" s="49">
        <f>'A) Base RI'!A34</f>
        <v>5435</v>
      </c>
      <c r="B33" s="286" t="str">
        <f>'A) Base RI'!B34</f>
        <v>Saint-Livres</v>
      </c>
      <c r="C33" s="95">
        <f>'B) D RI'!U34</f>
        <v>25854.309855072468</v>
      </c>
      <c r="D33" s="405">
        <f>'E) PCS'!G39/C33</f>
        <v>17.491591572834459</v>
      </c>
      <c r="E33" s="136">
        <f>'H) Péréquation directe'!I43/C33</f>
        <v>10.566713950877515</v>
      </c>
      <c r="F33" s="405"/>
      <c r="G33" s="136">
        <f t="shared" si="1"/>
        <v>28.058305523711972</v>
      </c>
      <c r="H33" s="406">
        <f>G33-'C) Prél. conj.'!I33</f>
        <v>22.760050580228157</v>
      </c>
      <c r="I33" s="410">
        <f t="shared" si="2"/>
        <v>0</v>
      </c>
      <c r="J33" s="55">
        <f t="shared" si="3"/>
        <v>0</v>
      </c>
      <c r="K33" s="406">
        <f t="shared" si="4"/>
        <v>22.760050580228157</v>
      </c>
      <c r="L33" s="436"/>
    </row>
    <row r="34" spans="1:12" x14ac:dyDescent="0.25">
      <c r="A34" s="49">
        <f>'A) Base RI'!A35</f>
        <v>5436</v>
      </c>
      <c r="B34" s="286" t="str">
        <f>'A) Base RI'!B35</f>
        <v>Saint-Oyens</v>
      </c>
      <c r="C34" s="95">
        <f>'B) D RI'!U35</f>
        <v>16868.339629629631</v>
      </c>
      <c r="D34" s="405">
        <f>'E) PCS'!G40/C34</f>
        <v>16.688206999805995</v>
      </c>
      <c r="E34" s="136">
        <f>'H) Péréquation directe'!I44/C34</f>
        <v>7.1693061475187836</v>
      </c>
      <c r="F34" s="405"/>
      <c r="G34" s="136">
        <f t="shared" si="1"/>
        <v>23.857513147324781</v>
      </c>
      <c r="H34" s="406">
        <f>G34-'C) Prél. conj.'!I34</f>
        <v>19.362642776869432</v>
      </c>
      <c r="I34" s="410">
        <f t="shared" si="2"/>
        <v>0</v>
      </c>
      <c r="J34" s="55">
        <f t="shared" si="3"/>
        <v>0</v>
      </c>
      <c r="K34" s="406">
        <f t="shared" si="4"/>
        <v>19.362642776869432</v>
      </c>
      <c r="L34" s="436"/>
    </row>
    <row r="35" spans="1:12" x14ac:dyDescent="0.25">
      <c r="A35" s="49">
        <f>'A) Base RI'!A36</f>
        <v>5437</v>
      </c>
      <c r="B35" s="286" t="str">
        <f>'A) Base RI'!B36</f>
        <v>Saubraz</v>
      </c>
      <c r="C35" s="95">
        <f>'B) D RI'!U36</f>
        <v>13551.757374999997</v>
      </c>
      <c r="D35" s="405">
        <f>'E) PCS'!G41/C35</f>
        <v>23.89145781121692</v>
      </c>
      <c r="E35" s="136">
        <f>'H) Péréquation directe'!I45/C35</f>
        <v>-0.27991918944979233</v>
      </c>
      <c r="F35" s="405"/>
      <c r="G35" s="136">
        <f t="shared" si="1"/>
        <v>23.611538621767128</v>
      </c>
      <c r="H35" s="406">
        <f>G35-'C) Prél. conj.'!I35</f>
        <v>11.913417439900851</v>
      </c>
      <c r="I35" s="410">
        <f t="shared" si="2"/>
        <v>0</v>
      </c>
      <c r="J35" s="55">
        <f t="shared" si="3"/>
        <v>0</v>
      </c>
      <c r="K35" s="406">
        <f t="shared" si="4"/>
        <v>11.913417439900851</v>
      </c>
      <c r="L35" s="436"/>
    </row>
    <row r="36" spans="1:12" x14ac:dyDescent="0.25">
      <c r="A36" s="49">
        <f>'A) Base RI'!A37</f>
        <v>5451</v>
      </c>
      <c r="B36" s="286" t="str">
        <f>'A) Base RI'!B37</f>
        <v>Avenches</v>
      </c>
      <c r="C36" s="95">
        <f>'B) D RI'!U37</f>
        <v>137890.8513283208</v>
      </c>
      <c r="D36" s="405">
        <f>'E) PCS'!G42/C36</f>
        <v>16.29679410712594</v>
      </c>
      <c r="E36" s="136">
        <f>'H) Péréquation directe'!I46/C36</f>
        <v>-3.984526129133914</v>
      </c>
      <c r="F36" s="405"/>
      <c r="G36" s="136">
        <f t="shared" si="1"/>
        <v>12.312267977992025</v>
      </c>
      <c r="H36" s="406">
        <f>G36-'C) Prél. conj.'!I36</f>
        <v>8.2088105002167264</v>
      </c>
      <c r="I36" s="410">
        <f t="shared" si="2"/>
        <v>0</v>
      </c>
      <c r="J36" s="55">
        <f t="shared" si="3"/>
        <v>0</v>
      </c>
      <c r="K36" s="406">
        <f t="shared" si="4"/>
        <v>8.2088105002167264</v>
      </c>
      <c r="L36" s="436"/>
    </row>
    <row r="37" spans="1:12" x14ac:dyDescent="0.25">
      <c r="A37" s="49">
        <f>'A) Base RI'!A38</f>
        <v>5456</v>
      </c>
      <c r="B37" s="286" t="str">
        <f>'A) Base RI'!B38</f>
        <v>Cudrefin</v>
      </c>
      <c r="C37" s="95">
        <f>'B) D RI'!U38</f>
        <v>64144.951694915253</v>
      </c>
      <c r="D37" s="405">
        <f>'E) PCS'!G43/C37</f>
        <v>15.303031464709168</v>
      </c>
      <c r="E37" s="136">
        <f>'H) Péréquation directe'!I47/C37</f>
        <v>6.943686068252739</v>
      </c>
      <c r="F37" s="405"/>
      <c r="G37" s="136">
        <f t="shared" si="1"/>
        <v>22.246717532961906</v>
      </c>
      <c r="H37" s="406">
        <f>G37-'C) Prél. conj.'!I37</f>
        <v>19.137022697603381</v>
      </c>
      <c r="I37" s="410">
        <f t="shared" si="2"/>
        <v>0</v>
      </c>
      <c r="J37" s="55">
        <f t="shared" si="3"/>
        <v>0</v>
      </c>
      <c r="K37" s="406">
        <f t="shared" si="4"/>
        <v>19.137022697603381</v>
      </c>
      <c r="L37" s="436"/>
    </row>
    <row r="38" spans="1:12" x14ac:dyDescent="0.25">
      <c r="A38" s="49">
        <f>'A) Base RI'!A39</f>
        <v>5458</v>
      </c>
      <c r="B38" s="286" t="str">
        <f>'A) Base RI'!B39</f>
        <v>Faoug</v>
      </c>
      <c r="C38" s="95">
        <f>'B) D RI'!U39</f>
        <v>34721.352769230762</v>
      </c>
      <c r="D38" s="405">
        <f>'E) PCS'!G44/C38</f>
        <v>15.768679180808217</v>
      </c>
      <c r="E38" s="136">
        <f>'H) Péréquation directe'!I48/C38</f>
        <v>12.191820157174421</v>
      </c>
      <c r="F38" s="405"/>
      <c r="G38" s="136">
        <f t="shared" si="1"/>
        <v>27.96049933798264</v>
      </c>
      <c r="H38" s="406">
        <f>G38-'C) Prél. conj.'!I38</f>
        <v>24.385156786525066</v>
      </c>
      <c r="I38" s="410">
        <f t="shared" si="2"/>
        <v>0</v>
      </c>
      <c r="J38" s="55">
        <f t="shared" si="3"/>
        <v>0</v>
      </c>
      <c r="K38" s="406">
        <f t="shared" si="4"/>
        <v>24.385156786525066</v>
      </c>
      <c r="L38" s="436"/>
    </row>
    <row r="39" spans="1:12" x14ac:dyDescent="0.25">
      <c r="A39" s="49">
        <f>'A) Base RI'!A40</f>
        <v>5464</v>
      </c>
      <c r="B39" s="286" t="str">
        <f>'A) Base RI'!B40</f>
        <v>Vully-les-Lacs</v>
      </c>
      <c r="C39" s="95">
        <f>'B) D RI'!U40</f>
        <v>119169.3065671642</v>
      </c>
      <c r="D39" s="405">
        <f>'E) PCS'!G45/C39</f>
        <v>18.406357467755097</v>
      </c>
      <c r="E39" s="136">
        <f>'H) Péréquation directe'!I49/C39</f>
        <v>2.6351842229241234</v>
      </c>
      <c r="F39" s="405"/>
      <c r="G39" s="136">
        <f t="shared" si="1"/>
        <v>21.041541690679221</v>
      </c>
      <c r="H39" s="406">
        <f>G39-'C) Prél. conj.'!I39</f>
        <v>14.828520852274767</v>
      </c>
      <c r="I39" s="410">
        <f t="shared" si="2"/>
        <v>0</v>
      </c>
      <c r="J39" s="55">
        <f t="shared" si="3"/>
        <v>0</v>
      </c>
      <c r="K39" s="406">
        <f t="shared" si="4"/>
        <v>14.828520852274767</v>
      </c>
      <c r="L39" s="436"/>
    </row>
    <row r="40" spans="1:12" x14ac:dyDescent="0.25">
      <c r="A40" s="49">
        <f>'A) Base RI'!A41</f>
        <v>5471</v>
      </c>
      <c r="B40" s="286" t="str">
        <f>'A) Base RI'!B41</f>
        <v>Bettens</v>
      </c>
      <c r="C40" s="95">
        <f>'B) D RI'!U41</f>
        <v>22893.023698412693</v>
      </c>
      <c r="D40" s="405">
        <f>'E) PCS'!G46/C40</f>
        <v>13.960246738424814</v>
      </c>
      <c r="E40" s="136">
        <f>'H) Péréquation directe'!I50/C40</f>
        <v>9.0521657176808947</v>
      </c>
      <c r="F40" s="405"/>
      <c r="G40" s="136">
        <f t="shared" si="1"/>
        <v>23.012412456105707</v>
      </c>
      <c r="H40" s="406">
        <f>G40-'C) Prél. conj.'!I40</f>
        <v>21.245502347031533</v>
      </c>
      <c r="I40" s="410">
        <f t="shared" si="2"/>
        <v>0</v>
      </c>
      <c r="J40" s="55">
        <f t="shared" si="3"/>
        <v>0</v>
      </c>
      <c r="K40" s="406">
        <f t="shared" si="4"/>
        <v>21.245502347031533</v>
      </c>
      <c r="L40" s="436"/>
    </row>
    <row r="41" spans="1:12" x14ac:dyDescent="0.25">
      <c r="A41" s="49">
        <f>'A) Base RI'!A42</f>
        <v>5472</v>
      </c>
      <c r="B41" s="286" t="str">
        <f>'A) Base RI'!B42</f>
        <v>Bournens</v>
      </c>
      <c r="C41" s="95">
        <f>'B) D RI'!U42</f>
        <v>22178.441944444447</v>
      </c>
      <c r="D41" s="405">
        <f>'E) PCS'!G47/C41</f>
        <v>16.629002139417842</v>
      </c>
      <c r="E41" s="136">
        <f>'H) Péréquation directe'!I51/C41</f>
        <v>13.743419375768267</v>
      </c>
      <c r="F41" s="405"/>
      <c r="G41" s="136">
        <f t="shared" si="1"/>
        <v>30.372421515186112</v>
      </c>
      <c r="H41" s="406">
        <f>G41-'C) Prél. conj.'!I41</f>
        <v>25.936756005118909</v>
      </c>
      <c r="I41" s="410">
        <f t="shared" si="2"/>
        <v>0</v>
      </c>
      <c r="J41" s="55">
        <f t="shared" si="3"/>
        <v>0</v>
      </c>
      <c r="K41" s="406">
        <f t="shared" si="4"/>
        <v>25.936756005118909</v>
      </c>
      <c r="L41" s="436"/>
    </row>
    <row r="42" spans="1:12" x14ac:dyDescent="0.25">
      <c r="A42" s="49">
        <f>'A) Base RI'!A43</f>
        <v>5473</v>
      </c>
      <c r="B42" s="286" t="str">
        <f>'A) Base RI'!B43</f>
        <v>Boussens</v>
      </c>
      <c r="C42" s="95">
        <f>'B) D RI'!U43</f>
        <v>37059.012888888894</v>
      </c>
      <c r="D42" s="405">
        <f>'E) PCS'!G48/C42</f>
        <v>15.653099990679726</v>
      </c>
      <c r="E42" s="136">
        <f>'H) Péréquation directe'!I52/C42</f>
        <v>9.827330395567639</v>
      </c>
      <c r="F42" s="405"/>
      <c r="G42" s="136">
        <f t="shared" si="1"/>
        <v>25.480430386247363</v>
      </c>
      <c r="H42" s="406">
        <f>G42-'C) Prél. conj.'!I42</f>
        <v>22.020667024918282</v>
      </c>
      <c r="I42" s="410">
        <f t="shared" si="2"/>
        <v>0</v>
      </c>
      <c r="J42" s="55">
        <f t="shared" si="3"/>
        <v>0</v>
      </c>
      <c r="K42" s="406">
        <f t="shared" si="4"/>
        <v>22.020667024918282</v>
      </c>
      <c r="L42" s="436"/>
    </row>
    <row r="43" spans="1:12" x14ac:dyDescent="0.25">
      <c r="A43" s="49">
        <f>'A) Base RI'!A44</f>
        <v>5474</v>
      </c>
      <c r="B43" s="286" t="str">
        <f>'A) Base RI'!B44</f>
        <v>La Chaux (Cossonay)</v>
      </c>
      <c r="C43" s="95">
        <f>'B) D RI'!U44</f>
        <v>12905.016929824562</v>
      </c>
      <c r="D43" s="405">
        <f>'E) PCS'!G49/C43</f>
        <v>15.859695244553423</v>
      </c>
      <c r="E43" s="136">
        <f>'H) Péréquation directe'!I53/C43</f>
        <v>3.5723210325563799</v>
      </c>
      <c r="F43" s="405"/>
      <c r="G43" s="136">
        <f t="shared" si="1"/>
        <v>19.432016277109803</v>
      </c>
      <c r="H43" s="406">
        <f>G43-'C) Prél. conj.'!I43</f>
        <v>15.765657661907024</v>
      </c>
      <c r="I43" s="410">
        <f t="shared" si="2"/>
        <v>0</v>
      </c>
      <c r="J43" s="55">
        <f t="shared" si="3"/>
        <v>0</v>
      </c>
      <c r="K43" s="406">
        <f t="shared" si="4"/>
        <v>15.765657661907024</v>
      </c>
      <c r="L43" s="436"/>
    </row>
    <row r="44" spans="1:12" x14ac:dyDescent="0.25">
      <c r="A44" s="49">
        <f>'A) Base RI'!A45</f>
        <v>5475</v>
      </c>
      <c r="B44" s="286" t="str">
        <f>'A) Base RI'!B45</f>
        <v>Chavannes-le-Veyron</v>
      </c>
      <c r="C44" s="95">
        <f>'B) D RI'!U45</f>
        <v>4277.2722666666668</v>
      </c>
      <c r="D44" s="405">
        <f>'E) PCS'!G50/C44</f>
        <v>13.292232071810513</v>
      </c>
      <c r="E44" s="136">
        <f>'H) Péréquation directe'!I54/C44</f>
        <v>-2.6795591345737724</v>
      </c>
      <c r="F44" s="405"/>
      <c r="G44" s="136">
        <f t="shared" si="1"/>
        <v>10.612672937236741</v>
      </c>
      <c r="H44" s="406">
        <f>G44-'C) Prél. conj.'!I44</f>
        <v>9.5137774947768712</v>
      </c>
      <c r="I44" s="410">
        <f t="shared" si="2"/>
        <v>0</v>
      </c>
      <c r="J44" s="55">
        <f t="shared" si="3"/>
        <v>0</v>
      </c>
      <c r="K44" s="406">
        <f t="shared" si="4"/>
        <v>9.5137774947768712</v>
      </c>
      <c r="L44" s="436"/>
    </row>
    <row r="45" spans="1:12" x14ac:dyDescent="0.25">
      <c r="A45" s="49">
        <f>'A) Base RI'!A46</f>
        <v>5476</v>
      </c>
      <c r="B45" s="286" t="str">
        <f>'A) Base RI'!B46</f>
        <v>Chevilly</v>
      </c>
      <c r="C45" s="95">
        <f>'B) D RI'!U46</f>
        <v>12075.307586206898</v>
      </c>
      <c r="D45" s="405">
        <f>'E) PCS'!G51/C45</f>
        <v>15.887737345979778</v>
      </c>
      <c r="E45" s="136">
        <f>'H) Péréquation directe'!I55/C45</f>
        <v>9.365603450805736</v>
      </c>
      <c r="F45" s="405"/>
      <c r="G45" s="136">
        <f t="shared" si="1"/>
        <v>25.253340796785515</v>
      </c>
      <c r="H45" s="406">
        <f>G45-'C) Prél. conj.'!I45</f>
        <v>21.558940080156379</v>
      </c>
      <c r="I45" s="410">
        <f t="shared" si="2"/>
        <v>0</v>
      </c>
      <c r="J45" s="55">
        <f t="shared" si="3"/>
        <v>0</v>
      </c>
      <c r="K45" s="406">
        <f t="shared" si="4"/>
        <v>21.558940080156379</v>
      </c>
      <c r="L45" s="436"/>
    </row>
    <row r="46" spans="1:12" x14ac:dyDescent="0.25">
      <c r="A46" s="49">
        <f>'A) Base RI'!A47</f>
        <v>5477</v>
      </c>
      <c r="B46" s="286" t="str">
        <f>'A) Base RI'!B47</f>
        <v>Cossonay</v>
      </c>
      <c r="C46" s="95">
        <f>'B) D RI'!U47</f>
        <v>142597.98359712231</v>
      </c>
      <c r="D46" s="405">
        <f>'E) PCS'!G52/C46</f>
        <v>16.178871948038481</v>
      </c>
      <c r="E46" s="136">
        <f>'H) Péréquation directe'!I56/C46</f>
        <v>-0.65794457534030681</v>
      </c>
      <c r="F46" s="405"/>
      <c r="G46" s="136">
        <f t="shared" si="1"/>
        <v>15.520927372698173</v>
      </c>
      <c r="H46" s="406">
        <f>G46-'C) Prél. conj.'!I46</f>
        <v>11.535392054010334</v>
      </c>
      <c r="I46" s="410">
        <f t="shared" si="2"/>
        <v>0</v>
      </c>
      <c r="J46" s="55">
        <f t="shared" si="3"/>
        <v>0</v>
      </c>
      <c r="K46" s="406">
        <f t="shared" si="4"/>
        <v>11.535392054010334</v>
      </c>
      <c r="L46" s="436"/>
    </row>
    <row r="47" spans="1:12" x14ac:dyDescent="0.25">
      <c r="A47" s="49">
        <f>'A) Base RI'!A48</f>
        <v>5478</v>
      </c>
      <c r="B47" s="286" t="str">
        <f>'A) Base RI'!B48</f>
        <v>Cottens</v>
      </c>
      <c r="C47" s="95">
        <f>'B) D RI'!U48</f>
        <v>15741.229189189189</v>
      </c>
      <c r="D47" s="405">
        <f>'E) PCS'!G53/C47</f>
        <v>13.817020186258215</v>
      </c>
      <c r="E47" s="136">
        <f>'H) Péréquation directe'!I57/C47</f>
        <v>4.274742818731661</v>
      </c>
      <c r="F47" s="405"/>
      <c r="G47" s="136">
        <f t="shared" si="1"/>
        <v>18.091763004989875</v>
      </c>
      <c r="H47" s="406">
        <f>G47-'C) Prél. conj.'!I47</f>
        <v>16.468079448082303</v>
      </c>
      <c r="I47" s="410">
        <f t="shared" si="2"/>
        <v>0</v>
      </c>
      <c r="J47" s="55">
        <f t="shared" si="3"/>
        <v>0</v>
      </c>
      <c r="K47" s="406">
        <f t="shared" si="4"/>
        <v>16.468079448082303</v>
      </c>
      <c r="L47" s="436"/>
    </row>
    <row r="48" spans="1:12" x14ac:dyDescent="0.25">
      <c r="A48" s="49">
        <f>'A) Base RI'!A49</f>
        <v>5479</v>
      </c>
      <c r="B48" s="286" t="str">
        <f>'A) Base RI'!B49</f>
        <v>Cuarnens</v>
      </c>
      <c r="C48" s="95">
        <f>'B) D RI'!U49</f>
        <v>17984.87649350649</v>
      </c>
      <c r="D48" s="405">
        <f>'E) PCS'!G54/C48</f>
        <v>15.53383607741144</v>
      </c>
      <c r="E48" s="136">
        <f>'H) Péréquation directe'!I58/C48</f>
        <v>4.9448433106181451</v>
      </c>
      <c r="F48" s="405"/>
      <c r="G48" s="136">
        <f t="shared" si="1"/>
        <v>20.478679388029583</v>
      </c>
      <c r="H48" s="406">
        <f>G48-'C) Prél. conj.'!I48</f>
        <v>17.138179939968786</v>
      </c>
      <c r="I48" s="410">
        <f t="shared" si="2"/>
        <v>0</v>
      </c>
      <c r="J48" s="55">
        <f t="shared" si="3"/>
        <v>0</v>
      </c>
      <c r="K48" s="406">
        <f t="shared" si="4"/>
        <v>17.138179939968786</v>
      </c>
      <c r="L48" s="436"/>
    </row>
    <row r="49" spans="1:12" x14ac:dyDescent="0.25">
      <c r="A49" s="49">
        <f>'A) Base RI'!A50</f>
        <v>5480</v>
      </c>
      <c r="B49" s="286" t="str">
        <f>'A) Base RI'!B50</f>
        <v>Daillens</v>
      </c>
      <c r="C49" s="95">
        <f>'B) D RI'!U50</f>
        <v>41284.66095959596</v>
      </c>
      <c r="D49" s="405">
        <f>'E) PCS'!G55/C49</f>
        <v>17.481866677197662</v>
      </c>
      <c r="E49" s="136">
        <f>'H) Péréquation directe'!I59/C49</f>
        <v>11.306223374474573</v>
      </c>
      <c r="F49" s="405"/>
      <c r="G49" s="136">
        <f t="shared" si="1"/>
        <v>28.788090051672235</v>
      </c>
      <c r="H49" s="406">
        <f>G49-'C) Prél. conj.'!I49</f>
        <v>23.499560003825216</v>
      </c>
      <c r="I49" s="410">
        <f t="shared" si="2"/>
        <v>0</v>
      </c>
      <c r="J49" s="55">
        <f t="shared" si="3"/>
        <v>0</v>
      </c>
      <c r="K49" s="406">
        <f t="shared" si="4"/>
        <v>23.499560003825216</v>
      </c>
      <c r="L49" s="436"/>
    </row>
    <row r="50" spans="1:12" x14ac:dyDescent="0.25">
      <c r="A50" s="49">
        <f>'A) Base RI'!A51</f>
        <v>5481</v>
      </c>
      <c r="B50" s="286" t="str">
        <f>'A) Base RI'!B51</f>
        <v>Dizy</v>
      </c>
      <c r="C50" s="95">
        <f>'B) D RI'!U51</f>
        <v>8120.887333333334</v>
      </c>
      <c r="D50" s="405">
        <f>'E) PCS'!G56/C50</f>
        <v>13.29784339466225</v>
      </c>
      <c r="E50" s="136">
        <f>'H) Péréquation directe'!I60/C50</f>
        <v>7.6737699269655959</v>
      </c>
      <c r="F50" s="405"/>
      <c r="G50" s="136">
        <f t="shared" si="1"/>
        <v>20.971613321627846</v>
      </c>
      <c r="H50" s="406">
        <f>G50-'C) Prél. conj.'!I50</f>
        <v>19.867106556316237</v>
      </c>
      <c r="I50" s="410">
        <f t="shared" si="2"/>
        <v>0</v>
      </c>
      <c r="J50" s="55">
        <f t="shared" si="3"/>
        <v>0</v>
      </c>
      <c r="K50" s="406">
        <f t="shared" si="4"/>
        <v>19.867106556316237</v>
      </c>
      <c r="L50" s="436"/>
    </row>
    <row r="51" spans="1:12" x14ac:dyDescent="0.25">
      <c r="A51" s="49">
        <f>'A) Base RI'!A52</f>
        <v>5482</v>
      </c>
      <c r="B51" s="286" t="str">
        <f>'A) Base RI'!B52</f>
        <v>Eclépens</v>
      </c>
      <c r="C51" s="95">
        <f>'B) D RI'!U52</f>
        <v>54196.336086956522</v>
      </c>
      <c r="D51" s="405">
        <f>'E) PCS'!G57/C51</f>
        <v>15.815755212869037</v>
      </c>
      <c r="E51" s="136">
        <f>'H) Péréquation directe'!I61/C51</f>
        <v>14.638793918461396</v>
      </c>
      <c r="F51" s="405"/>
      <c r="G51" s="136">
        <f t="shared" si="1"/>
        <v>30.454549131330431</v>
      </c>
      <c r="H51" s="406">
        <f>G51-'C) Prél. conj.'!I51</f>
        <v>26.832130547812035</v>
      </c>
      <c r="I51" s="410">
        <f t="shared" si="2"/>
        <v>0</v>
      </c>
      <c r="J51" s="55">
        <f t="shared" si="3"/>
        <v>0</v>
      </c>
      <c r="K51" s="406">
        <f t="shared" si="4"/>
        <v>26.832130547812035</v>
      </c>
      <c r="L51" s="436"/>
    </row>
    <row r="52" spans="1:12" x14ac:dyDescent="0.25">
      <c r="A52" s="49">
        <f>'A) Base RI'!A53</f>
        <v>5483</v>
      </c>
      <c r="B52" s="286" t="str">
        <f>'A) Base RI'!B53</f>
        <v>Ferreyres</v>
      </c>
      <c r="C52" s="95">
        <f>'B) D RI'!U53</f>
        <v>10537.122500000001</v>
      </c>
      <c r="D52" s="405">
        <f>'E) PCS'!G58/C52</f>
        <v>12.814789497531686</v>
      </c>
      <c r="E52" s="136">
        <f>'H) Péréquation directe'!I62/C52</f>
        <v>4.2767039630560024</v>
      </c>
      <c r="F52" s="405"/>
      <c r="G52" s="136">
        <f t="shared" si="1"/>
        <v>17.091493460587689</v>
      </c>
      <c r="H52" s="406">
        <f>G52-'C) Prél. conj.'!I52</f>
        <v>16.470040592406647</v>
      </c>
      <c r="I52" s="410">
        <f t="shared" si="2"/>
        <v>0</v>
      </c>
      <c r="J52" s="55">
        <f t="shared" si="3"/>
        <v>0</v>
      </c>
      <c r="K52" s="406">
        <f t="shared" si="4"/>
        <v>16.470040592406647</v>
      </c>
      <c r="L52" s="436"/>
    </row>
    <row r="53" spans="1:12" x14ac:dyDescent="0.25">
      <c r="A53" s="49">
        <f>'A) Base RI'!A54</f>
        <v>5484</v>
      </c>
      <c r="B53" s="286" t="str">
        <f>'A) Base RI'!B54</f>
        <v>Gollion</v>
      </c>
      <c r="C53" s="95">
        <f>'B) D RI'!U54</f>
        <v>35950.666081081094</v>
      </c>
      <c r="D53" s="405">
        <f>'E) PCS'!G59/C53</f>
        <v>15.784578018559349</v>
      </c>
      <c r="E53" s="136">
        <f>'H) Péréquation directe'!I63/C53</f>
        <v>7.0418923425238136</v>
      </c>
      <c r="F53" s="405"/>
      <c r="G53" s="136">
        <f t="shared" si="1"/>
        <v>22.826470361083164</v>
      </c>
      <c r="H53" s="406">
        <f>G53-'C) Prél. conj.'!I53</f>
        <v>19.235228971874456</v>
      </c>
      <c r="I53" s="410">
        <f t="shared" si="2"/>
        <v>0</v>
      </c>
      <c r="J53" s="55">
        <f t="shared" si="3"/>
        <v>0</v>
      </c>
      <c r="K53" s="406">
        <f t="shared" si="4"/>
        <v>19.235228971874456</v>
      </c>
      <c r="L53" s="436"/>
    </row>
    <row r="54" spans="1:12" x14ac:dyDescent="0.25">
      <c r="A54" s="49">
        <f>'A) Base RI'!A55</f>
        <v>5485</v>
      </c>
      <c r="B54" s="286" t="str">
        <f>'A) Base RI'!B55</f>
        <v>Grancy</v>
      </c>
      <c r="C54" s="95">
        <f>'B) D RI'!U55</f>
        <v>24488.659571428572</v>
      </c>
      <c r="D54" s="405">
        <f>'E) PCS'!G60/C54</f>
        <v>16.941489352924652</v>
      </c>
      <c r="E54" s="136">
        <f>'H) Péréquation directe'!I64/C54</f>
        <v>16.545517309125355</v>
      </c>
      <c r="F54" s="405"/>
      <c r="G54" s="136">
        <f t="shared" si="1"/>
        <v>33.487006662050007</v>
      </c>
      <c r="H54" s="406">
        <f>G54-'C) Prél. conj.'!I54</f>
        <v>30.419267091377478</v>
      </c>
      <c r="I54" s="410">
        <f t="shared" si="2"/>
        <v>0</v>
      </c>
      <c r="J54" s="55">
        <f t="shared" si="3"/>
        <v>0</v>
      </c>
      <c r="K54" s="406">
        <f t="shared" si="4"/>
        <v>30.419267091377478</v>
      </c>
      <c r="L54" s="436"/>
    </row>
    <row r="55" spans="1:12" x14ac:dyDescent="0.25">
      <c r="A55" s="49">
        <f>'A) Base RI'!A56</f>
        <v>5486</v>
      </c>
      <c r="B55" s="286" t="str">
        <f>'A) Base RI'!B56</f>
        <v>L'Isle</v>
      </c>
      <c r="C55" s="95">
        <f>'B) D RI'!U56</f>
        <v>29230.387866666671</v>
      </c>
      <c r="D55" s="405">
        <f>'E) PCS'!G61/C55</f>
        <v>18.254784250510959</v>
      </c>
      <c r="E55" s="136">
        <f>'H) Péréquation directe'!I65/C55</f>
        <v>-4.1062724633860253</v>
      </c>
      <c r="F55" s="405"/>
      <c r="G55" s="136">
        <f t="shared" si="1"/>
        <v>14.148511787124933</v>
      </c>
      <c r="H55" s="406">
        <f>G55-'C) Prél. conj.'!I55</f>
        <v>8.0870641659646196</v>
      </c>
      <c r="I55" s="410">
        <f t="shared" si="2"/>
        <v>0</v>
      </c>
      <c r="J55" s="55">
        <f t="shared" si="3"/>
        <v>0</v>
      </c>
      <c r="K55" s="406">
        <f t="shared" si="4"/>
        <v>8.0870641659646196</v>
      </c>
      <c r="L55" s="436"/>
    </row>
    <row r="56" spans="1:12" x14ac:dyDescent="0.25">
      <c r="A56" s="49">
        <f>'A) Base RI'!A57</f>
        <v>5487</v>
      </c>
      <c r="B56" s="286" t="str">
        <f>'A) Base RI'!B57</f>
        <v>Lussery-Villars</v>
      </c>
      <c r="C56" s="95">
        <f>'B) D RI'!U57</f>
        <v>16622.441866666668</v>
      </c>
      <c r="D56" s="405">
        <f>'E) PCS'!G62/C56</f>
        <v>13.248792268222923</v>
      </c>
      <c r="E56" s="136">
        <f>'H) Péréquation directe'!I66/C56</f>
        <v>6.6186300726501797</v>
      </c>
      <c r="F56" s="405"/>
      <c r="G56" s="136">
        <f t="shared" si="1"/>
        <v>19.867422340873102</v>
      </c>
      <c r="H56" s="406">
        <f>G56-'C) Prél. conj.'!I56</f>
        <v>18.811966702000824</v>
      </c>
      <c r="I56" s="410">
        <f t="shared" si="2"/>
        <v>0</v>
      </c>
      <c r="J56" s="55">
        <f t="shared" si="3"/>
        <v>0</v>
      </c>
      <c r="K56" s="406">
        <f t="shared" si="4"/>
        <v>18.811966702000824</v>
      </c>
      <c r="L56" s="436"/>
    </row>
    <row r="57" spans="1:12" x14ac:dyDescent="0.25">
      <c r="A57" s="49">
        <f>'A) Base RI'!A58</f>
        <v>5488</v>
      </c>
      <c r="B57" s="286" t="str">
        <f>'A) Base RI'!B58</f>
        <v>Mauraz</v>
      </c>
      <c r="C57" s="95">
        <f>'B) D RI'!U58</f>
        <v>1729.1857142857141</v>
      </c>
      <c r="D57" s="405">
        <f>'E) PCS'!G63/C57</f>
        <v>12.193336629350643</v>
      </c>
      <c r="E57" s="136">
        <f>'H) Péréquation directe'!I67/C57</f>
        <v>-1.6378061777816695</v>
      </c>
      <c r="F57" s="405"/>
      <c r="G57" s="136">
        <f t="shared" si="1"/>
        <v>10.555530451568973</v>
      </c>
      <c r="H57" s="406">
        <f>G57-'C) Prél. conj.'!I57</f>
        <v>10.555530451568973</v>
      </c>
      <c r="I57" s="410">
        <f t="shared" si="2"/>
        <v>0</v>
      </c>
      <c r="J57" s="55">
        <f t="shared" si="3"/>
        <v>0</v>
      </c>
      <c r="K57" s="406">
        <f t="shared" si="4"/>
        <v>10.555530451568973</v>
      </c>
      <c r="L57" s="436"/>
    </row>
    <row r="58" spans="1:12" x14ac:dyDescent="0.25">
      <c r="A58" s="49">
        <f>'A) Base RI'!A59</f>
        <v>5489</v>
      </c>
      <c r="B58" s="286" t="str">
        <f>'A) Base RI'!B59</f>
        <v>Mex</v>
      </c>
      <c r="C58" s="95">
        <f>'B) D RI'!U59</f>
        <v>50879.929915966379</v>
      </c>
      <c r="D58" s="405">
        <f>'E) PCS'!G64/C58</f>
        <v>19.403794639181498</v>
      </c>
      <c r="E58" s="136">
        <f>'H) Péréquation directe'!I68/C58</f>
        <v>16.863208676308165</v>
      </c>
      <c r="F58" s="405"/>
      <c r="G58" s="136">
        <f t="shared" si="1"/>
        <v>36.26700331548966</v>
      </c>
      <c r="H58" s="406">
        <f>G58-'C) Prél. conj.'!I58</f>
        <v>32.499972478054204</v>
      </c>
      <c r="I58" s="410">
        <f t="shared" si="2"/>
        <v>0</v>
      </c>
      <c r="J58" s="55">
        <f t="shared" si="3"/>
        <v>0</v>
      </c>
      <c r="K58" s="406">
        <f t="shared" si="4"/>
        <v>32.499972478054204</v>
      </c>
      <c r="L58" s="436"/>
    </row>
    <row r="59" spans="1:12" x14ac:dyDescent="0.25">
      <c r="A59" s="49">
        <f>'A) Base RI'!A60</f>
        <v>5490</v>
      </c>
      <c r="B59" s="286" t="str">
        <f>'A) Base RI'!B60</f>
        <v>Moiry</v>
      </c>
      <c r="C59" s="95">
        <f>'B) D RI'!U60</f>
        <v>9056.9</v>
      </c>
      <c r="D59" s="405">
        <f>'E) PCS'!G65/C59</f>
        <v>14.331722832135259</v>
      </c>
      <c r="E59" s="136">
        <f>'H) Péréquation directe'!I69/C59</f>
        <v>3.6863244806788729E-2</v>
      </c>
      <c r="F59" s="405"/>
      <c r="G59" s="136">
        <f t="shared" si="1"/>
        <v>14.368586076942048</v>
      </c>
      <c r="H59" s="406">
        <f>G59-'C) Prél. conj.'!I59</f>
        <v>12.23019987415743</v>
      </c>
      <c r="I59" s="410">
        <f t="shared" si="2"/>
        <v>0</v>
      </c>
      <c r="J59" s="55">
        <f t="shared" si="3"/>
        <v>0</v>
      </c>
      <c r="K59" s="406">
        <f t="shared" si="4"/>
        <v>12.23019987415743</v>
      </c>
      <c r="L59" s="436"/>
    </row>
    <row r="60" spans="1:12" x14ac:dyDescent="0.25">
      <c r="A60" s="49">
        <f>'A) Base RI'!A61</f>
        <v>5491</v>
      </c>
      <c r="B60" s="286" t="str">
        <f>'A) Base RI'!B61</f>
        <v>Mont-la-Ville</v>
      </c>
      <c r="C60" s="95">
        <f>'B) D RI'!U61</f>
        <v>13648.930789473685</v>
      </c>
      <c r="D60" s="405">
        <f>'E) PCS'!G66/C60</f>
        <v>13.937499990363479</v>
      </c>
      <c r="E60" s="136">
        <f>'H) Péréquation directe'!I70/C60</f>
        <v>-4.3542509456529546</v>
      </c>
      <c r="F60" s="405"/>
      <c r="G60" s="136">
        <f t="shared" si="1"/>
        <v>9.5832490447105236</v>
      </c>
      <c r="H60" s="406">
        <f>G60-'C) Prél. conj.'!I60</f>
        <v>7.8390856836976877</v>
      </c>
      <c r="I60" s="410">
        <f t="shared" si="2"/>
        <v>0</v>
      </c>
      <c r="J60" s="55">
        <f t="shared" si="3"/>
        <v>0</v>
      </c>
      <c r="K60" s="406">
        <f t="shared" si="4"/>
        <v>7.8390856836976877</v>
      </c>
      <c r="L60" s="436"/>
    </row>
    <row r="61" spans="1:12" x14ac:dyDescent="0.25">
      <c r="A61" s="49">
        <f>'A) Base RI'!A62</f>
        <v>5492</v>
      </c>
      <c r="B61" s="286" t="str">
        <f>'A) Base RI'!B62</f>
        <v>Montricher</v>
      </c>
      <c r="C61" s="95">
        <f>'B) D RI'!U62</f>
        <v>175268.45531250001</v>
      </c>
      <c r="D61" s="405">
        <f>'E) PCS'!G67/C61</f>
        <v>34.975399337402401</v>
      </c>
      <c r="E61" s="136">
        <f>'H) Péréquation directe'!I71/C61</f>
        <v>18.114173245475854</v>
      </c>
      <c r="F61" s="405"/>
      <c r="G61" s="136">
        <f t="shared" si="1"/>
        <v>53.089572582878255</v>
      </c>
      <c r="H61" s="406">
        <f>G61-'C) Prél. conj.'!I61</f>
        <v>51.881154104936122</v>
      </c>
      <c r="I61" s="410">
        <f t="shared" si="2"/>
        <v>-3.8811541049361225</v>
      </c>
      <c r="J61" s="55">
        <f t="shared" si="3"/>
        <v>-680243.88480192272</v>
      </c>
      <c r="K61" s="406">
        <f t="shared" si="4"/>
        <v>48</v>
      </c>
      <c r="L61" s="436"/>
    </row>
    <row r="62" spans="1:12" x14ac:dyDescent="0.25">
      <c r="A62" s="49">
        <f>'A) Base RI'!A63</f>
        <v>5493</v>
      </c>
      <c r="B62" s="286" t="str">
        <f>'A) Base RI'!B63</f>
        <v>Orny</v>
      </c>
      <c r="C62" s="95">
        <f>'B) D RI'!U63</f>
        <v>13489.946448893574</v>
      </c>
      <c r="D62" s="405">
        <f>'E) PCS'!G68/C62</f>
        <v>19.296014194676232</v>
      </c>
      <c r="E62" s="136">
        <f>'H) Péréquation directe'!I72/C62</f>
        <v>-1.0280176929564222</v>
      </c>
      <c r="F62" s="405"/>
      <c r="G62" s="136">
        <f t="shared" si="1"/>
        <v>18.267996501719811</v>
      </c>
      <c r="H62" s="406">
        <f>G62-'C) Prél. conj.'!I62</f>
        <v>11.16531893639422</v>
      </c>
      <c r="I62" s="410">
        <f t="shared" si="2"/>
        <v>0</v>
      </c>
      <c r="J62" s="55">
        <f t="shared" si="3"/>
        <v>0</v>
      </c>
      <c r="K62" s="406">
        <f t="shared" si="4"/>
        <v>11.16531893639422</v>
      </c>
      <c r="L62" s="436"/>
    </row>
    <row r="63" spans="1:12" x14ac:dyDescent="0.25">
      <c r="A63" s="49">
        <f>'A) Base RI'!A64</f>
        <v>5494</v>
      </c>
      <c r="B63" s="286" t="str">
        <f>'A) Base RI'!B64</f>
        <v>Pampigny</v>
      </c>
      <c r="C63" s="95">
        <f>'B) D RI'!U64</f>
        <v>43210.558962818002</v>
      </c>
      <c r="D63" s="405">
        <f>'E) PCS'!G69/C63</f>
        <v>18.025885340809477</v>
      </c>
      <c r="E63" s="136">
        <f>'H) Péréquation directe'!I73/C63</f>
        <v>7.4432699189773546</v>
      </c>
      <c r="F63" s="405"/>
      <c r="G63" s="136">
        <f t="shared" si="1"/>
        <v>25.469155259786831</v>
      </c>
      <c r="H63" s="406">
        <f>G63-'C) Prél. conj.'!I63</f>
        <v>19.636606548328</v>
      </c>
      <c r="I63" s="410">
        <f t="shared" si="2"/>
        <v>0</v>
      </c>
      <c r="J63" s="55">
        <f t="shared" si="3"/>
        <v>0</v>
      </c>
      <c r="K63" s="406">
        <f t="shared" si="4"/>
        <v>19.636606548328</v>
      </c>
      <c r="L63" s="436"/>
    </row>
    <row r="64" spans="1:12" x14ac:dyDescent="0.25">
      <c r="A64" s="49">
        <f>'A) Base RI'!A65</f>
        <v>5495</v>
      </c>
      <c r="B64" s="286" t="str">
        <f>'A) Base RI'!B65</f>
        <v>Penthalaz</v>
      </c>
      <c r="C64" s="95">
        <f>'B) D RI'!U65</f>
        <v>95314.520135135113</v>
      </c>
      <c r="D64" s="405">
        <f>'E) PCS'!G70/C64</f>
        <v>15.68027408157505</v>
      </c>
      <c r="E64" s="136">
        <f>'H) Péréquation directe'!I74/C64</f>
        <v>-4.7334251355010242</v>
      </c>
      <c r="F64" s="405"/>
      <c r="G64" s="136">
        <f t="shared" si="1"/>
        <v>10.946848946074025</v>
      </c>
      <c r="H64" s="406">
        <f>G64-'C) Prél. conj.'!I64</f>
        <v>7.459911493849618</v>
      </c>
      <c r="I64" s="410">
        <f t="shared" si="2"/>
        <v>0</v>
      </c>
      <c r="J64" s="55">
        <f t="shared" si="3"/>
        <v>0</v>
      </c>
      <c r="K64" s="406">
        <f t="shared" si="4"/>
        <v>7.459911493849618</v>
      </c>
      <c r="L64" s="436"/>
    </row>
    <row r="65" spans="1:12" x14ac:dyDescent="0.25">
      <c r="A65" s="49">
        <f>'A) Base RI'!A66</f>
        <v>5496</v>
      </c>
      <c r="B65" s="286" t="str">
        <f>'A) Base RI'!B66</f>
        <v>Penthaz</v>
      </c>
      <c r="C65" s="95">
        <f>'B) D RI'!U66</f>
        <v>56267.911654676267</v>
      </c>
      <c r="D65" s="405">
        <f>'E) PCS'!G71/C65</f>
        <v>16.54661423992361</v>
      </c>
      <c r="E65" s="136">
        <f>'H) Péréquation directe'!I75/C65</f>
        <v>-1.0265825270454216</v>
      </c>
      <c r="F65" s="405"/>
      <c r="G65" s="136">
        <f t="shared" si="1"/>
        <v>15.520031712878188</v>
      </c>
      <c r="H65" s="406">
        <f>G65-'C) Prél. conj.'!I65</f>
        <v>11.166754102305219</v>
      </c>
      <c r="I65" s="410">
        <f t="shared" si="2"/>
        <v>0</v>
      </c>
      <c r="J65" s="55">
        <f t="shared" si="3"/>
        <v>0</v>
      </c>
      <c r="K65" s="406">
        <f t="shared" si="4"/>
        <v>11.166754102305219</v>
      </c>
      <c r="L65" s="436"/>
    </row>
    <row r="66" spans="1:12" x14ac:dyDescent="0.25">
      <c r="A66" s="49">
        <f>'A) Base RI'!A67</f>
        <v>5497</v>
      </c>
      <c r="B66" s="286" t="str">
        <f>'A) Base RI'!B67</f>
        <v>Pompaples</v>
      </c>
      <c r="C66" s="95">
        <f>'B) D RI'!U67</f>
        <v>22253.499393939397</v>
      </c>
      <c r="D66" s="405">
        <f>'E) PCS'!G72/C66</f>
        <v>16.189926712806091</v>
      </c>
      <c r="E66" s="136">
        <f>'H) Péréquation directe'!I76/C66</f>
        <v>-0.70264061339531592</v>
      </c>
      <c r="F66" s="405"/>
      <c r="G66" s="136">
        <f t="shared" si="1"/>
        <v>15.487286099410776</v>
      </c>
      <c r="H66" s="406">
        <f>G66-'C) Prél. conj.'!I66</f>
        <v>11.490696015955329</v>
      </c>
      <c r="I66" s="410">
        <f t="shared" si="2"/>
        <v>0</v>
      </c>
      <c r="J66" s="55">
        <f t="shared" si="3"/>
        <v>0</v>
      </c>
      <c r="K66" s="406">
        <f t="shared" si="4"/>
        <v>11.490696015955329</v>
      </c>
      <c r="L66" s="436"/>
    </row>
    <row r="67" spans="1:12" x14ac:dyDescent="0.25">
      <c r="A67" s="49">
        <f>'A) Base RI'!A68</f>
        <v>5498</v>
      </c>
      <c r="B67" s="286" t="str">
        <f>'A) Base RI'!B68</f>
        <v>La Sarraz</v>
      </c>
      <c r="C67" s="95">
        <f>'B) D RI'!U68</f>
        <v>74682.149090909108</v>
      </c>
      <c r="D67" s="405">
        <f>'E) PCS'!G73/C67</f>
        <v>14.160189375127885</v>
      </c>
      <c r="E67" s="136">
        <f>'H) Péréquation directe'!I77/C67</f>
        <v>-2.6027804586490668</v>
      </c>
      <c r="F67" s="405"/>
      <c r="G67" s="136">
        <f t="shared" si="1"/>
        <v>11.557408916478819</v>
      </c>
      <c r="H67" s="406">
        <f>G67-'C) Prél. conj.'!I67</f>
        <v>9.590556170701575</v>
      </c>
      <c r="I67" s="410">
        <f t="shared" si="2"/>
        <v>0</v>
      </c>
      <c r="J67" s="55">
        <f t="shared" si="3"/>
        <v>0</v>
      </c>
      <c r="K67" s="406">
        <f t="shared" si="4"/>
        <v>9.590556170701575</v>
      </c>
      <c r="L67" s="436"/>
    </row>
    <row r="68" spans="1:12" x14ac:dyDescent="0.25">
      <c r="A68" s="49">
        <f>'A) Base RI'!A69</f>
        <v>5499</v>
      </c>
      <c r="B68" s="286" t="str">
        <f>'A) Base RI'!B69</f>
        <v>Senarclens</v>
      </c>
      <c r="C68" s="95">
        <f>'B) D RI'!U69</f>
        <v>18238.904233576643</v>
      </c>
      <c r="D68" s="405">
        <f>'E) PCS'!G74/C68</f>
        <v>24.511817889117708</v>
      </c>
      <c r="E68" s="136">
        <f>'H) Péréquation directe'!I78/C68</f>
        <v>9.7594326607994279</v>
      </c>
      <c r="F68" s="405"/>
      <c r="G68" s="136">
        <f t="shared" si="1"/>
        <v>34.271250549917134</v>
      </c>
      <c r="H68" s="406">
        <f>G68-'C) Prél. conj.'!I68</f>
        <v>21.952769290150073</v>
      </c>
      <c r="I68" s="410">
        <f t="shared" si="2"/>
        <v>0</v>
      </c>
      <c r="J68" s="55">
        <f t="shared" si="3"/>
        <v>0</v>
      </c>
      <c r="K68" s="406">
        <f t="shared" si="4"/>
        <v>21.952769290150073</v>
      </c>
      <c r="L68" s="436"/>
    </row>
    <row r="69" spans="1:12" x14ac:dyDescent="0.25">
      <c r="A69" s="49">
        <f>'A) Base RI'!A70</f>
        <v>5500</v>
      </c>
      <c r="B69" s="286" t="str">
        <f>'A) Base RI'!B70</f>
        <v>Sévery</v>
      </c>
      <c r="C69" s="95">
        <f>'B) D RI'!U70</f>
        <v>7230.3632420091335</v>
      </c>
      <c r="D69" s="405">
        <f>'E) PCS'!G75/C69</f>
        <v>19.697344821465133</v>
      </c>
      <c r="E69" s="136">
        <f>'H) Péréquation directe'!I79/C69</f>
        <v>4.9320682230019957</v>
      </c>
      <c r="F69" s="405"/>
      <c r="G69" s="136">
        <f t="shared" si="1"/>
        <v>24.629413044467128</v>
      </c>
      <c r="H69" s="406">
        <f>G69-'C) Prél. conj.'!I69</f>
        <v>17.125404852352641</v>
      </c>
      <c r="I69" s="410">
        <f t="shared" si="2"/>
        <v>0</v>
      </c>
      <c r="J69" s="55">
        <f t="shared" si="3"/>
        <v>0</v>
      </c>
      <c r="K69" s="406">
        <f t="shared" si="4"/>
        <v>17.125404852352641</v>
      </c>
      <c r="L69" s="436"/>
    </row>
    <row r="70" spans="1:12" x14ac:dyDescent="0.25">
      <c r="A70" s="49">
        <f>'A) Base RI'!A71</f>
        <v>5501</v>
      </c>
      <c r="B70" s="286" t="str">
        <f>'A) Base RI'!B71</f>
        <v>Sullens</v>
      </c>
      <c r="C70" s="95">
        <f>'B) D RI'!U71</f>
        <v>43195.598978102193</v>
      </c>
      <c r="D70" s="405">
        <f>'E) PCS'!G76/C70</f>
        <v>-18.741512096266177</v>
      </c>
      <c r="E70" s="136">
        <f>'H) Péréquation directe'!I80/C70</f>
        <v>9.4906595246568894</v>
      </c>
      <c r="F70" s="405"/>
      <c r="G70" s="136">
        <f t="shared" ref="G70:G133" si="5">SUM(D70:F70)</f>
        <v>-9.250852571609288</v>
      </c>
      <c r="H70" s="406">
        <f>G70-'C) Prél. conj.'!I70</f>
        <v>21.683996154007531</v>
      </c>
      <c r="I70" s="410">
        <f t="shared" ref="I70:I133" si="6">IF(H70&gt;I$5,I$5-H70,0)</f>
        <v>0</v>
      </c>
      <c r="J70" s="55">
        <f t="shared" ref="J70:J133" si="7">I70*C70</f>
        <v>0</v>
      </c>
      <c r="K70" s="406">
        <f t="shared" ref="K70:K133" si="8">H70+I70</f>
        <v>21.683996154007531</v>
      </c>
      <c r="L70" s="436"/>
    </row>
    <row r="71" spans="1:12" x14ac:dyDescent="0.25">
      <c r="A71" s="49">
        <f>'A) Base RI'!A72</f>
        <v>5503</v>
      </c>
      <c r="B71" s="286" t="str">
        <f>'A) Base RI'!B72</f>
        <v>Vufflens-la-Ville</v>
      </c>
      <c r="C71" s="95">
        <f>'B) D RI'!U72</f>
        <v>79029.714875621881</v>
      </c>
      <c r="D71" s="405">
        <f>'E) PCS'!G77/C71</f>
        <v>17.253627501559524</v>
      </c>
      <c r="E71" s="136">
        <f>'H) Péréquation directe'!I81/C71</f>
        <v>15.704653589426938</v>
      </c>
      <c r="F71" s="405"/>
      <c r="G71" s="136">
        <f t="shared" si="5"/>
        <v>32.958281090986461</v>
      </c>
      <c r="H71" s="406">
        <f>G71-'C) Prél. conj.'!I71</f>
        <v>30.315129077484322</v>
      </c>
      <c r="I71" s="410">
        <f t="shared" si="6"/>
        <v>0</v>
      </c>
      <c r="J71" s="55">
        <f t="shared" si="7"/>
        <v>0</v>
      </c>
      <c r="K71" s="406">
        <f t="shared" si="8"/>
        <v>30.315129077484322</v>
      </c>
      <c r="L71" s="436"/>
    </row>
    <row r="72" spans="1:12" x14ac:dyDescent="0.25">
      <c r="A72" s="49">
        <f>'A) Base RI'!A73</f>
        <v>5511</v>
      </c>
      <c r="B72" s="286" t="str">
        <f>'A) Base RI'!B73</f>
        <v>Assens</v>
      </c>
      <c r="C72" s="95">
        <f>'B) D RI'!U73</f>
        <v>47333.455142857143</v>
      </c>
      <c r="D72" s="405">
        <f>'E) PCS'!G78/C72</f>
        <v>21.600228724089096</v>
      </c>
      <c r="E72" s="136">
        <f>'H) Péréquation directe'!I82/C72</f>
        <v>11.585139818616394</v>
      </c>
      <c r="F72" s="405"/>
      <c r="G72" s="136">
        <f t="shared" si="5"/>
        <v>33.18536854270549</v>
      </c>
      <c r="H72" s="406">
        <f>G72-'C) Prél. conj.'!I72</f>
        <v>23.778476447967037</v>
      </c>
      <c r="I72" s="410">
        <f t="shared" si="6"/>
        <v>0</v>
      </c>
      <c r="J72" s="55">
        <f t="shared" si="7"/>
        <v>0</v>
      </c>
      <c r="K72" s="406">
        <f t="shared" si="8"/>
        <v>23.778476447967037</v>
      </c>
      <c r="L72" s="436"/>
    </row>
    <row r="73" spans="1:12" x14ac:dyDescent="0.25">
      <c r="A73" s="49">
        <f>'A) Base RI'!A74</f>
        <v>5512</v>
      </c>
      <c r="B73" s="286" t="str">
        <f>'A) Base RI'!B74</f>
        <v>Bercher</v>
      </c>
      <c r="C73" s="95">
        <f>'B) D RI'!U74</f>
        <v>40764.12544303797</v>
      </c>
      <c r="D73" s="405">
        <f>'E) PCS'!G79/C73</f>
        <v>17.760374497417008</v>
      </c>
      <c r="E73" s="136">
        <f>'H) Péréquation directe'!I83/C73</f>
        <v>-1.1609123481023822</v>
      </c>
      <c r="F73" s="405"/>
      <c r="G73" s="136">
        <f t="shared" si="5"/>
        <v>16.599462149314625</v>
      </c>
      <c r="H73" s="406">
        <f>G73-'C) Prél. conj.'!I73</f>
        <v>11.032424281248261</v>
      </c>
      <c r="I73" s="410">
        <f t="shared" si="6"/>
        <v>0</v>
      </c>
      <c r="J73" s="55">
        <f t="shared" si="7"/>
        <v>0</v>
      </c>
      <c r="K73" s="406">
        <f t="shared" si="8"/>
        <v>11.032424281248261</v>
      </c>
      <c r="L73" s="436"/>
    </row>
    <row r="74" spans="1:12" x14ac:dyDescent="0.25">
      <c r="A74" s="49">
        <f>'A) Base RI'!A75</f>
        <v>5513</v>
      </c>
      <c r="B74" s="286" t="str">
        <f>'A) Base RI'!B75</f>
        <v>Bioley-Orjulaz</v>
      </c>
      <c r="C74" s="95">
        <f>'B) D RI'!U75</f>
        <v>22739.022647058824</v>
      </c>
      <c r="D74" s="405">
        <f>'E) PCS'!G80/C74</f>
        <v>18.623134966303841</v>
      </c>
      <c r="E74" s="136">
        <f>'H) Péréquation directe'!I84/C74</f>
        <v>14.064326401726699</v>
      </c>
      <c r="F74" s="405"/>
      <c r="G74" s="136">
        <f t="shared" si="5"/>
        <v>32.68746136803054</v>
      </c>
      <c r="H74" s="406">
        <f>G74-'C) Prél. conj.'!I74</f>
        <v>26.257663031077339</v>
      </c>
      <c r="I74" s="410">
        <f t="shared" si="6"/>
        <v>0</v>
      </c>
      <c r="J74" s="55">
        <f t="shared" si="7"/>
        <v>0</v>
      </c>
      <c r="K74" s="406">
        <f t="shared" si="8"/>
        <v>26.257663031077339</v>
      </c>
      <c r="L74" s="436"/>
    </row>
    <row r="75" spans="1:12" x14ac:dyDescent="0.25">
      <c r="A75" s="49">
        <f>'A) Base RI'!A76</f>
        <v>5514</v>
      </c>
      <c r="B75" s="286" t="str">
        <f>'A) Base RI'!B76</f>
        <v>Bottens</v>
      </c>
      <c r="C75" s="95">
        <f>'B) D RI'!U76</f>
        <v>44223.41544827586</v>
      </c>
      <c r="D75" s="405">
        <f>'E) PCS'!G81/C75</f>
        <v>14.004434758885152</v>
      </c>
      <c r="E75" s="136">
        <f>'H) Péréquation directe'!I85/C75</f>
        <v>2.9625364826655769</v>
      </c>
      <c r="F75" s="405"/>
      <c r="G75" s="136">
        <f t="shared" si="5"/>
        <v>16.966971241550731</v>
      </c>
      <c r="H75" s="406">
        <f>G75-'C) Prél. conj.'!I75</f>
        <v>15.15587311201622</v>
      </c>
      <c r="I75" s="410">
        <f t="shared" si="6"/>
        <v>0</v>
      </c>
      <c r="J75" s="55">
        <f t="shared" si="7"/>
        <v>0</v>
      </c>
      <c r="K75" s="406">
        <f t="shared" si="8"/>
        <v>15.15587311201622</v>
      </c>
      <c r="L75" s="436"/>
    </row>
    <row r="76" spans="1:12" x14ac:dyDescent="0.25">
      <c r="A76" s="49">
        <f>'A) Base RI'!A77</f>
        <v>5515</v>
      </c>
      <c r="B76" s="286" t="str">
        <f>'A) Base RI'!B77</f>
        <v>Bretigny-sur-Morrens</v>
      </c>
      <c r="C76" s="95">
        <f>'B) D RI'!U77</f>
        <v>32348.775256410252</v>
      </c>
      <c r="D76" s="405">
        <f>'E) PCS'!G82/C76</f>
        <v>15.362687375626074</v>
      </c>
      <c r="E76" s="136">
        <f>'H) Péréquation directe'!I86/C76</f>
        <v>7.6212349228885108</v>
      </c>
      <c r="F76" s="405"/>
      <c r="G76" s="136">
        <f t="shared" si="5"/>
        <v>22.983922298514585</v>
      </c>
      <c r="H76" s="406">
        <f>G76-'C) Prél. conj.'!I76</f>
        <v>19.814571552239155</v>
      </c>
      <c r="I76" s="410">
        <f t="shared" si="6"/>
        <v>0</v>
      </c>
      <c r="J76" s="55">
        <f t="shared" si="7"/>
        <v>0</v>
      </c>
      <c r="K76" s="406">
        <f t="shared" si="8"/>
        <v>19.814571552239155</v>
      </c>
      <c r="L76" s="436"/>
    </row>
    <row r="77" spans="1:12" x14ac:dyDescent="0.25">
      <c r="A77" s="49">
        <f>'A) Base RI'!A78</f>
        <v>5516</v>
      </c>
      <c r="B77" s="286" t="str">
        <f>'A) Base RI'!B78</f>
        <v>Cugy</v>
      </c>
      <c r="C77" s="95">
        <f>'B) D RI'!U78</f>
        <v>111604.91621794872</v>
      </c>
      <c r="D77" s="405">
        <f>'E) PCS'!G83/C77</f>
        <v>15.013656250265145</v>
      </c>
      <c r="E77" s="136">
        <f>'H) Péréquation directe'!I87/C77</f>
        <v>7.7513120413177976</v>
      </c>
      <c r="F77" s="405"/>
      <c r="G77" s="136">
        <f t="shared" si="5"/>
        <v>22.764968291582942</v>
      </c>
      <c r="H77" s="406">
        <f>G77-'C) Prél. conj.'!I77</f>
        <v>19.944648670668439</v>
      </c>
      <c r="I77" s="410">
        <f t="shared" si="6"/>
        <v>0</v>
      </c>
      <c r="J77" s="55">
        <f t="shared" si="7"/>
        <v>0</v>
      </c>
      <c r="K77" s="406">
        <f t="shared" si="8"/>
        <v>19.944648670668439</v>
      </c>
      <c r="L77" s="436"/>
    </row>
    <row r="78" spans="1:12" x14ac:dyDescent="0.25">
      <c r="A78" s="49">
        <f>'A) Base RI'!A79</f>
        <v>5518</v>
      </c>
      <c r="B78" s="286" t="str">
        <f>'A) Base RI'!B79</f>
        <v>Echallens</v>
      </c>
      <c r="C78" s="95">
        <f>'B) D RI'!U79</f>
        <v>183030.51158620688</v>
      </c>
      <c r="D78" s="405">
        <f>'E) PCS'!G84/C78</f>
        <v>15.162245503017095</v>
      </c>
      <c r="E78" s="136">
        <f>'H) Péréquation directe'!I88/C78</f>
        <v>-4.447459467058561</v>
      </c>
      <c r="F78" s="405"/>
      <c r="G78" s="136">
        <f t="shared" si="5"/>
        <v>10.714786035958534</v>
      </c>
      <c r="H78" s="406">
        <f>G78-'C) Prél. conj.'!I78</f>
        <v>7.7458771622920821</v>
      </c>
      <c r="I78" s="410">
        <f t="shared" si="6"/>
        <v>0</v>
      </c>
      <c r="J78" s="55">
        <f t="shared" si="7"/>
        <v>0</v>
      </c>
      <c r="K78" s="406">
        <f t="shared" si="8"/>
        <v>7.7458771622920821</v>
      </c>
      <c r="L78" s="436"/>
    </row>
    <row r="79" spans="1:12" x14ac:dyDescent="0.25">
      <c r="A79" s="49">
        <f>'A) Base RI'!A80</f>
        <v>5520</v>
      </c>
      <c r="B79" s="286" t="str">
        <f>'A) Base RI'!B80</f>
        <v>Essertines-sur-Yverdon</v>
      </c>
      <c r="C79" s="95">
        <f>'B) D RI'!U80</f>
        <v>31696.699178082192</v>
      </c>
      <c r="D79" s="405">
        <f>'E) PCS'!G85/C79</f>
        <v>14.025389855894641</v>
      </c>
      <c r="E79" s="136">
        <f>'H) Péréquation directe'!I89/C79</f>
        <v>1.0648939794155199</v>
      </c>
      <c r="F79" s="405"/>
      <c r="G79" s="136">
        <f t="shared" si="5"/>
        <v>15.09028383531016</v>
      </c>
      <c r="H79" s="406">
        <f>G79-'C) Prél. conj.'!I79</f>
        <v>13.25823060876616</v>
      </c>
      <c r="I79" s="410">
        <f t="shared" si="6"/>
        <v>0</v>
      </c>
      <c r="J79" s="55">
        <f t="shared" si="7"/>
        <v>0</v>
      </c>
      <c r="K79" s="406">
        <f t="shared" si="8"/>
        <v>13.25823060876616</v>
      </c>
      <c r="L79" s="436"/>
    </row>
    <row r="80" spans="1:12" x14ac:dyDescent="0.25">
      <c r="A80" s="49">
        <f>'A) Base RI'!A81</f>
        <v>5521</v>
      </c>
      <c r="B80" s="286" t="str">
        <f>'A) Base RI'!B81</f>
        <v>Etagnières</v>
      </c>
      <c r="C80" s="95">
        <f>'B) D RI'!U81</f>
        <v>42645.35479452055</v>
      </c>
      <c r="D80" s="405">
        <f>'E) PCS'!G86/C80</f>
        <v>15.132402926346359</v>
      </c>
      <c r="E80" s="136">
        <f>'H) Péréquation directe'!I90/C80</f>
        <v>8.2082646226470484</v>
      </c>
      <c r="F80" s="405"/>
      <c r="G80" s="136">
        <f t="shared" si="5"/>
        <v>23.340667548993409</v>
      </c>
      <c r="H80" s="406">
        <f>G80-'C) Prél. conj.'!I80</f>
        <v>20.401601251997693</v>
      </c>
      <c r="I80" s="410">
        <f t="shared" si="6"/>
        <v>0</v>
      </c>
      <c r="J80" s="55">
        <f t="shared" si="7"/>
        <v>0</v>
      </c>
      <c r="K80" s="406">
        <f t="shared" si="8"/>
        <v>20.401601251997693</v>
      </c>
      <c r="L80" s="436"/>
    </row>
    <row r="81" spans="1:12" x14ac:dyDescent="0.25">
      <c r="A81" s="49">
        <f>'A) Base RI'!A82</f>
        <v>5522</v>
      </c>
      <c r="B81" s="286" t="str">
        <f>'A) Base RI'!B82</f>
        <v>Fey</v>
      </c>
      <c r="C81" s="95">
        <f>'B) D RI'!U82</f>
        <v>23924.3328</v>
      </c>
      <c r="D81" s="405">
        <f>'E) PCS'!G87/C81</f>
        <v>13.962622542310354</v>
      </c>
      <c r="E81" s="136">
        <f>'H) Péréquation directe'!I91/C81</f>
        <v>3.0506602058621408</v>
      </c>
      <c r="F81" s="405"/>
      <c r="G81" s="136">
        <f t="shared" si="5"/>
        <v>17.013282748172497</v>
      </c>
      <c r="H81" s="406">
        <f>G81-'C) Prél. conj.'!I81</f>
        <v>15.243996835212783</v>
      </c>
      <c r="I81" s="410">
        <f t="shared" si="6"/>
        <v>0</v>
      </c>
      <c r="J81" s="55">
        <f t="shared" si="7"/>
        <v>0</v>
      </c>
      <c r="K81" s="406">
        <f t="shared" si="8"/>
        <v>15.243996835212783</v>
      </c>
      <c r="L81" s="436"/>
    </row>
    <row r="82" spans="1:12" x14ac:dyDescent="0.25">
      <c r="A82" s="49">
        <f>'A) Base RI'!A83</f>
        <v>5523</v>
      </c>
      <c r="B82" s="286" t="str">
        <f>'A) Base RI'!B83</f>
        <v>Froideville</v>
      </c>
      <c r="C82" s="95">
        <f>'B) D RI'!U83</f>
        <v>93523.863333333327</v>
      </c>
      <c r="D82" s="405">
        <f>'E) PCS'!G88/C82</f>
        <v>16.635057065122492</v>
      </c>
      <c r="E82" s="136">
        <f>'H) Péréquation directe'!I92/C82</f>
        <v>3.2725616562690409</v>
      </c>
      <c r="F82" s="405"/>
      <c r="G82" s="136">
        <f t="shared" si="5"/>
        <v>19.907618721391533</v>
      </c>
      <c r="H82" s="406">
        <f>G82-'C) Prél. conj.'!I82</f>
        <v>15.465898285619684</v>
      </c>
      <c r="I82" s="410">
        <f t="shared" si="6"/>
        <v>0</v>
      </c>
      <c r="J82" s="55">
        <f t="shared" si="7"/>
        <v>0</v>
      </c>
      <c r="K82" s="406">
        <f t="shared" si="8"/>
        <v>15.465898285619684</v>
      </c>
      <c r="L82" s="436"/>
    </row>
    <row r="83" spans="1:12" x14ac:dyDescent="0.25">
      <c r="A83" s="49">
        <f>'A) Base RI'!A84</f>
        <v>5527</v>
      </c>
      <c r="B83" s="286" t="str">
        <f>'A) Base RI'!B84</f>
        <v>Morrens</v>
      </c>
      <c r="C83" s="95">
        <f>'B) D RI'!U84</f>
        <v>39310.302027027028</v>
      </c>
      <c r="D83" s="405">
        <f>'E) PCS'!G89/C83</f>
        <v>15.572633356927748</v>
      </c>
      <c r="E83" s="136">
        <f>'H) Péréquation directe'!I93/C83</f>
        <v>4.9713766234482861</v>
      </c>
      <c r="F83" s="405"/>
      <c r="G83" s="136">
        <f t="shared" si="5"/>
        <v>20.544009980376032</v>
      </c>
      <c r="H83" s="406">
        <f>G83-'C) Prél. conj.'!I83</f>
        <v>17.164713252798929</v>
      </c>
      <c r="I83" s="410">
        <f t="shared" si="6"/>
        <v>0</v>
      </c>
      <c r="J83" s="55">
        <f t="shared" si="7"/>
        <v>0</v>
      </c>
      <c r="K83" s="406">
        <f t="shared" si="8"/>
        <v>17.164713252798929</v>
      </c>
      <c r="L83" s="436"/>
    </row>
    <row r="84" spans="1:12" x14ac:dyDescent="0.25">
      <c r="A84" s="49">
        <f>'A) Base RI'!A85</f>
        <v>5529</v>
      </c>
      <c r="B84" s="286" t="str">
        <f>'A) Base RI'!B85</f>
        <v>Oulens-sous-Echallens</v>
      </c>
      <c r="C84" s="95">
        <f>'B) D RI'!U85</f>
        <v>21162.231857142859</v>
      </c>
      <c r="D84" s="405">
        <f>'E) PCS'!G90/C84</f>
        <v>18.946824445039649</v>
      </c>
      <c r="E84" s="136">
        <f>'H) Péréquation directe'!I94/C84</f>
        <v>7.0070597784243631</v>
      </c>
      <c r="F84" s="405"/>
      <c r="G84" s="136">
        <f t="shared" si="5"/>
        <v>25.953884223464012</v>
      </c>
      <c r="H84" s="406">
        <f>G84-'C) Prél. conj.'!I84</f>
        <v>19.200396407775006</v>
      </c>
      <c r="I84" s="410">
        <f t="shared" si="6"/>
        <v>0</v>
      </c>
      <c r="J84" s="55">
        <f t="shared" si="7"/>
        <v>0</v>
      </c>
      <c r="K84" s="406">
        <f t="shared" si="8"/>
        <v>19.200396407775006</v>
      </c>
      <c r="L84" s="436"/>
    </row>
    <row r="85" spans="1:12" x14ac:dyDescent="0.25">
      <c r="A85" s="49">
        <f>'A) Base RI'!A86</f>
        <v>5530</v>
      </c>
      <c r="B85" s="286" t="str">
        <f>'A) Base RI'!B86</f>
        <v>Pailly</v>
      </c>
      <c r="C85" s="95">
        <f>'B) D RI'!U86</f>
        <v>19062.750131578941</v>
      </c>
      <c r="D85" s="405">
        <f>'E) PCS'!G91/C85</f>
        <v>15.452242326125591</v>
      </c>
      <c r="E85" s="136">
        <f>'H) Péréquation directe'!I95/C85</f>
        <v>4.413878647627274</v>
      </c>
      <c r="F85" s="405"/>
      <c r="G85" s="136">
        <f t="shared" si="5"/>
        <v>19.866120973752864</v>
      </c>
      <c r="H85" s="406">
        <f>G85-'C) Prél. conj.'!I85</f>
        <v>16.607215276977914</v>
      </c>
      <c r="I85" s="410">
        <f t="shared" si="6"/>
        <v>0</v>
      </c>
      <c r="J85" s="55">
        <f t="shared" si="7"/>
        <v>0</v>
      </c>
      <c r="K85" s="406">
        <f t="shared" si="8"/>
        <v>16.607215276977914</v>
      </c>
      <c r="L85" s="436"/>
    </row>
    <row r="86" spans="1:12" x14ac:dyDescent="0.25">
      <c r="A86" s="49">
        <f>'A) Base RI'!A87</f>
        <v>5531</v>
      </c>
      <c r="B86" s="286" t="str">
        <f>'A) Base RI'!B87</f>
        <v>Penthéréaz</v>
      </c>
      <c r="C86" s="95">
        <f>'B) D RI'!U87</f>
        <v>14300.817432432432</v>
      </c>
      <c r="D86" s="405">
        <f>'E) PCS'!G92/C86</f>
        <v>16.52622531160694</v>
      </c>
      <c r="E86" s="136">
        <f>'H) Péréquation directe'!I96/C86</f>
        <v>6.1561286185994808</v>
      </c>
      <c r="F86" s="405"/>
      <c r="G86" s="136">
        <f t="shared" si="5"/>
        <v>22.682353930206421</v>
      </c>
      <c r="H86" s="406">
        <f>G86-'C) Prél. conj.'!I86</f>
        <v>18.349465247950128</v>
      </c>
      <c r="I86" s="410">
        <f t="shared" si="6"/>
        <v>0</v>
      </c>
      <c r="J86" s="55">
        <f t="shared" si="7"/>
        <v>0</v>
      </c>
      <c r="K86" s="406">
        <f t="shared" si="8"/>
        <v>18.349465247950128</v>
      </c>
      <c r="L86" s="436"/>
    </row>
    <row r="87" spans="1:12" x14ac:dyDescent="0.25">
      <c r="A87" s="49">
        <f>'A) Base RI'!A88</f>
        <v>5533</v>
      </c>
      <c r="B87" s="286" t="str">
        <f>'A) Base RI'!B88</f>
        <v>Poliez-Pittet</v>
      </c>
      <c r="C87" s="95">
        <f>'B) D RI'!U88</f>
        <v>27502.031917808214</v>
      </c>
      <c r="D87" s="405">
        <f>'E) PCS'!G93/C87</f>
        <v>12.788053596041717</v>
      </c>
      <c r="E87" s="136">
        <f>'H) Péréquation directe'!I97/C87</f>
        <v>5.0922843684603842</v>
      </c>
      <c r="F87" s="405"/>
      <c r="G87" s="136">
        <f t="shared" si="5"/>
        <v>17.8803379645021</v>
      </c>
      <c r="H87" s="406">
        <f>G87-'C) Prél. conj.'!I87</f>
        <v>17.285620997811026</v>
      </c>
      <c r="I87" s="410">
        <f t="shared" si="6"/>
        <v>0</v>
      </c>
      <c r="J87" s="55">
        <f t="shared" si="7"/>
        <v>0</v>
      </c>
      <c r="K87" s="406">
        <f t="shared" si="8"/>
        <v>17.285620997811026</v>
      </c>
      <c r="L87" s="436"/>
    </row>
    <row r="88" spans="1:12" x14ac:dyDescent="0.25">
      <c r="A88" s="49">
        <f>'A) Base RI'!A89</f>
        <v>5534</v>
      </c>
      <c r="B88" s="286" t="str">
        <f>'A) Base RI'!B89</f>
        <v>Rueyres</v>
      </c>
      <c r="C88" s="95">
        <f>'B) D RI'!U89</f>
        <v>13106.991872146118</v>
      </c>
      <c r="D88" s="405">
        <f>'E) PCS'!G94/C88</f>
        <v>16.860589084889362</v>
      </c>
      <c r="E88" s="136">
        <f>'H) Péréquation directe'!I98/C88</f>
        <v>13.295582696852973</v>
      </c>
      <c r="F88" s="405"/>
      <c r="G88" s="136">
        <f t="shared" si="5"/>
        <v>30.156171781742337</v>
      </c>
      <c r="H88" s="406">
        <f>G88-'C) Prél. conj.'!I88</f>
        <v>25.488919326203618</v>
      </c>
      <c r="I88" s="410">
        <f t="shared" si="6"/>
        <v>0</v>
      </c>
      <c r="J88" s="55">
        <f t="shared" si="7"/>
        <v>0</v>
      </c>
      <c r="K88" s="406">
        <f t="shared" si="8"/>
        <v>25.488919326203618</v>
      </c>
      <c r="L88" s="436"/>
    </row>
    <row r="89" spans="1:12" x14ac:dyDescent="0.25">
      <c r="A89" s="49">
        <f>'A) Base RI'!A90</f>
        <v>5535</v>
      </c>
      <c r="B89" s="286" t="str">
        <f>'A) Base RI'!B90</f>
        <v>Saint-Barthélemy</v>
      </c>
      <c r="C89" s="95">
        <f>'B) D RI'!U90</f>
        <v>25080.318533333328</v>
      </c>
      <c r="D89" s="405">
        <f>'E) PCS'!G95/C89</f>
        <v>14.636676809362925</v>
      </c>
      <c r="E89" s="136">
        <f>'H) Péréquation directe'!I99/C89</f>
        <v>2.1522518783831086</v>
      </c>
      <c r="F89" s="405"/>
      <c r="G89" s="136">
        <f t="shared" si="5"/>
        <v>16.788928687746033</v>
      </c>
      <c r="H89" s="406">
        <f>G89-'C) Prél. conj.'!I89</f>
        <v>14.345588507733751</v>
      </c>
      <c r="I89" s="410">
        <f t="shared" si="6"/>
        <v>0</v>
      </c>
      <c r="J89" s="55">
        <f t="shared" si="7"/>
        <v>0</v>
      </c>
      <c r="K89" s="406">
        <f t="shared" si="8"/>
        <v>14.345588507733751</v>
      </c>
      <c r="L89" s="436"/>
    </row>
    <row r="90" spans="1:12" x14ac:dyDescent="0.25">
      <c r="A90" s="49">
        <f>'A) Base RI'!A91</f>
        <v>5537</v>
      </c>
      <c r="B90" s="286" t="str">
        <f>'A) Base RI'!B91</f>
        <v>Villars-le-Terroir</v>
      </c>
      <c r="C90" s="95">
        <f>'B) D RI'!U91</f>
        <v>42917.816052631584</v>
      </c>
      <c r="D90" s="405">
        <f>'E) PCS'!G96/C90</f>
        <v>13.532422707950769</v>
      </c>
      <c r="E90" s="136">
        <f>'H) Péréquation directe'!I100/C90</f>
        <v>2.1395390311153784</v>
      </c>
      <c r="F90" s="405"/>
      <c r="G90" s="136">
        <f t="shared" si="5"/>
        <v>15.671961739066147</v>
      </c>
      <c r="H90" s="406">
        <f>G90-'C) Prél. conj.'!I90</f>
        <v>14.332875660466019</v>
      </c>
      <c r="I90" s="410">
        <f t="shared" si="6"/>
        <v>0</v>
      </c>
      <c r="J90" s="55">
        <f t="shared" si="7"/>
        <v>0</v>
      </c>
      <c r="K90" s="406">
        <f t="shared" si="8"/>
        <v>14.332875660466019</v>
      </c>
      <c r="L90" s="436"/>
    </row>
    <row r="91" spans="1:12" x14ac:dyDescent="0.25">
      <c r="A91" s="49">
        <f>'A) Base RI'!A92</f>
        <v>5539</v>
      </c>
      <c r="B91" s="286" t="str">
        <f>'A) Base RI'!B92</f>
        <v>Vuarrens</v>
      </c>
      <c r="C91" s="95">
        <f>'B) D RI'!U92</f>
        <v>34558.047482993185</v>
      </c>
      <c r="D91" s="405">
        <f>'E) PCS'!G97/C91</f>
        <v>15.820261011050228</v>
      </c>
      <c r="E91" s="136">
        <f>'H) Péréquation directe'!I101/C91</f>
        <v>2.6224058995774815</v>
      </c>
      <c r="F91" s="405"/>
      <c r="G91" s="136">
        <f t="shared" si="5"/>
        <v>18.442666910627707</v>
      </c>
      <c r="H91" s="406">
        <f>G91-'C) Prél. conj.'!I91</f>
        <v>14.815742528928121</v>
      </c>
      <c r="I91" s="410">
        <f t="shared" si="6"/>
        <v>0</v>
      </c>
      <c r="J91" s="55">
        <f t="shared" si="7"/>
        <v>0</v>
      </c>
      <c r="K91" s="406">
        <f t="shared" si="8"/>
        <v>14.815742528928121</v>
      </c>
      <c r="L91" s="436"/>
    </row>
    <row r="92" spans="1:12" x14ac:dyDescent="0.25">
      <c r="A92" s="49">
        <f>'A) Base RI'!A93</f>
        <v>5540</v>
      </c>
      <c r="B92" s="286" t="str">
        <f>'A) Base RI'!B93</f>
        <v>Montilliez</v>
      </c>
      <c r="C92" s="95">
        <f>'B) D RI'!U93</f>
        <v>63315.990655172413</v>
      </c>
      <c r="D92" s="405">
        <f>'E) PCS'!G98/C92</f>
        <v>14.542722123611215</v>
      </c>
      <c r="E92" s="136">
        <f>'H) Péréquation directe'!I102/C92</f>
        <v>2.7234596473598529</v>
      </c>
      <c r="F92" s="405"/>
      <c r="G92" s="136">
        <f t="shared" si="5"/>
        <v>17.266181770971066</v>
      </c>
      <c r="H92" s="406">
        <f>G92-'C) Prél. conj.'!I92</f>
        <v>14.916796276710494</v>
      </c>
      <c r="I92" s="410">
        <f t="shared" si="6"/>
        <v>0</v>
      </c>
      <c r="J92" s="55">
        <f t="shared" si="7"/>
        <v>0</v>
      </c>
      <c r="K92" s="406">
        <f t="shared" si="8"/>
        <v>14.916796276710494</v>
      </c>
      <c r="L92" s="436"/>
    </row>
    <row r="93" spans="1:12" x14ac:dyDescent="0.25">
      <c r="A93" s="49">
        <f>'A) Base RI'!A94</f>
        <v>5541</v>
      </c>
      <c r="B93" s="286" t="str">
        <f>'A) Base RI'!B94</f>
        <v>Goumoëns</v>
      </c>
      <c r="C93" s="95">
        <f>'B) D RI'!U94</f>
        <v>41279.032715231784</v>
      </c>
      <c r="D93" s="405">
        <f>'E) PCS'!G99/C93</f>
        <v>14.109515492980195</v>
      </c>
      <c r="E93" s="136">
        <f>'H) Péréquation directe'!I103/C93</f>
        <v>6.0042819793805551</v>
      </c>
      <c r="F93" s="405"/>
      <c r="G93" s="136">
        <f t="shared" si="5"/>
        <v>20.113797472360751</v>
      </c>
      <c r="H93" s="406">
        <f>G93-'C) Prél. conj.'!I93</f>
        <v>18.197618608731197</v>
      </c>
      <c r="I93" s="410">
        <f t="shared" si="6"/>
        <v>0</v>
      </c>
      <c r="J93" s="55">
        <f t="shared" si="7"/>
        <v>0</v>
      </c>
      <c r="K93" s="406">
        <f t="shared" si="8"/>
        <v>18.197618608731197</v>
      </c>
      <c r="L93" s="436"/>
    </row>
    <row r="94" spans="1:12" x14ac:dyDescent="0.25">
      <c r="A94" s="49">
        <f>'A) Base RI'!A95</f>
        <v>5551</v>
      </c>
      <c r="B94" s="286" t="str">
        <f>'A) Base RI'!B95</f>
        <v>Bonvillars</v>
      </c>
      <c r="C94" s="95">
        <f>'B) D RI'!U95</f>
        <v>18707.412</v>
      </c>
      <c r="D94" s="405">
        <f>'E) PCS'!G100/C94</f>
        <v>15.112309333859423</v>
      </c>
      <c r="E94" s="136">
        <f>'H) Péréquation directe'!I104/C94</f>
        <v>12.641390295955617</v>
      </c>
      <c r="F94" s="405"/>
      <c r="G94" s="136">
        <f t="shared" si="5"/>
        <v>27.753699629815038</v>
      </c>
      <c r="H94" s="406">
        <f>G94-'C) Prél. conj.'!I94</f>
        <v>24.83472692530626</v>
      </c>
      <c r="I94" s="410">
        <f t="shared" si="6"/>
        <v>0</v>
      </c>
      <c r="J94" s="55">
        <f t="shared" si="7"/>
        <v>0</v>
      </c>
      <c r="K94" s="406">
        <f t="shared" si="8"/>
        <v>24.83472692530626</v>
      </c>
      <c r="L94" s="436"/>
    </row>
    <row r="95" spans="1:12" x14ac:dyDescent="0.25">
      <c r="A95" s="49">
        <f>'A) Base RI'!A96</f>
        <v>5552</v>
      </c>
      <c r="B95" s="286" t="str">
        <f>'A) Base RI'!B96</f>
        <v>Bullet</v>
      </c>
      <c r="C95" s="95">
        <f>'B) D RI'!U96</f>
        <v>19599.59230769231</v>
      </c>
      <c r="D95" s="405">
        <f>'E) PCS'!G101/C95</f>
        <v>22.446457808872822</v>
      </c>
      <c r="E95" s="136">
        <f>'H) Péréquation directe'!I105/C95</f>
        <v>1.8948630533894684</v>
      </c>
      <c r="F95" s="405"/>
      <c r="G95" s="136">
        <f t="shared" si="5"/>
        <v>24.34132086226229</v>
      </c>
      <c r="H95" s="406">
        <f>G95-'C) Prél. conj.'!I95</f>
        <v>14.088199682740111</v>
      </c>
      <c r="I95" s="410">
        <f t="shared" si="6"/>
        <v>0</v>
      </c>
      <c r="J95" s="55">
        <f t="shared" si="7"/>
        <v>0</v>
      </c>
      <c r="K95" s="406">
        <f t="shared" si="8"/>
        <v>14.088199682740111</v>
      </c>
      <c r="L95" s="436"/>
    </row>
    <row r="96" spans="1:12" x14ac:dyDescent="0.25">
      <c r="A96" s="49">
        <f>'A) Base RI'!A97</f>
        <v>5553</v>
      </c>
      <c r="B96" s="286" t="str">
        <f>'A) Base RI'!B97</f>
        <v>Champagne</v>
      </c>
      <c r="C96" s="95">
        <f>'B) D RI'!U97</f>
        <v>40087.525538461538</v>
      </c>
      <c r="D96" s="405">
        <f>'E) PCS'!G102/C96</f>
        <v>15.276615488291746</v>
      </c>
      <c r="E96" s="136">
        <f>'H) Péréquation directe'!I106/C96</f>
        <v>9.7134340111485322</v>
      </c>
      <c r="F96" s="405"/>
      <c r="G96" s="136">
        <f t="shared" si="5"/>
        <v>24.990049499440278</v>
      </c>
      <c r="H96" s="406">
        <f>G96-'C) Prél. conj.'!I96</f>
        <v>21.906770640499175</v>
      </c>
      <c r="I96" s="410">
        <f t="shared" si="6"/>
        <v>0</v>
      </c>
      <c r="J96" s="55">
        <f t="shared" si="7"/>
        <v>0</v>
      </c>
      <c r="K96" s="406">
        <f t="shared" si="8"/>
        <v>21.906770640499175</v>
      </c>
      <c r="L96" s="436"/>
    </row>
    <row r="97" spans="1:12" x14ac:dyDescent="0.25">
      <c r="A97" s="49">
        <f>'A) Base RI'!A98</f>
        <v>5554</v>
      </c>
      <c r="B97" s="286" t="str">
        <f>'A) Base RI'!B98</f>
        <v>Concise</v>
      </c>
      <c r="C97" s="95">
        <f>'B) D RI'!U98</f>
        <v>31501.78373333333</v>
      </c>
      <c r="D97" s="405">
        <f>'E) PCS'!G103/C97</f>
        <v>33.632392452890087</v>
      </c>
      <c r="E97" s="136">
        <f>'H) Péréquation directe'!I107/C97</f>
        <v>2.5911322990452943</v>
      </c>
      <c r="F97" s="405"/>
      <c r="G97" s="136">
        <f t="shared" si="5"/>
        <v>36.223524751935379</v>
      </c>
      <c r="H97" s="406">
        <f>G97-'C) Prél. conj.'!I97</f>
        <v>14.784468928395938</v>
      </c>
      <c r="I97" s="410">
        <f t="shared" si="6"/>
        <v>0</v>
      </c>
      <c r="J97" s="55">
        <f t="shared" si="7"/>
        <v>0</v>
      </c>
      <c r="K97" s="406">
        <f t="shared" si="8"/>
        <v>14.784468928395938</v>
      </c>
      <c r="L97" s="436"/>
    </row>
    <row r="98" spans="1:12" x14ac:dyDescent="0.25">
      <c r="A98" s="49">
        <f>'A) Base RI'!A99</f>
        <v>5555</v>
      </c>
      <c r="B98" s="286" t="str">
        <f>'A) Base RI'!B99</f>
        <v>Corcelles-près-Concise</v>
      </c>
      <c r="C98" s="95">
        <f>'B) D RI'!U99</f>
        <v>13878.246956521738</v>
      </c>
      <c r="D98" s="405">
        <f>'E) PCS'!G104/C98</f>
        <v>15.997688516545516</v>
      </c>
      <c r="E98" s="136">
        <f>'H) Péréquation directe'!I108/C98</f>
        <v>6.4047629504303201</v>
      </c>
      <c r="F98" s="405"/>
      <c r="G98" s="136">
        <f t="shared" si="5"/>
        <v>22.402451466975837</v>
      </c>
      <c r="H98" s="406">
        <f>G98-'C) Prél. conj.'!I98</f>
        <v>18.598099579780964</v>
      </c>
      <c r="I98" s="410">
        <f t="shared" si="6"/>
        <v>0</v>
      </c>
      <c r="J98" s="55">
        <f t="shared" si="7"/>
        <v>0</v>
      </c>
      <c r="K98" s="406">
        <f t="shared" si="8"/>
        <v>18.598099579780964</v>
      </c>
      <c r="L98" s="436"/>
    </row>
    <row r="99" spans="1:12" x14ac:dyDescent="0.25">
      <c r="A99" s="49">
        <f>'A) Base RI'!A100</f>
        <v>5556</v>
      </c>
      <c r="B99" s="286" t="str">
        <f>'A) Base RI'!B100</f>
        <v>Fiez</v>
      </c>
      <c r="C99" s="95">
        <f>'B) D RI'!U100</f>
        <v>14577.66780193237</v>
      </c>
      <c r="D99" s="405">
        <f>'E) PCS'!G105/C99</f>
        <v>14.177081587248962</v>
      </c>
      <c r="E99" s="136">
        <f>'H) Péréquation directe'!I109/C99</f>
        <v>6.1187861168128954</v>
      </c>
      <c r="F99" s="405"/>
      <c r="G99" s="136">
        <f t="shared" si="5"/>
        <v>20.295867704061855</v>
      </c>
      <c r="H99" s="406">
        <f>G99-'C) Prél. conj.'!I99</f>
        <v>18.312122746163539</v>
      </c>
      <c r="I99" s="410">
        <f t="shared" si="6"/>
        <v>0</v>
      </c>
      <c r="J99" s="55">
        <f t="shared" si="7"/>
        <v>0</v>
      </c>
      <c r="K99" s="406">
        <f t="shared" si="8"/>
        <v>18.312122746163539</v>
      </c>
      <c r="L99" s="436"/>
    </row>
    <row r="100" spans="1:12" x14ac:dyDescent="0.25">
      <c r="A100" s="49">
        <f>'A) Base RI'!A101</f>
        <v>5557</v>
      </c>
      <c r="B100" s="286" t="str">
        <f>'A) Base RI'!B101</f>
        <v>Fontaines-sur-Grandson</v>
      </c>
      <c r="C100" s="95">
        <f>'B) D RI'!U101</f>
        <v>4232.7450724637674</v>
      </c>
      <c r="D100" s="405">
        <f>'E) PCS'!G106/C100</f>
        <v>13.760026776399835</v>
      </c>
      <c r="E100" s="136">
        <f>'H) Péréquation directe'!I110/C100</f>
        <v>-16.538730951816724</v>
      </c>
      <c r="F100" s="405"/>
      <c r="G100" s="136">
        <f t="shared" si="5"/>
        <v>-2.7787041754168893</v>
      </c>
      <c r="H100" s="406">
        <f>G100-'C) Prél. conj.'!I100</f>
        <v>-4.3453943224660803</v>
      </c>
      <c r="I100" s="410">
        <f t="shared" si="6"/>
        <v>0</v>
      </c>
      <c r="J100" s="55">
        <f t="shared" si="7"/>
        <v>0</v>
      </c>
      <c r="K100" s="406">
        <f t="shared" si="8"/>
        <v>-4.3453943224660803</v>
      </c>
      <c r="L100" s="436"/>
    </row>
    <row r="101" spans="1:12" x14ac:dyDescent="0.25">
      <c r="A101" s="49">
        <f>'A) Base RI'!A102</f>
        <v>5559</v>
      </c>
      <c r="B101" s="286" t="str">
        <f>'A) Base RI'!B102</f>
        <v>Giez</v>
      </c>
      <c r="C101" s="95">
        <f>'B) D RI'!U102</f>
        <v>23436.990303030303</v>
      </c>
      <c r="D101" s="405">
        <f>'E) PCS'!G107/C101</f>
        <v>17.339151451190698</v>
      </c>
      <c r="E101" s="136">
        <f>'H) Péréquation directe'!I111/C101</f>
        <v>16.454442443226799</v>
      </c>
      <c r="F101" s="405"/>
      <c r="G101" s="136">
        <f t="shared" si="5"/>
        <v>33.793593894417498</v>
      </c>
      <c r="H101" s="406">
        <f>G101-'C) Prél. conj.'!I101</f>
        <v>29.765498188468698</v>
      </c>
      <c r="I101" s="410">
        <f t="shared" si="6"/>
        <v>0</v>
      </c>
      <c r="J101" s="55">
        <f t="shared" si="7"/>
        <v>0</v>
      </c>
      <c r="K101" s="406">
        <f t="shared" si="8"/>
        <v>29.765498188468698</v>
      </c>
      <c r="L101" s="436"/>
    </row>
    <row r="102" spans="1:12" x14ac:dyDescent="0.25">
      <c r="A102" s="49">
        <f>'A) Base RI'!A103</f>
        <v>5560</v>
      </c>
      <c r="B102" s="286" t="str">
        <f>'A) Base RI'!B103</f>
        <v>Grandevent</v>
      </c>
      <c r="C102" s="95">
        <f>'B) D RI'!U103</f>
        <v>7003.7466176470589</v>
      </c>
      <c r="D102" s="405">
        <f>'E) PCS'!G108/C102</f>
        <v>18.455142259139926</v>
      </c>
      <c r="E102" s="136">
        <f>'H) Péréquation directe'!I112/C102</f>
        <v>2.6414007252451599</v>
      </c>
      <c r="F102" s="405"/>
      <c r="G102" s="136">
        <f t="shared" si="5"/>
        <v>21.096542984385085</v>
      </c>
      <c r="H102" s="406">
        <f>G102-'C) Prél. conj.'!I102</f>
        <v>14.834737354595802</v>
      </c>
      <c r="I102" s="410">
        <f t="shared" si="6"/>
        <v>0</v>
      </c>
      <c r="J102" s="55">
        <f t="shared" si="7"/>
        <v>0</v>
      </c>
      <c r="K102" s="406">
        <f t="shared" si="8"/>
        <v>14.834737354595802</v>
      </c>
      <c r="L102" s="436"/>
    </row>
    <row r="103" spans="1:12" x14ac:dyDescent="0.25">
      <c r="A103" s="49">
        <f>'A) Base RI'!A104</f>
        <v>5561</v>
      </c>
      <c r="B103" s="286" t="str">
        <f>'A) Base RI'!B104</f>
        <v>Grandson</v>
      </c>
      <c r="C103" s="95">
        <f>'B) D RI'!U104</f>
        <v>114506.05043478261</v>
      </c>
      <c r="D103" s="405">
        <f>'E) PCS'!G109/C103</f>
        <v>17.764666682021943</v>
      </c>
      <c r="E103" s="136">
        <f>'H) Péréquation directe'!I113/C103</f>
        <v>1.9678633026019035</v>
      </c>
      <c r="F103" s="405"/>
      <c r="G103" s="136">
        <f t="shared" si="5"/>
        <v>19.732529984623845</v>
      </c>
      <c r="H103" s="406">
        <f>G103-'C) Prél. conj.'!I103</f>
        <v>14.161199931952545</v>
      </c>
      <c r="I103" s="410">
        <f t="shared" si="6"/>
        <v>0</v>
      </c>
      <c r="J103" s="55">
        <f t="shared" si="7"/>
        <v>0</v>
      </c>
      <c r="K103" s="406">
        <f t="shared" si="8"/>
        <v>14.161199931952545</v>
      </c>
      <c r="L103" s="436"/>
    </row>
    <row r="104" spans="1:12" x14ac:dyDescent="0.25">
      <c r="A104" s="49">
        <f>'A) Base RI'!A105</f>
        <v>5562</v>
      </c>
      <c r="B104" s="286" t="str">
        <f>'A) Base RI'!B105</f>
        <v>Mauborget</v>
      </c>
      <c r="C104" s="95">
        <f>'B) D RI'!U105</f>
        <v>6099.4916904761894</v>
      </c>
      <c r="D104" s="405">
        <f>'E) PCS'!G110/C104</f>
        <v>15.802443111842035</v>
      </c>
      <c r="E104" s="136">
        <f>'H) Péréquation directe'!I114/C104</f>
        <v>14.293247138969079</v>
      </c>
      <c r="F104" s="405"/>
      <c r="G104" s="136">
        <f t="shared" si="5"/>
        <v>30.095690250811113</v>
      </c>
      <c r="H104" s="406">
        <f>G104-'C) Prél. conj.'!I104</f>
        <v>26.486583768319722</v>
      </c>
      <c r="I104" s="410">
        <f t="shared" si="6"/>
        <v>0</v>
      </c>
      <c r="J104" s="55">
        <f t="shared" si="7"/>
        <v>0</v>
      </c>
      <c r="K104" s="406">
        <f t="shared" si="8"/>
        <v>26.486583768319722</v>
      </c>
      <c r="L104" s="436"/>
    </row>
    <row r="105" spans="1:12" x14ac:dyDescent="0.25">
      <c r="A105" s="49">
        <f>'A) Base RI'!A106</f>
        <v>5563</v>
      </c>
      <c r="B105" s="286" t="str">
        <f>'A) Base RI'!B106</f>
        <v>Mutrux</v>
      </c>
      <c r="C105" s="95">
        <f>'B) D RI'!U106</f>
        <v>4282.2314999999999</v>
      </c>
      <c r="D105" s="405">
        <f>'E) PCS'!G111/C105</f>
        <v>21.408140873352863</v>
      </c>
      <c r="E105" s="136">
        <f>'H) Péréquation directe'!I115/C105</f>
        <v>-3.6869557559072428</v>
      </c>
      <c r="F105" s="405"/>
      <c r="G105" s="136">
        <f t="shared" si="5"/>
        <v>17.721185117445621</v>
      </c>
      <c r="H105" s="406">
        <f>G105-'C) Prél. conj.'!I105</f>
        <v>8.5063808734433994</v>
      </c>
      <c r="I105" s="410">
        <f t="shared" si="6"/>
        <v>0</v>
      </c>
      <c r="J105" s="55">
        <f t="shared" si="7"/>
        <v>0</v>
      </c>
      <c r="K105" s="406">
        <f t="shared" si="8"/>
        <v>8.5063808734433994</v>
      </c>
      <c r="L105" s="436"/>
    </row>
    <row r="106" spans="1:12" x14ac:dyDescent="0.25">
      <c r="A106" s="49">
        <f>'A) Base RI'!A107</f>
        <v>5564</v>
      </c>
      <c r="B106" s="286" t="str">
        <f>'A) Base RI'!B107</f>
        <v>Novalles</v>
      </c>
      <c r="C106" s="95">
        <f>'B) D RI'!U107</f>
        <v>2099.5480592105264</v>
      </c>
      <c r="D106" s="405">
        <f>'E) PCS'!G112/C106</f>
        <v>13.062940443366946</v>
      </c>
      <c r="E106" s="136">
        <f>'H) Péréquation directe'!I116/C106</f>
        <v>-19.067203936439569</v>
      </c>
      <c r="F106" s="405"/>
      <c r="G106" s="136">
        <f t="shared" si="5"/>
        <v>-6.0042634930726226</v>
      </c>
      <c r="H106" s="406">
        <f>G106-'C) Prél. conj.'!I106</f>
        <v>-6.8738673070889256</v>
      </c>
      <c r="I106" s="410">
        <f t="shared" si="6"/>
        <v>0</v>
      </c>
      <c r="J106" s="55">
        <f t="shared" si="7"/>
        <v>0</v>
      </c>
      <c r="K106" s="406">
        <f t="shared" si="8"/>
        <v>-6.8738673070889256</v>
      </c>
      <c r="L106" s="436"/>
    </row>
    <row r="107" spans="1:12" x14ac:dyDescent="0.25">
      <c r="A107" s="49">
        <f>'A) Base RI'!A108</f>
        <v>5565</v>
      </c>
      <c r="B107" s="286" t="str">
        <f>'A) Base RI'!B108</f>
        <v>Onnens</v>
      </c>
      <c r="C107" s="95">
        <f>'B) D RI'!U108</f>
        <v>22703.427716535429</v>
      </c>
      <c r="D107" s="405">
        <f>'E) PCS'!G113/C107</f>
        <v>14.684071319549632</v>
      </c>
      <c r="E107" s="136">
        <f>'H) Péréquation directe'!I117/C107</f>
        <v>15.192996287753717</v>
      </c>
      <c r="F107" s="405"/>
      <c r="G107" s="136">
        <f t="shared" si="5"/>
        <v>29.877067607303349</v>
      </c>
      <c r="H107" s="406">
        <f>G107-'C) Prél. conj.'!I107</f>
        <v>27.386332917104362</v>
      </c>
      <c r="I107" s="410">
        <f t="shared" si="6"/>
        <v>0</v>
      </c>
      <c r="J107" s="55">
        <f t="shared" si="7"/>
        <v>0</v>
      </c>
      <c r="K107" s="406">
        <f t="shared" si="8"/>
        <v>27.386332917104362</v>
      </c>
      <c r="L107" s="436"/>
    </row>
    <row r="108" spans="1:12" x14ac:dyDescent="0.25">
      <c r="A108" s="49">
        <f>'A) Base RI'!A109</f>
        <v>5566</v>
      </c>
      <c r="B108" s="286" t="str">
        <f>'A) Base RI'!B109</f>
        <v>Provence</v>
      </c>
      <c r="C108" s="95">
        <f>'B) D RI'!U109</f>
        <v>9377.8413580246925</v>
      </c>
      <c r="D108" s="405">
        <f>'E) PCS'!G114/C108</f>
        <v>15.129082068938564</v>
      </c>
      <c r="E108" s="136">
        <f>'H) Péréquation directe'!I118/C108</f>
        <v>-14.897589937363632</v>
      </c>
      <c r="F108" s="405"/>
      <c r="G108" s="136">
        <f t="shared" si="5"/>
        <v>0.23149213157493165</v>
      </c>
      <c r="H108" s="406">
        <f>G108-'C) Prél. conj.'!I108</f>
        <v>-2.7042533080129907</v>
      </c>
      <c r="I108" s="410">
        <f t="shared" si="6"/>
        <v>0</v>
      </c>
      <c r="J108" s="55">
        <f t="shared" si="7"/>
        <v>0</v>
      </c>
      <c r="K108" s="406">
        <f t="shared" si="8"/>
        <v>-2.7042533080129907</v>
      </c>
      <c r="L108" s="436"/>
    </row>
    <row r="109" spans="1:12" x14ac:dyDescent="0.25">
      <c r="A109" s="49">
        <f>'A) Base RI'!A110</f>
        <v>5568</v>
      </c>
      <c r="B109" s="286" t="str">
        <f>'A) Base RI'!B110</f>
        <v>Sainte-Croix</v>
      </c>
      <c r="C109" s="95">
        <f>'B) D RI'!U110</f>
        <v>109171.87199999999</v>
      </c>
      <c r="D109" s="405">
        <f>'E) PCS'!G115/C109</f>
        <v>23.65378758690132</v>
      </c>
      <c r="E109" s="136">
        <f>'H) Péréquation directe'!I119/C109</f>
        <v>-21.033443991305848</v>
      </c>
      <c r="F109" s="405"/>
      <c r="G109" s="136">
        <f t="shared" si="5"/>
        <v>2.6203435955954717</v>
      </c>
      <c r="H109" s="406">
        <f>G109-'C) Prél. conj.'!I109</f>
        <v>-8.8401073619552051</v>
      </c>
      <c r="I109" s="410">
        <f t="shared" si="6"/>
        <v>0</v>
      </c>
      <c r="J109" s="55">
        <f t="shared" si="7"/>
        <v>0</v>
      </c>
      <c r="K109" s="406">
        <f t="shared" si="8"/>
        <v>-8.8401073619552051</v>
      </c>
      <c r="L109" s="436"/>
    </row>
    <row r="110" spans="1:12" x14ac:dyDescent="0.25">
      <c r="A110" s="49">
        <f>'A) Base RI'!A111</f>
        <v>5571</v>
      </c>
      <c r="B110" s="286" t="str">
        <f>'A) Base RI'!B111</f>
        <v>Tévenon</v>
      </c>
      <c r="C110" s="95">
        <f>'B) D RI'!U111</f>
        <v>25325.239790209791</v>
      </c>
      <c r="D110" s="405">
        <f>'E) PCS'!G116/C110</f>
        <v>16.979303554206993</v>
      </c>
      <c r="E110" s="136">
        <f>'H) Péréquation directe'!I120/C110</f>
        <v>0.39584720460241979</v>
      </c>
      <c r="F110" s="405"/>
      <c r="G110" s="136">
        <f t="shared" si="5"/>
        <v>17.375150758809411</v>
      </c>
      <c r="H110" s="406">
        <f>G110-'C) Prél. conj.'!I110</f>
        <v>12.589183833953062</v>
      </c>
      <c r="I110" s="410">
        <f t="shared" si="6"/>
        <v>0</v>
      </c>
      <c r="J110" s="55">
        <f t="shared" si="7"/>
        <v>0</v>
      </c>
      <c r="K110" s="406">
        <f t="shared" si="8"/>
        <v>12.589183833953062</v>
      </c>
      <c r="L110" s="436"/>
    </row>
    <row r="111" spans="1:12" x14ac:dyDescent="0.25">
      <c r="A111" s="49">
        <f>'A) Base RI'!A112</f>
        <v>5581</v>
      </c>
      <c r="B111" s="286" t="str">
        <f>'A) Base RI'!B112</f>
        <v>Belmont-sur-Lausanne</v>
      </c>
      <c r="C111" s="95">
        <f>'B) D RI'!U112</f>
        <v>215435.94296296299</v>
      </c>
      <c r="D111" s="405">
        <f>'E) PCS'!G117/C111</f>
        <v>17.806542666232872</v>
      </c>
      <c r="E111" s="136">
        <f>'H) Péréquation directe'!I121/C111</f>
        <v>12.973251907452365</v>
      </c>
      <c r="F111" s="405"/>
      <c r="G111" s="136">
        <f t="shared" si="5"/>
        <v>30.779794573685237</v>
      </c>
      <c r="H111" s="406">
        <f>G111-'C) Prél. conj.'!I111</f>
        <v>27.036890284317767</v>
      </c>
      <c r="I111" s="410">
        <f t="shared" si="6"/>
        <v>0</v>
      </c>
      <c r="J111" s="55">
        <f t="shared" si="7"/>
        <v>0</v>
      </c>
      <c r="K111" s="406">
        <f t="shared" si="8"/>
        <v>27.036890284317767</v>
      </c>
      <c r="L111" s="436"/>
    </row>
    <row r="112" spans="1:12" x14ac:dyDescent="0.25">
      <c r="A112" s="49">
        <f>'A) Base RI'!A113</f>
        <v>5582</v>
      </c>
      <c r="B112" s="286" t="str">
        <f>'A) Base RI'!B113</f>
        <v>Cheseaux-sur-Lausanne</v>
      </c>
      <c r="C112" s="95">
        <f>'B) D RI'!U113</f>
        <v>167506.84698630136</v>
      </c>
      <c r="D112" s="405">
        <f>'E) PCS'!G118/C112</f>
        <v>18.318304584146567</v>
      </c>
      <c r="E112" s="136">
        <f>'H) Péréquation directe'!I122/C112</f>
        <v>3.4848919247126244</v>
      </c>
      <c r="F112" s="405"/>
      <c r="G112" s="136">
        <f t="shared" si="5"/>
        <v>21.803196508859191</v>
      </c>
      <c r="H112" s="406">
        <f>G112-'C) Prél. conj.'!I112</f>
        <v>15.678228554063267</v>
      </c>
      <c r="I112" s="410">
        <f t="shared" si="6"/>
        <v>0</v>
      </c>
      <c r="J112" s="55">
        <f t="shared" si="7"/>
        <v>0</v>
      </c>
      <c r="K112" s="406">
        <f t="shared" si="8"/>
        <v>15.678228554063267</v>
      </c>
      <c r="L112" s="436"/>
    </row>
    <row r="113" spans="1:12" x14ac:dyDescent="0.25">
      <c r="A113" s="49">
        <f>'A) Base RI'!A114</f>
        <v>5583</v>
      </c>
      <c r="B113" s="286" t="str">
        <f>'A) Base RI'!B114</f>
        <v>Crissier</v>
      </c>
      <c r="C113" s="95">
        <f>'B) D RI'!U114</f>
        <v>337550.36173228343</v>
      </c>
      <c r="D113" s="405">
        <f>'E) PCS'!G119/C113</f>
        <v>18.438141653946762</v>
      </c>
      <c r="E113" s="136">
        <f>'H) Péréquation directe'!I123/C113</f>
        <v>1.7346910765635051</v>
      </c>
      <c r="F113" s="405"/>
      <c r="G113" s="136">
        <f t="shared" si="5"/>
        <v>20.172832730510265</v>
      </c>
      <c r="H113" s="406">
        <f>G113-'C) Prél. conj.'!I113</f>
        <v>13.928027705914149</v>
      </c>
      <c r="I113" s="410">
        <f t="shared" si="6"/>
        <v>0</v>
      </c>
      <c r="J113" s="55">
        <f t="shared" si="7"/>
        <v>0</v>
      </c>
      <c r="K113" s="406">
        <f t="shared" si="8"/>
        <v>13.928027705914149</v>
      </c>
      <c r="L113" s="436"/>
    </row>
    <row r="114" spans="1:12" x14ac:dyDescent="0.25">
      <c r="A114" s="49">
        <f>'A) Base RI'!A115</f>
        <v>5584</v>
      </c>
      <c r="B114" s="286" t="str">
        <f>'A) Base RI'!B115</f>
        <v>Epalinges</v>
      </c>
      <c r="C114" s="95">
        <f>'B) D RI'!U115</f>
        <v>516766.84201550385</v>
      </c>
      <c r="D114" s="405">
        <f>'E) PCS'!G120/C114</f>
        <v>16.867771827841832</v>
      </c>
      <c r="E114" s="136">
        <f>'H) Péréquation directe'!I124/C114</f>
        <v>9.3184565485755364</v>
      </c>
      <c r="F114" s="405"/>
      <c r="G114" s="136">
        <f t="shared" si="5"/>
        <v>26.186228376417368</v>
      </c>
      <c r="H114" s="406">
        <f>G114-'C) Prél. conj.'!I114</f>
        <v>22.549463761895883</v>
      </c>
      <c r="I114" s="410">
        <f t="shared" si="6"/>
        <v>0</v>
      </c>
      <c r="J114" s="55">
        <f t="shared" si="7"/>
        <v>0</v>
      </c>
      <c r="K114" s="406">
        <f t="shared" si="8"/>
        <v>22.549463761895883</v>
      </c>
      <c r="L114" s="436"/>
    </row>
    <row r="115" spans="1:12" x14ac:dyDescent="0.25">
      <c r="A115" s="49">
        <f>'A) Base RI'!A116</f>
        <v>5585</v>
      </c>
      <c r="B115" s="286" t="str">
        <f>'A) Base RI'!B116</f>
        <v>Jouxtens-Mézery</v>
      </c>
      <c r="C115" s="95">
        <f>'B) D RI'!U116</f>
        <v>191744.87050847456</v>
      </c>
      <c r="D115" s="405">
        <f>'E) PCS'!G121/C115</f>
        <v>29.427119900392739</v>
      </c>
      <c r="E115" s="136">
        <f>'H) Péréquation directe'!I125/C115</f>
        <v>17.32384234521307</v>
      </c>
      <c r="F115" s="405"/>
      <c r="G115" s="136">
        <f t="shared" si="5"/>
        <v>46.750962245605805</v>
      </c>
      <c r="H115" s="406">
        <f>G115-'C) Prél. conj.'!I115</f>
        <v>44.441492225230853</v>
      </c>
      <c r="I115" s="410">
        <f t="shared" si="6"/>
        <v>0</v>
      </c>
      <c r="J115" s="55">
        <f t="shared" si="7"/>
        <v>0</v>
      </c>
      <c r="K115" s="406">
        <f t="shared" si="8"/>
        <v>44.441492225230853</v>
      </c>
      <c r="L115" s="436"/>
    </row>
    <row r="116" spans="1:12" x14ac:dyDescent="0.25">
      <c r="A116" s="49">
        <f>'A) Base RI'!A117</f>
        <v>5586</v>
      </c>
      <c r="B116" s="286" t="str">
        <f>'A) Base RI'!B117</f>
        <v>Lausanne</v>
      </c>
      <c r="C116" s="95">
        <f>'B) D RI'!U117</f>
        <v>6461491.7137154993</v>
      </c>
      <c r="D116" s="405">
        <f>'E) PCS'!G122/C116</f>
        <v>16.544181061345505</v>
      </c>
      <c r="E116" s="136">
        <f>'H) Péréquation directe'!I126/C116</f>
        <v>-4.4673010675826799</v>
      </c>
      <c r="F116" s="405"/>
      <c r="G116" s="136">
        <f t="shared" si="5"/>
        <v>12.076879993762825</v>
      </c>
      <c r="H116" s="406">
        <f>G116-'C) Prél. conj.'!I116</f>
        <v>7.7260355617679659</v>
      </c>
      <c r="I116" s="410">
        <f t="shared" si="6"/>
        <v>0</v>
      </c>
      <c r="J116" s="55">
        <f t="shared" si="7"/>
        <v>0</v>
      </c>
      <c r="K116" s="406">
        <f t="shared" si="8"/>
        <v>7.7260355617679659</v>
      </c>
      <c r="L116" s="436"/>
    </row>
    <row r="117" spans="1:12" x14ac:dyDescent="0.25">
      <c r="A117" s="49">
        <f>'A) Base RI'!A118</f>
        <v>5587</v>
      </c>
      <c r="B117" s="286" t="str">
        <f>'A) Base RI'!B118</f>
        <v>Le Mont-sur-Lausanne</v>
      </c>
      <c r="C117" s="95">
        <f>'B) D RI'!U118</f>
        <v>495058.05378684809</v>
      </c>
      <c r="D117" s="405">
        <f>'E) PCS'!G123/C117</f>
        <v>19.085571888719336</v>
      </c>
      <c r="E117" s="136">
        <f>'H) Péréquation directe'!I127/C117</f>
        <v>9.9233927417455199</v>
      </c>
      <c r="F117" s="405"/>
      <c r="G117" s="136">
        <f t="shared" si="5"/>
        <v>29.008964630464856</v>
      </c>
      <c r="H117" s="406">
        <f>G117-'C) Prél. conj.'!I117</f>
        <v>23.563433213737866</v>
      </c>
      <c r="I117" s="410">
        <f t="shared" si="6"/>
        <v>0</v>
      </c>
      <c r="J117" s="55">
        <f t="shared" si="7"/>
        <v>0</v>
      </c>
      <c r="K117" s="406">
        <f t="shared" si="8"/>
        <v>23.563433213737866</v>
      </c>
      <c r="L117" s="436"/>
    </row>
    <row r="118" spans="1:12" x14ac:dyDescent="0.25">
      <c r="A118" s="49">
        <f>'A) Base RI'!A119</f>
        <v>5588</v>
      </c>
      <c r="B118" s="286" t="str">
        <f>'A) Base RI'!B119</f>
        <v>Paudex</v>
      </c>
      <c r="C118" s="95">
        <f>'B) D RI'!U119</f>
        <v>215756.29785177234</v>
      </c>
      <c r="D118" s="405">
        <f>'E) PCS'!G124/C118</f>
        <v>30.895709795585674</v>
      </c>
      <c r="E118" s="136">
        <f>'H) Péréquation directe'!I128/C118</f>
        <v>17.351894411538165</v>
      </c>
      <c r="F118" s="405"/>
      <c r="G118" s="136">
        <f t="shared" si="5"/>
        <v>48.247604207123842</v>
      </c>
      <c r="H118" s="406">
        <f>G118-'C) Prél. conj.'!I118</f>
        <v>47.345014841534208</v>
      </c>
      <c r="I118" s="410">
        <f t="shared" si="6"/>
        <v>0</v>
      </c>
      <c r="J118" s="55">
        <f t="shared" si="7"/>
        <v>0</v>
      </c>
      <c r="K118" s="406">
        <f t="shared" si="8"/>
        <v>47.345014841534208</v>
      </c>
      <c r="L118" s="436"/>
    </row>
    <row r="119" spans="1:12" x14ac:dyDescent="0.25">
      <c r="A119" s="49">
        <f>'A) Base RI'!A120</f>
        <v>5589</v>
      </c>
      <c r="B119" s="286" t="str">
        <f>'A) Base RI'!B120</f>
        <v>Prilly</v>
      </c>
      <c r="C119" s="95">
        <f>'B) D RI'!U120</f>
        <v>419549.81642440322</v>
      </c>
      <c r="D119" s="405">
        <f>'E) PCS'!G125/C119</f>
        <v>16.126119711135892</v>
      </c>
      <c r="E119" s="136">
        <f>'H) Péréquation directe'!I129/C119</f>
        <v>-7.0314366078837729</v>
      </c>
      <c r="F119" s="405"/>
      <c r="G119" s="136">
        <f t="shared" si="5"/>
        <v>9.0946831032521196</v>
      </c>
      <c r="H119" s="406">
        <f>G119-'C) Prél. conj.'!I119</f>
        <v>5.1619000214668702</v>
      </c>
      <c r="I119" s="410">
        <f t="shared" si="6"/>
        <v>0</v>
      </c>
      <c r="J119" s="55">
        <f t="shared" si="7"/>
        <v>0</v>
      </c>
      <c r="K119" s="406">
        <f t="shared" si="8"/>
        <v>5.1619000214668702</v>
      </c>
      <c r="L119" s="436"/>
    </row>
    <row r="120" spans="1:12" x14ac:dyDescent="0.25">
      <c r="A120" s="49">
        <f>'A) Base RI'!A121</f>
        <v>5590</v>
      </c>
      <c r="B120" s="286" t="str">
        <f>'A) Base RI'!B121</f>
        <v>Pully</v>
      </c>
      <c r="C120" s="95">
        <f>'B) D RI'!U121</f>
        <v>1603030.9692740045</v>
      </c>
      <c r="D120" s="405">
        <f>'E) PCS'!G126/C120</f>
        <v>23.186723683273801</v>
      </c>
      <c r="E120" s="136">
        <f>'H) Péréquation directe'!I130/C120</f>
        <v>10.147386555404942</v>
      </c>
      <c r="F120" s="405"/>
      <c r="G120" s="136">
        <f t="shared" si="5"/>
        <v>33.334110238678747</v>
      </c>
      <c r="H120" s="406">
        <f>G120-'C) Prél. conj.'!I120</f>
        <v>30.331938208166097</v>
      </c>
      <c r="I120" s="410">
        <f t="shared" si="6"/>
        <v>0</v>
      </c>
      <c r="J120" s="55">
        <f t="shared" si="7"/>
        <v>0</v>
      </c>
      <c r="K120" s="406">
        <f t="shared" si="8"/>
        <v>30.331938208166097</v>
      </c>
      <c r="L120" s="436"/>
    </row>
    <row r="121" spans="1:12" x14ac:dyDescent="0.25">
      <c r="A121" s="49">
        <f>'A) Base RI'!A122</f>
        <v>5591</v>
      </c>
      <c r="B121" s="286" t="str">
        <f>'A) Base RI'!B122</f>
        <v>Renens</v>
      </c>
      <c r="C121" s="95">
        <f>'B) D RI'!U122</f>
        <v>569784.47115027823</v>
      </c>
      <c r="D121" s="405">
        <f>'E) PCS'!G127/C121</f>
        <v>17.672680658676732</v>
      </c>
      <c r="E121" s="136">
        <f>'H) Péréquation directe'!I131/C121</f>
        <v>-27.621175236813656</v>
      </c>
      <c r="F121" s="405"/>
      <c r="G121" s="136">
        <f t="shared" si="5"/>
        <v>-9.9484945781369234</v>
      </c>
      <c r="H121" s="406">
        <f>G121-'C) Prél. conj.'!I121</f>
        <v>-15.427838607463013</v>
      </c>
      <c r="I121" s="410">
        <f t="shared" si="6"/>
        <v>0</v>
      </c>
      <c r="J121" s="55">
        <f t="shared" si="7"/>
        <v>0</v>
      </c>
      <c r="K121" s="406">
        <f t="shared" si="8"/>
        <v>-15.427838607463013</v>
      </c>
      <c r="L121" s="436"/>
    </row>
    <row r="122" spans="1:12" x14ac:dyDescent="0.25">
      <c r="A122" s="49">
        <f>'A) Base RI'!A123</f>
        <v>5592</v>
      </c>
      <c r="B122" s="286" t="str">
        <f>'A) Base RI'!B123</f>
        <v>Romanel-sur-Lausanne</v>
      </c>
      <c r="C122" s="95">
        <f>'B) D RI'!U123</f>
        <v>121086.56368794327</v>
      </c>
      <c r="D122" s="405">
        <f>'E) PCS'!G128/C122</f>
        <v>19.356223481398299</v>
      </c>
      <c r="E122" s="136">
        <f>'H) Péréquation directe'!I132/C122</f>
        <v>2.2283198855051016</v>
      </c>
      <c r="F122" s="405"/>
      <c r="G122" s="136">
        <f t="shared" si="5"/>
        <v>21.5845433669034</v>
      </c>
      <c r="H122" s="406">
        <f>G122-'C) Prél. conj.'!I122</f>
        <v>14.421656514855744</v>
      </c>
      <c r="I122" s="410">
        <f t="shared" si="6"/>
        <v>0</v>
      </c>
      <c r="J122" s="55">
        <f t="shared" si="7"/>
        <v>0</v>
      </c>
      <c r="K122" s="406">
        <f t="shared" si="8"/>
        <v>14.421656514855744</v>
      </c>
      <c r="L122" s="436"/>
    </row>
    <row r="123" spans="1:12" x14ac:dyDescent="0.25">
      <c r="A123" s="49">
        <f>'A) Base RI'!A124</f>
        <v>5601</v>
      </c>
      <c r="B123" s="286" t="str">
        <f>'A) Base RI'!B124</f>
        <v>Chexbres</v>
      </c>
      <c r="C123" s="95">
        <f>'B) D RI'!U124</f>
        <v>105973.06044444445</v>
      </c>
      <c r="D123" s="405">
        <f>'E) PCS'!G129/C123</f>
        <v>14.861008713315831</v>
      </c>
      <c r="E123" s="136">
        <f>'H) Péréquation directe'!I133/C123</f>
        <v>13.246300249599512</v>
      </c>
      <c r="F123" s="405"/>
      <c r="G123" s="136">
        <f t="shared" si="5"/>
        <v>28.107308962915344</v>
      </c>
      <c r="H123" s="406">
        <f>G123-'C) Prél. conj.'!I123</f>
        <v>25.439636878950154</v>
      </c>
      <c r="I123" s="410">
        <f t="shared" si="6"/>
        <v>0</v>
      </c>
      <c r="J123" s="55">
        <f t="shared" si="7"/>
        <v>0</v>
      </c>
      <c r="K123" s="406">
        <f t="shared" si="8"/>
        <v>25.439636878950154</v>
      </c>
      <c r="L123" s="436"/>
    </row>
    <row r="124" spans="1:12" x14ac:dyDescent="0.25">
      <c r="A124" s="49">
        <f>'A) Base RI'!A125</f>
        <v>5604</v>
      </c>
      <c r="B124" s="286" t="str">
        <f>'A) Base RI'!B125</f>
        <v>Forel (Lavaux)</v>
      </c>
      <c r="C124" s="95">
        <f>'B) D RI'!U125</f>
        <v>75818.919130434777</v>
      </c>
      <c r="D124" s="405">
        <f>'E) PCS'!G130/C124</f>
        <v>15.163434298675051</v>
      </c>
      <c r="E124" s="136">
        <f>'H) Péréquation directe'!I134/C124</f>
        <v>5.4375365197890924</v>
      </c>
      <c r="F124" s="405"/>
      <c r="G124" s="136">
        <f t="shared" si="5"/>
        <v>20.600970818464145</v>
      </c>
      <c r="H124" s="406">
        <f>G124-'C) Prél. conj.'!I124</f>
        <v>17.630873149139738</v>
      </c>
      <c r="I124" s="410">
        <f t="shared" si="6"/>
        <v>0</v>
      </c>
      <c r="J124" s="55">
        <f t="shared" si="7"/>
        <v>0</v>
      </c>
      <c r="K124" s="406">
        <f t="shared" si="8"/>
        <v>17.630873149139738</v>
      </c>
      <c r="L124" s="436"/>
    </row>
    <row r="125" spans="1:12" x14ac:dyDescent="0.25">
      <c r="A125" s="49">
        <f>'A) Base RI'!A126</f>
        <v>5606</v>
      </c>
      <c r="B125" s="286" t="str">
        <f>'A) Base RI'!B126</f>
        <v>Lutry</v>
      </c>
      <c r="C125" s="95">
        <f>'B) D RI'!U126</f>
        <v>941137.19529100519</v>
      </c>
      <c r="D125" s="405">
        <f>'E) PCS'!G131/C125</f>
        <v>26.205482974713373</v>
      </c>
      <c r="E125" s="136">
        <f>'H) Péréquation directe'!I135/C125</f>
        <v>12.796296727435925</v>
      </c>
      <c r="F125" s="405"/>
      <c r="G125" s="136">
        <f t="shared" si="5"/>
        <v>39.0017797021493</v>
      </c>
      <c r="H125" s="406">
        <f>G125-'C) Prél. conj.'!I125</f>
        <v>32.611219606242862</v>
      </c>
      <c r="I125" s="410">
        <f t="shared" si="6"/>
        <v>0</v>
      </c>
      <c r="J125" s="55">
        <f t="shared" si="7"/>
        <v>0</v>
      </c>
      <c r="K125" s="406">
        <f t="shared" si="8"/>
        <v>32.611219606242862</v>
      </c>
      <c r="L125" s="436"/>
    </row>
    <row r="126" spans="1:12" x14ac:dyDescent="0.25">
      <c r="A126" s="49">
        <f>'A) Base RI'!A127</f>
        <v>5607</v>
      </c>
      <c r="B126" s="286" t="str">
        <f>'A) Base RI'!B127</f>
        <v>Puidoux</v>
      </c>
      <c r="C126" s="95">
        <f>'B) D RI'!U127</f>
        <v>111580.38136464616</v>
      </c>
      <c r="D126" s="405">
        <f>'E) PCS'!G132/C126</f>
        <v>17.196955708007934</v>
      </c>
      <c r="E126" s="136">
        <f>'H) Péréquation directe'!I136/C126</f>
        <v>6.6262563304350373</v>
      </c>
      <c r="F126" s="405"/>
      <c r="G126" s="136">
        <f t="shared" si="5"/>
        <v>23.823212038442971</v>
      </c>
      <c r="H126" s="406">
        <f>G126-'C) Prél. conj.'!I126</f>
        <v>18.81959295978568</v>
      </c>
      <c r="I126" s="410">
        <f t="shared" si="6"/>
        <v>0</v>
      </c>
      <c r="J126" s="55">
        <f t="shared" si="7"/>
        <v>0</v>
      </c>
      <c r="K126" s="406">
        <f t="shared" si="8"/>
        <v>18.81959295978568</v>
      </c>
      <c r="L126" s="436"/>
    </row>
    <row r="127" spans="1:12" x14ac:dyDescent="0.25">
      <c r="A127" s="49">
        <f>'A) Base RI'!A128</f>
        <v>5609</v>
      </c>
      <c r="B127" s="286" t="str">
        <f>'A) Base RI'!B128</f>
        <v>Rivaz</v>
      </c>
      <c r="C127" s="95">
        <f>'B) D RI'!U128</f>
        <v>14896.510161290325</v>
      </c>
      <c r="D127" s="405">
        <f>'E) PCS'!G133/C127</f>
        <v>13.470478039923284</v>
      </c>
      <c r="E127" s="136">
        <f>'H) Péréquation directe'!I137/C127</f>
        <v>14.872627073515213</v>
      </c>
      <c r="F127" s="405"/>
      <c r="G127" s="136">
        <f t="shared" si="5"/>
        <v>28.343105113438497</v>
      </c>
      <c r="H127" s="406">
        <f>G127-'C) Prél. conj.'!I127</f>
        <v>27.065963702865858</v>
      </c>
      <c r="I127" s="410">
        <f t="shared" si="6"/>
        <v>0</v>
      </c>
      <c r="J127" s="55">
        <f t="shared" si="7"/>
        <v>0</v>
      </c>
      <c r="K127" s="406">
        <f t="shared" si="8"/>
        <v>27.065963702865858</v>
      </c>
      <c r="L127" s="436"/>
    </row>
    <row r="128" spans="1:12" x14ac:dyDescent="0.25">
      <c r="A128" s="49">
        <f>'A) Base RI'!A129</f>
        <v>5610</v>
      </c>
      <c r="B128" s="286" t="str">
        <f>'A) Base RI'!B129</f>
        <v>St-Saphorin (Lavaux)</v>
      </c>
      <c r="C128" s="95">
        <f>'B) D RI'!U129</f>
        <v>23448.462152777778</v>
      </c>
      <c r="D128" s="405">
        <f>'E) PCS'!G134/C128</f>
        <v>27.310903252752937</v>
      </c>
      <c r="E128" s="136">
        <f>'H) Péréquation directe'!I138/C128</f>
        <v>16.705641402280406</v>
      </c>
      <c r="F128" s="405"/>
      <c r="G128" s="136">
        <f t="shared" si="5"/>
        <v>44.016544655033343</v>
      </c>
      <c r="H128" s="406">
        <f>G128-'C) Prél. conj.'!I128</f>
        <v>31.656569910776319</v>
      </c>
      <c r="I128" s="410">
        <f t="shared" si="6"/>
        <v>0</v>
      </c>
      <c r="J128" s="55">
        <f t="shared" si="7"/>
        <v>0</v>
      </c>
      <c r="K128" s="406">
        <f t="shared" si="8"/>
        <v>31.656569910776319</v>
      </c>
      <c r="L128" s="436"/>
    </row>
    <row r="129" spans="1:12" x14ac:dyDescent="0.25">
      <c r="A129" s="49">
        <f>'A) Base RI'!A130</f>
        <v>5611</v>
      </c>
      <c r="B129" s="286" t="str">
        <f>'A) Base RI'!B130</f>
        <v>Savigny</v>
      </c>
      <c r="C129" s="95">
        <f>'B) D RI'!U130</f>
        <v>140983.13330917869</v>
      </c>
      <c r="D129" s="405">
        <f>'E) PCS'!G135/C129</f>
        <v>15.347988108294928</v>
      </c>
      <c r="E129" s="136">
        <f>'H) Péréquation directe'!I139/C129</f>
        <v>8.6648873021374087</v>
      </c>
      <c r="F129" s="405"/>
      <c r="G129" s="136">
        <f t="shared" si="5"/>
        <v>24.012875410432336</v>
      </c>
      <c r="H129" s="406">
        <f>G129-'C) Prél. conj.'!I129</f>
        <v>20.858223931488052</v>
      </c>
      <c r="I129" s="410">
        <f t="shared" si="6"/>
        <v>0</v>
      </c>
      <c r="J129" s="55">
        <f t="shared" si="7"/>
        <v>0</v>
      </c>
      <c r="K129" s="406">
        <f t="shared" si="8"/>
        <v>20.858223931488052</v>
      </c>
      <c r="L129" s="436"/>
    </row>
    <row r="130" spans="1:12" x14ac:dyDescent="0.25">
      <c r="A130" s="49">
        <f>'A) Base RI'!A131</f>
        <v>5613</v>
      </c>
      <c r="B130" s="286" t="str">
        <f>'A) Base RI'!B131</f>
        <v>Bourg-en-Lavaux</v>
      </c>
      <c r="C130" s="95">
        <f>'B) D RI'!U131</f>
        <v>357210.57141333341</v>
      </c>
      <c r="D130" s="405">
        <f>'E) PCS'!G136/C130</f>
        <v>19.249182056387344</v>
      </c>
      <c r="E130" s="136">
        <f>'H) Péréquation directe'!I140/C130</f>
        <v>13.09845215126103</v>
      </c>
      <c r="F130" s="405"/>
      <c r="G130" s="136">
        <f t="shared" si="5"/>
        <v>32.347634207648376</v>
      </c>
      <c r="H130" s="406">
        <f>G130-'C) Prél. conj.'!I130</f>
        <v>29.490200492958763</v>
      </c>
      <c r="I130" s="410">
        <f t="shared" si="6"/>
        <v>0</v>
      </c>
      <c r="J130" s="55">
        <f t="shared" si="7"/>
        <v>0</v>
      </c>
      <c r="K130" s="406">
        <f t="shared" si="8"/>
        <v>29.490200492958763</v>
      </c>
      <c r="L130" s="436"/>
    </row>
    <row r="131" spans="1:12" x14ac:dyDescent="0.25">
      <c r="A131" s="49">
        <f>'A) Base RI'!A132</f>
        <v>5621</v>
      </c>
      <c r="B131" s="286" t="str">
        <f>'A) Base RI'!B132</f>
        <v>Aclens</v>
      </c>
      <c r="C131" s="95">
        <f>'B) D RI'!U132</f>
        <v>32271.293782991204</v>
      </c>
      <c r="D131" s="405">
        <f>'E) PCS'!G137/C131</f>
        <v>22.071015406029932</v>
      </c>
      <c r="E131" s="136">
        <f>'H) Péréquation directe'!I141/C131</f>
        <v>16.813882077260455</v>
      </c>
      <c r="F131" s="405"/>
      <c r="G131" s="136">
        <f t="shared" si="5"/>
        <v>38.884897483290388</v>
      </c>
      <c r="H131" s="406">
        <f>G131-'C) Prél. conj.'!I131</f>
        <v>32.215435253256103</v>
      </c>
      <c r="I131" s="410">
        <f t="shared" si="6"/>
        <v>0</v>
      </c>
      <c r="J131" s="55">
        <f t="shared" si="7"/>
        <v>0</v>
      </c>
      <c r="K131" s="406">
        <f t="shared" si="8"/>
        <v>32.215435253256103</v>
      </c>
      <c r="L131" s="436"/>
    </row>
    <row r="132" spans="1:12" x14ac:dyDescent="0.25">
      <c r="A132" s="49">
        <f>'A) Base RI'!A133</f>
        <v>5622</v>
      </c>
      <c r="B132" s="286" t="str">
        <f>'A) Base RI'!B133</f>
        <v>Bremblens</v>
      </c>
      <c r="C132" s="95">
        <f>'B) D RI'!U133</f>
        <v>28643.938676470589</v>
      </c>
      <c r="D132" s="405">
        <f>'E) PCS'!G138/C132</f>
        <v>16.167330788663158</v>
      </c>
      <c r="E132" s="136">
        <f>'H) Péréquation directe'!I142/C132</f>
        <v>15.684727041216146</v>
      </c>
      <c r="F132" s="405"/>
      <c r="G132" s="136">
        <f t="shared" si="5"/>
        <v>31.852057829879303</v>
      </c>
      <c r="H132" s="406">
        <f>G132-'C) Prél. conj.'!I132</f>
        <v>27.878063670566789</v>
      </c>
      <c r="I132" s="410">
        <f t="shared" si="6"/>
        <v>0</v>
      </c>
      <c r="J132" s="55">
        <f t="shared" si="7"/>
        <v>0</v>
      </c>
      <c r="K132" s="406">
        <f t="shared" si="8"/>
        <v>27.878063670566789</v>
      </c>
      <c r="L132" s="436"/>
    </row>
    <row r="133" spans="1:12" x14ac:dyDescent="0.25">
      <c r="A133" s="49">
        <f>'A) Base RI'!A134</f>
        <v>5623</v>
      </c>
      <c r="B133" s="286" t="str">
        <f>'A) Base RI'!B134</f>
        <v>Buchillon</v>
      </c>
      <c r="C133" s="95">
        <f>'B) D RI'!U134</f>
        <v>89231.951153846152</v>
      </c>
      <c r="D133" s="405">
        <f>'E) PCS'!G139/C133</f>
        <v>26.807896968569899</v>
      </c>
      <c r="E133" s="136">
        <f>'H) Péréquation directe'!I143/C133</f>
        <v>17.87712786395911</v>
      </c>
      <c r="F133" s="405"/>
      <c r="G133" s="136">
        <f t="shared" si="5"/>
        <v>44.68502483252901</v>
      </c>
      <c r="H133" s="406">
        <f>G133-'C) Prél. conj.'!I133</f>
        <v>43.421441401459546</v>
      </c>
      <c r="I133" s="410">
        <f t="shared" si="6"/>
        <v>0</v>
      </c>
      <c r="J133" s="55">
        <f t="shared" si="7"/>
        <v>0</v>
      </c>
      <c r="K133" s="406">
        <f t="shared" si="8"/>
        <v>43.421441401459546</v>
      </c>
      <c r="L133" s="436"/>
    </row>
    <row r="134" spans="1:12" x14ac:dyDescent="0.25">
      <c r="A134" s="49">
        <f>'A) Base RI'!A135</f>
        <v>5624</v>
      </c>
      <c r="B134" s="286" t="str">
        <f>'A) Base RI'!B135</f>
        <v>Bussigny</v>
      </c>
      <c r="C134" s="95">
        <f>'B) D RI'!U135</f>
        <v>441939.99008000002</v>
      </c>
      <c r="D134" s="405">
        <f>'E) PCS'!G140/C134</f>
        <v>17.4284851267319</v>
      </c>
      <c r="E134" s="136">
        <f>'H) Péréquation directe'!I144/C134</f>
        <v>4.9386697025954422</v>
      </c>
      <c r="F134" s="405"/>
      <c r="G134" s="136">
        <f t="shared" ref="G134:G197" si="9">SUM(D134:F134)</f>
        <v>22.36715482932734</v>
      </c>
      <c r="H134" s="406">
        <f>G134-'C) Prél. conj.'!I134</f>
        <v>17.132006331946084</v>
      </c>
      <c r="I134" s="410">
        <f t="shared" ref="I134:I197" si="10">IF(H134&gt;I$5,I$5-H134,0)</f>
        <v>0</v>
      </c>
      <c r="J134" s="55">
        <f t="shared" ref="J134:J197" si="11">I134*C134</f>
        <v>0</v>
      </c>
      <c r="K134" s="406">
        <f t="shared" ref="K134:K197" si="12">H134+I134</f>
        <v>17.132006331946084</v>
      </c>
      <c r="L134" s="436"/>
    </row>
    <row r="135" spans="1:12" x14ac:dyDescent="0.25">
      <c r="A135" s="49">
        <f>'A) Base RI'!A136</f>
        <v>5625</v>
      </c>
      <c r="B135" s="286" t="str">
        <f>'A) Base RI'!B136</f>
        <v>Bussy-Chardonney</v>
      </c>
      <c r="C135" s="95">
        <f>'B) D RI'!U136</f>
        <v>21108.495740740738</v>
      </c>
      <c r="D135" s="405">
        <f>'E) PCS'!G141/C135</f>
        <v>13.580750542407975</v>
      </c>
      <c r="E135" s="136">
        <f>'H) Péréquation directe'!I145/C135</f>
        <v>16.377539599938149</v>
      </c>
      <c r="F135" s="405"/>
      <c r="G135" s="136">
        <f t="shared" si="9"/>
        <v>29.958290142346122</v>
      </c>
      <c r="H135" s="406">
        <f>G135-'C) Prél. conj.'!I135</f>
        <v>29.360330668822925</v>
      </c>
      <c r="I135" s="410">
        <f t="shared" si="10"/>
        <v>0</v>
      </c>
      <c r="J135" s="55">
        <f t="shared" si="11"/>
        <v>0</v>
      </c>
      <c r="K135" s="406">
        <f t="shared" si="12"/>
        <v>29.360330668822925</v>
      </c>
      <c r="L135" s="436"/>
    </row>
    <row r="136" spans="1:12" x14ac:dyDescent="0.25">
      <c r="A136" s="49">
        <f>'A) Base RI'!A137</f>
        <v>5627</v>
      </c>
      <c r="B136" s="286" t="str">
        <f>'A) Base RI'!B137</f>
        <v>Chavannes-près-Renens</v>
      </c>
      <c r="C136" s="95">
        <f>'B) D RI'!U137</f>
        <v>194072.91458064516</v>
      </c>
      <c r="D136" s="405">
        <f>'E) PCS'!G142/C136</f>
        <v>17.680010940914745</v>
      </c>
      <c r="E136" s="136">
        <f>'H) Péréquation directe'!I146/C136</f>
        <v>-30.704908398319542</v>
      </c>
      <c r="F136" s="405"/>
      <c r="G136" s="136">
        <f t="shared" si="9"/>
        <v>-13.024897457404798</v>
      </c>
      <c r="H136" s="406">
        <f>G136-'C) Prél. conj.'!I136</f>
        <v>-18.511571768968899</v>
      </c>
      <c r="I136" s="410">
        <f t="shared" si="10"/>
        <v>0</v>
      </c>
      <c r="J136" s="55">
        <f t="shared" si="11"/>
        <v>0</v>
      </c>
      <c r="K136" s="406">
        <f t="shared" si="12"/>
        <v>-18.511571768968899</v>
      </c>
      <c r="L136" s="436"/>
    </row>
    <row r="137" spans="1:12" x14ac:dyDescent="0.25">
      <c r="A137" s="49">
        <f>'A) Base RI'!A138</f>
        <v>5628</v>
      </c>
      <c r="B137" s="286" t="str">
        <f>'A) Base RI'!B138</f>
        <v>Chigny</v>
      </c>
      <c r="C137" s="95">
        <f>'B) D RI'!U138</f>
        <v>25790.901129032256</v>
      </c>
      <c r="D137" s="405">
        <f>'E) PCS'!G143/C137</f>
        <v>16.76064648446247</v>
      </c>
      <c r="E137" s="136">
        <f>'H) Péréquation directe'!I147/C137</f>
        <v>16.853454474674859</v>
      </c>
      <c r="F137" s="405"/>
      <c r="G137" s="136">
        <f t="shared" si="9"/>
        <v>33.614100959137332</v>
      </c>
      <c r="H137" s="406">
        <f>G137-'C) Prél. conj.'!I137</f>
        <v>32.559777387271495</v>
      </c>
      <c r="I137" s="410">
        <f t="shared" si="10"/>
        <v>0</v>
      </c>
      <c r="J137" s="55">
        <f t="shared" si="11"/>
        <v>0</v>
      </c>
      <c r="K137" s="406">
        <f t="shared" si="12"/>
        <v>32.559777387271495</v>
      </c>
      <c r="L137" s="436"/>
    </row>
    <row r="138" spans="1:12" x14ac:dyDescent="0.25">
      <c r="A138" s="49">
        <f>'A) Base RI'!A139</f>
        <v>5629</v>
      </c>
      <c r="B138" s="286" t="str">
        <f>'A) Base RI'!B139</f>
        <v>Clarmont</v>
      </c>
      <c r="C138" s="95">
        <f>'B) D RI'!U139</f>
        <v>9948.0614965986406</v>
      </c>
      <c r="D138" s="405">
        <f>'E) PCS'!G144/C138</f>
        <v>13.554006243689892</v>
      </c>
      <c r="E138" s="136">
        <f>'H) Péréquation directe'!I148/C138</f>
        <v>15.581078276316676</v>
      </c>
      <c r="F138" s="405"/>
      <c r="G138" s="136">
        <f t="shared" si="9"/>
        <v>29.135084520006568</v>
      </c>
      <c r="H138" s="406">
        <f>G138-'C) Prél. conj.'!I138</f>
        <v>27.774414905667321</v>
      </c>
      <c r="I138" s="410">
        <f t="shared" si="10"/>
        <v>0</v>
      </c>
      <c r="J138" s="55">
        <f t="shared" si="11"/>
        <v>0</v>
      </c>
      <c r="K138" s="406">
        <f t="shared" si="12"/>
        <v>27.774414905667321</v>
      </c>
      <c r="L138" s="436"/>
    </row>
    <row r="139" spans="1:12" x14ac:dyDescent="0.25">
      <c r="A139" s="49">
        <f>'A) Base RI'!A140</f>
        <v>5631</v>
      </c>
      <c r="B139" s="286" t="str">
        <f>'A) Base RI'!B140</f>
        <v>Denens</v>
      </c>
      <c r="C139" s="95">
        <f>'B) D RI'!U140</f>
        <v>43290.229264705871</v>
      </c>
      <c r="D139" s="405">
        <f>'E) PCS'!G145/C139</f>
        <v>20.998020688028447</v>
      </c>
      <c r="E139" s="136">
        <f>'H) Péréquation directe'!I149/C139</f>
        <v>16.70013673333575</v>
      </c>
      <c r="F139" s="405"/>
      <c r="G139" s="136">
        <f t="shared" si="9"/>
        <v>37.698157421364201</v>
      </c>
      <c r="H139" s="406">
        <f>G139-'C) Prél. conj.'!I139</f>
        <v>31.451368374661808</v>
      </c>
      <c r="I139" s="410">
        <f t="shared" si="10"/>
        <v>0</v>
      </c>
      <c r="J139" s="55">
        <f t="shared" si="11"/>
        <v>0</v>
      </c>
      <c r="K139" s="406">
        <f t="shared" si="12"/>
        <v>31.451368374661808</v>
      </c>
      <c r="L139" s="436"/>
    </row>
    <row r="140" spans="1:12" x14ac:dyDescent="0.25">
      <c r="A140" s="49">
        <f>'A) Base RI'!A141</f>
        <v>5632</v>
      </c>
      <c r="B140" s="286" t="str">
        <f>'A) Base RI'!B141</f>
        <v>Denges</v>
      </c>
      <c r="C140" s="95">
        <f>'B) D RI'!U141</f>
        <v>80521.21435483871</v>
      </c>
      <c r="D140" s="405">
        <f>'E) PCS'!G146/C140</f>
        <v>15.152202586712884</v>
      </c>
      <c r="E140" s="136">
        <f>'H) Péréquation directe'!I150/C140</f>
        <v>13.285313202547684</v>
      </c>
      <c r="F140" s="405"/>
      <c r="G140" s="136">
        <f t="shared" si="9"/>
        <v>28.437515789260566</v>
      </c>
      <c r="H140" s="406">
        <f>G140-'C) Prél. conj.'!I140</f>
        <v>25.478649831898323</v>
      </c>
      <c r="I140" s="410">
        <f t="shared" si="10"/>
        <v>0</v>
      </c>
      <c r="J140" s="55">
        <f t="shared" si="11"/>
        <v>0</v>
      </c>
      <c r="K140" s="406">
        <f t="shared" si="12"/>
        <v>25.478649831898323</v>
      </c>
      <c r="L140" s="436"/>
    </row>
    <row r="141" spans="1:12" x14ac:dyDescent="0.25">
      <c r="A141" s="49">
        <f>'A) Base RI'!A142</f>
        <v>5633</v>
      </c>
      <c r="B141" s="286" t="str">
        <f>'A) Base RI'!B142</f>
        <v>Echandens</v>
      </c>
      <c r="C141" s="95">
        <f>'B) D RI'!U142</f>
        <v>170287.16859504132</v>
      </c>
      <c r="D141" s="405">
        <f>'E) PCS'!G147/C141</f>
        <v>16.973418605885243</v>
      </c>
      <c r="E141" s="136">
        <f>'H) Péréquation directe'!I151/C141</f>
        <v>14.438920866282775</v>
      </c>
      <c r="F141" s="405"/>
      <c r="G141" s="136">
        <f t="shared" si="9"/>
        <v>31.412339472168018</v>
      </c>
      <c r="H141" s="406">
        <f>G141-'C) Prél. conj.'!I141</f>
        <v>29.504503005801048</v>
      </c>
      <c r="I141" s="410">
        <f t="shared" si="10"/>
        <v>0</v>
      </c>
      <c r="J141" s="55">
        <f t="shared" si="11"/>
        <v>0</v>
      </c>
      <c r="K141" s="406">
        <f t="shared" si="12"/>
        <v>29.504503005801048</v>
      </c>
      <c r="L141" s="436"/>
    </row>
    <row r="142" spans="1:12" x14ac:dyDescent="0.25">
      <c r="A142" s="49">
        <f>'A) Base RI'!A143</f>
        <v>5634</v>
      </c>
      <c r="B142" s="286" t="str">
        <f>'A) Base RI'!B143</f>
        <v>Echichens</v>
      </c>
      <c r="C142" s="95">
        <f>'B) D RI'!U143</f>
        <v>152568.89227272727</v>
      </c>
      <c r="D142" s="405">
        <f>'E) PCS'!G148/C142</f>
        <v>15.778345246336775</v>
      </c>
      <c r="E142" s="136">
        <f>'H) Péréquation directe'!I152/C142</f>
        <v>12.951466141447812</v>
      </c>
      <c r="F142" s="405"/>
      <c r="G142" s="136">
        <f t="shared" si="9"/>
        <v>28.729811387784586</v>
      </c>
      <c r="H142" s="406">
        <f>G142-'C) Prél. conj.'!I142</f>
        <v>25.18082229220871</v>
      </c>
      <c r="I142" s="410">
        <f t="shared" si="10"/>
        <v>0</v>
      </c>
      <c r="J142" s="55">
        <f t="shared" si="11"/>
        <v>0</v>
      </c>
      <c r="K142" s="406">
        <f t="shared" si="12"/>
        <v>25.18082229220871</v>
      </c>
      <c r="L142" s="436"/>
    </row>
    <row r="143" spans="1:12" x14ac:dyDescent="0.25">
      <c r="A143" s="49">
        <f>'A) Base RI'!A144</f>
        <v>5635</v>
      </c>
      <c r="B143" s="286" t="str">
        <f>'A) Base RI'!B144</f>
        <v>Ecublens</v>
      </c>
      <c r="C143" s="95">
        <f>'B) D RI'!U144</f>
        <v>872367.07997333352</v>
      </c>
      <c r="D143" s="405">
        <f>'E) PCS'!G149/C143</f>
        <v>18.697282831165673</v>
      </c>
      <c r="E143" s="136">
        <f>'H) Péréquation directe'!I153/C143</f>
        <v>9.6729906414321025</v>
      </c>
      <c r="F143" s="405"/>
      <c r="G143" s="136">
        <f t="shared" si="9"/>
        <v>28.370273472597773</v>
      </c>
      <c r="H143" s="406">
        <f>G143-'C) Prél. conj.'!I143</f>
        <v>25.946056140755488</v>
      </c>
      <c r="I143" s="410">
        <f t="shared" si="10"/>
        <v>0</v>
      </c>
      <c r="J143" s="55">
        <f t="shared" si="11"/>
        <v>0</v>
      </c>
      <c r="K143" s="406">
        <f t="shared" si="12"/>
        <v>25.946056140755488</v>
      </c>
      <c r="L143" s="436"/>
    </row>
    <row r="144" spans="1:12" x14ac:dyDescent="0.25">
      <c r="A144" s="49">
        <f>'A) Base RI'!A145</f>
        <v>5636</v>
      </c>
      <c r="B144" s="286" t="str">
        <f>'A) Base RI'!B145</f>
        <v>Etoy</v>
      </c>
      <c r="C144" s="95">
        <f>'B) D RI'!U145</f>
        <v>187063.54000000004</v>
      </c>
      <c r="D144" s="405">
        <f>'E) PCS'!G150/C144</f>
        <v>21.622747657293207</v>
      </c>
      <c r="E144" s="136">
        <f>'H) Péréquation directe'!I154/C144</f>
        <v>14.564129253184877</v>
      </c>
      <c r="F144" s="405"/>
      <c r="G144" s="136">
        <f t="shared" si="9"/>
        <v>36.186876910478084</v>
      </c>
      <c r="H144" s="406">
        <f>G144-'C) Prél. conj.'!I144</f>
        <v>30.254044061276151</v>
      </c>
      <c r="I144" s="410">
        <f t="shared" si="10"/>
        <v>0</v>
      </c>
      <c r="J144" s="55">
        <f t="shared" si="11"/>
        <v>0</v>
      </c>
      <c r="K144" s="406">
        <f t="shared" si="12"/>
        <v>30.254044061276151</v>
      </c>
      <c r="L144" s="436"/>
    </row>
    <row r="145" spans="1:12" x14ac:dyDescent="0.25">
      <c r="A145" s="49">
        <f>'A) Base RI'!A146</f>
        <v>5637</v>
      </c>
      <c r="B145" s="286" t="str">
        <f>'A) Base RI'!B146</f>
        <v>Lavigny</v>
      </c>
      <c r="C145" s="95">
        <f>'B) D RI'!U146</f>
        <v>37900.997397260275</v>
      </c>
      <c r="D145" s="405">
        <f>'E) PCS'!G151/C145</f>
        <v>18.624151033660191</v>
      </c>
      <c r="E145" s="136">
        <f>'H) Péréquation directe'!I155/C145</f>
        <v>8.6591194172133861</v>
      </c>
      <c r="F145" s="405"/>
      <c r="G145" s="136">
        <f t="shared" si="9"/>
        <v>27.283270450873577</v>
      </c>
      <c r="H145" s="406">
        <f>G145-'C) Prél. conj.'!I145</f>
        <v>20.852456046564029</v>
      </c>
      <c r="I145" s="410">
        <f t="shared" si="10"/>
        <v>0</v>
      </c>
      <c r="J145" s="55">
        <f t="shared" si="11"/>
        <v>0</v>
      </c>
      <c r="K145" s="406">
        <f t="shared" si="12"/>
        <v>20.852456046564029</v>
      </c>
      <c r="L145" s="436"/>
    </row>
    <row r="146" spans="1:12" x14ac:dyDescent="0.25">
      <c r="A146" s="49">
        <f>'A) Base RI'!A147</f>
        <v>5638</v>
      </c>
      <c r="B146" s="286" t="str">
        <f>'A) Base RI'!B147</f>
        <v>Lonay</v>
      </c>
      <c r="C146" s="95">
        <f>'B) D RI'!U147</f>
        <v>174154.93872727267</v>
      </c>
      <c r="D146" s="405">
        <f>'E) PCS'!G152/C146</f>
        <v>39.48959968116808</v>
      </c>
      <c r="E146" s="136">
        <f>'H) Péréquation directe'!I156/C146</f>
        <v>14.584186547571729</v>
      </c>
      <c r="F146" s="405"/>
      <c r="G146" s="136">
        <f t="shared" si="9"/>
        <v>54.073786228739806</v>
      </c>
      <c r="H146" s="406">
        <f>G146-'C) Prél. conj.'!I146</f>
        <v>29.81456259790064</v>
      </c>
      <c r="I146" s="410">
        <f t="shared" si="10"/>
        <v>0</v>
      </c>
      <c r="J146" s="55">
        <f t="shared" si="11"/>
        <v>0</v>
      </c>
      <c r="K146" s="406">
        <f t="shared" si="12"/>
        <v>29.81456259790064</v>
      </c>
      <c r="L146" s="436"/>
    </row>
    <row r="147" spans="1:12" x14ac:dyDescent="0.25">
      <c r="A147" s="49">
        <f>'A) Base RI'!A148</f>
        <v>5639</v>
      </c>
      <c r="B147" s="286" t="str">
        <f>'A) Base RI'!B148</f>
        <v>Lully</v>
      </c>
      <c r="C147" s="95">
        <f>'B) D RI'!U148</f>
        <v>53711.269344262299</v>
      </c>
      <c r="D147" s="405">
        <f>'E) PCS'!G153/C147</f>
        <v>17.720262833986368</v>
      </c>
      <c r="E147" s="136">
        <f>'H) Péréquation directe'!I157/C147</f>
        <v>16.88931382256408</v>
      </c>
      <c r="F147" s="405"/>
      <c r="G147" s="136">
        <f t="shared" si="9"/>
        <v>34.609576656550445</v>
      </c>
      <c r="H147" s="406">
        <f>G147-'C) Prél. conj.'!I147</f>
        <v>32.8106946681038</v>
      </c>
      <c r="I147" s="410">
        <f t="shared" si="10"/>
        <v>0</v>
      </c>
      <c r="J147" s="55">
        <f t="shared" si="11"/>
        <v>0</v>
      </c>
      <c r="K147" s="406">
        <f t="shared" si="12"/>
        <v>32.8106946681038</v>
      </c>
      <c r="L147" s="436"/>
    </row>
    <row r="148" spans="1:12" x14ac:dyDescent="0.25">
      <c r="A148" s="49">
        <f>'A) Base RI'!A149</f>
        <v>5640</v>
      </c>
      <c r="B148" s="286" t="str">
        <f>'A) Base RI'!B149</f>
        <v>Lussy-sur-Morges</v>
      </c>
      <c r="C148" s="95">
        <f>'B) D RI'!U149</f>
        <v>70527.814108527149</v>
      </c>
      <c r="D148" s="405">
        <f>'E) PCS'!G154/C148</f>
        <v>27.905953452009541</v>
      </c>
      <c r="E148" s="136">
        <f>'H) Péréquation directe'!I158/C148</f>
        <v>17.50350614354744</v>
      </c>
      <c r="F148" s="405"/>
      <c r="G148" s="136">
        <f t="shared" si="9"/>
        <v>45.409459595556982</v>
      </c>
      <c r="H148" s="406">
        <f>G148-'C) Prél. conj.'!I148</f>
        <v>40.093961097005419</v>
      </c>
      <c r="I148" s="410">
        <f t="shared" si="10"/>
        <v>0</v>
      </c>
      <c r="J148" s="55">
        <f t="shared" si="11"/>
        <v>0</v>
      </c>
      <c r="K148" s="406">
        <f t="shared" si="12"/>
        <v>40.093961097005419</v>
      </c>
      <c r="L148" s="436"/>
    </row>
    <row r="149" spans="1:12" x14ac:dyDescent="0.25">
      <c r="A149" s="49">
        <f>'A) Base RI'!A150</f>
        <v>5642</v>
      </c>
      <c r="B149" s="286" t="str">
        <f>'A) Base RI'!B150</f>
        <v>Morges</v>
      </c>
      <c r="C149" s="95">
        <f>'B) D RI'!U150</f>
        <v>999726.82119402988</v>
      </c>
      <c r="D149" s="405">
        <f>'E) PCS'!G155/C149</f>
        <v>17.886433142033699</v>
      </c>
      <c r="E149" s="136">
        <f>'H) Péréquation directe'!I159/C149</f>
        <v>7.0786015078014932</v>
      </c>
      <c r="F149" s="405"/>
      <c r="G149" s="136">
        <f t="shared" si="9"/>
        <v>24.965034649835193</v>
      </c>
      <c r="H149" s="406">
        <f>G149-'C) Prél. conj.'!I149</f>
        <v>21.836459969539643</v>
      </c>
      <c r="I149" s="410">
        <f t="shared" si="10"/>
        <v>0</v>
      </c>
      <c r="J149" s="55">
        <f t="shared" si="11"/>
        <v>0</v>
      </c>
      <c r="K149" s="406">
        <f t="shared" si="12"/>
        <v>21.836459969539643</v>
      </c>
      <c r="L149" s="436"/>
    </row>
    <row r="150" spans="1:12" x14ac:dyDescent="0.25">
      <c r="A150" s="49">
        <f>'A) Base RI'!A151</f>
        <v>5643</v>
      </c>
      <c r="B150" s="286" t="str">
        <f>'A) Base RI'!B151</f>
        <v>Préverenges</v>
      </c>
      <c r="C150" s="95">
        <f>'B) D RI'!U151</f>
        <v>257752.82112000001</v>
      </c>
      <c r="D150" s="405">
        <f>'E) PCS'!G156/C150</f>
        <v>14.406781417366787</v>
      </c>
      <c r="E150" s="136">
        <f>'H) Péréquation directe'!I160/C150</f>
        <v>11.263015403508717</v>
      </c>
      <c r="F150" s="405"/>
      <c r="G150" s="136">
        <f t="shared" si="9"/>
        <v>25.669796820875504</v>
      </c>
      <c r="H150" s="406">
        <f>G150-'C) Prél. conj.'!I150</f>
        <v>23.725670107450689</v>
      </c>
      <c r="I150" s="410">
        <f t="shared" si="10"/>
        <v>0</v>
      </c>
      <c r="J150" s="55">
        <f t="shared" si="11"/>
        <v>0</v>
      </c>
      <c r="K150" s="406">
        <f t="shared" si="12"/>
        <v>23.725670107450689</v>
      </c>
      <c r="L150" s="436"/>
    </row>
    <row r="151" spans="1:12" x14ac:dyDescent="0.25">
      <c r="A151" s="49">
        <f>'A) Base RI'!A152</f>
        <v>5644</v>
      </c>
      <c r="B151" s="286" t="str">
        <f>'A) Base RI'!B152</f>
        <v>Reverolle</v>
      </c>
      <c r="C151" s="95">
        <f>'B) D RI'!U152</f>
        <v>16363.457972972968</v>
      </c>
      <c r="D151" s="405">
        <f>'E) PCS'!G157/C151</f>
        <v>13.513809052458793</v>
      </c>
      <c r="E151" s="136">
        <f>'H) Péréquation directe'!I161/C151</f>
        <v>11.52402027879182</v>
      </c>
      <c r="F151" s="405"/>
      <c r="G151" s="136">
        <f t="shared" si="9"/>
        <v>25.037829331250613</v>
      </c>
      <c r="H151" s="406">
        <f>G151-'C) Prél. conj.'!I151</f>
        <v>23.717356908142463</v>
      </c>
      <c r="I151" s="410">
        <f t="shared" si="10"/>
        <v>0</v>
      </c>
      <c r="J151" s="55">
        <f t="shared" si="11"/>
        <v>0</v>
      </c>
      <c r="K151" s="406">
        <f t="shared" si="12"/>
        <v>23.717356908142463</v>
      </c>
      <c r="L151" s="436"/>
    </row>
    <row r="152" spans="1:12" x14ac:dyDescent="0.25">
      <c r="A152" s="49">
        <f>'A) Base RI'!A153</f>
        <v>5645</v>
      </c>
      <c r="B152" s="286" t="str">
        <f>'A) Base RI'!B153</f>
        <v>Romanel-sur-Morges</v>
      </c>
      <c r="C152" s="95">
        <f>'B) D RI'!U153</f>
        <v>26586.021785714285</v>
      </c>
      <c r="D152" s="405">
        <f>'E) PCS'!G158/C152</f>
        <v>18.151426346175636</v>
      </c>
      <c r="E152" s="136">
        <f>'H) Péréquation directe'!I162/C152</f>
        <v>16.625813996906057</v>
      </c>
      <c r="F152" s="405"/>
      <c r="G152" s="136">
        <f t="shared" si="9"/>
        <v>34.777240343081694</v>
      </c>
      <c r="H152" s="406">
        <f>G152-'C) Prél. conj.'!I152</f>
        <v>30.512584054380252</v>
      </c>
      <c r="I152" s="410">
        <f t="shared" si="10"/>
        <v>0</v>
      </c>
      <c r="J152" s="55">
        <f t="shared" si="11"/>
        <v>0</v>
      </c>
      <c r="K152" s="406">
        <f t="shared" si="12"/>
        <v>30.512584054380252</v>
      </c>
      <c r="L152" s="436"/>
    </row>
    <row r="153" spans="1:12" x14ac:dyDescent="0.25">
      <c r="A153" s="49">
        <f>'A) Base RI'!A154</f>
        <v>5646</v>
      </c>
      <c r="B153" s="286" t="str">
        <f>'A) Base RI'!B154</f>
        <v>Saint-Prex</v>
      </c>
      <c r="C153" s="95">
        <f>'B) D RI'!U154</f>
        <v>527982.74983050849</v>
      </c>
      <c r="D153" s="405">
        <f>'E) PCS'!G159/C153</f>
        <v>24.508811886188578</v>
      </c>
      <c r="E153" s="136">
        <f>'H) Péréquation directe'!I163/C153</f>
        <v>14.380666109423871</v>
      </c>
      <c r="F153" s="405"/>
      <c r="G153" s="136">
        <f t="shared" si="9"/>
        <v>38.889477995612452</v>
      </c>
      <c r="H153" s="406">
        <f>G153-'C) Prél. conj.'!I153</f>
        <v>35.254810659196544</v>
      </c>
      <c r="I153" s="410">
        <f t="shared" si="10"/>
        <v>0</v>
      </c>
      <c r="J153" s="55">
        <f t="shared" si="11"/>
        <v>0</v>
      </c>
      <c r="K153" s="406">
        <f t="shared" si="12"/>
        <v>35.254810659196544</v>
      </c>
      <c r="L153" s="436"/>
    </row>
    <row r="154" spans="1:12" x14ac:dyDescent="0.25">
      <c r="A154" s="49">
        <f>'A) Base RI'!A155</f>
        <v>5648</v>
      </c>
      <c r="B154" s="286" t="str">
        <f>'A) Base RI'!B155</f>
        <v>Saint-Sulpice</v>
      </c>
      <c r="C154" s="95">
        <f>'B) D RI'!U155</f>
        <v>394426.68886363629</v>
      </c>
      <c r="D154" s="405">
        <f>'E) PCS'!G160/C154</f>
        <v>22.351472357095755</v>
      </c>
      <c r="E154" s="136">
        <f>'H) Péréquation directe'!I164/C154</f>
        <v>14.280775106836373</v>
      </c>
      <c r="F154" s="405"/>
      <c r="G154" s="136">
        <f t="shared" si="9"/>
        <v>36.632247463932131</v>
      </c>
      <c r="H154" s="406">
        <f>G154-'C) Prél. conj.'!I154</f>
        <v>32.821369543042593</v>
      </c>
      <c r="I154" s="410">
        <f t="shared" si="10"/>
        <v>0</v>
      </c>
      <c r="J154" s="55">
        <f t="shared" si="11"/>
        <v>0</v>
      </c>
      <c r="K154" s="406">
        <f t="shared" si="12"/>
        <v>32.821369543042593</v>
      </c>
      <c r="L154" s="436"/>
    </row>
    <row r="155" spans="1:12" x14ac:dyDescent="0.25">
      <c r="A155" s="49">
        <f>'A) Base RI'!A156</f>
        <v>5649</v>
      </c>
      <c r="B155" s="286" t="str">
        <f>'A) Base RI'!B156</f>
        <v>Tolochenaz</v>
      </c>
      <c r="C155" s="95">
        <f>'B) D RI'!U156</f>
        <v>155778.42171874997</v>
      </c>
      <c r="D155" s="405">
        <f>'E) PCS'!G161/C155</f>
        <v>22.373684573110467</v>
      </c>
      <c r="E155" s="136">
        <f>'H) Péréquation directe'!I165/C155</f>
        <v>16.024956624262678</v>
      </c>
      <c r="F155" s="405"/>
      <c r="G155" s="136">
        <f t="shared" si="9"/>
        <v>38.398641197373145</v>
      </c>
      <c r="H155" s="406">
        <f>G155-'C) Prél. conj.'!I155</f>
        <v>36.182892564207641</v>
      </c>
      <c r="I155" s="410">
        <f t="shared" si="10"/>
        <v>0</v>
      </c>
      <c r="J155" s="55">
        <f t="shared" si="11"/>
        <v>0</v>
      </c>
      <c r="K155" s="406">
        <f t="shared" si="12"/>
        <v>36.182892564207641</v>
      </c>
      <c r="L155" s="436"/>
    </row>
    <row r="156" spans="1:12" x14ac:dyDescent="0.25">
      <c r="A156" s="49">
        <f>'A) Base RI'!A157</f>
        <v>5650</v>
      </c>
      <c r="B156" s="286" t="str">
        <f>'A) Base RI'!B157</f>
        <v>Vaux-sur-Morges</v>
      </c>
      <c r="C156" s="95">
        <f>'B) D RI'!U157</f>
        <v>83125.71642857141</v>
      </c>
      <c r="D156" s="405">
        <f>'E) PCS'!G162/C156</f>
        <v>47.193153871947295</v>
      </c>
      <c r="E156" s="136">
        <f>'H) Péréquation directe'!I166/C156</f>
        <v>18.518265257115612</v>
      </c>
      <c r="F156" s="405"/>
      <c r="G156" s="136">
        <f t="shared" si="9"/>
        <v>65.711419129062904</v>
      </c>
      <c r="H156" s="406">
        <f>G156-'C) Prél. conj.'!I156</f>
        <v>58.109290844935458</v>
      </c>
      <c r="I156" s="410">
        <f t="shared" si="10"/>
        <v>-10.109290844935458</v>
      </c>
      <c r="J156" s="55">
        <f t="shared" si="11"/>
        <v>-840342.04407005792</v>
      </c>
      <c r="K156" s="406">
        <f t="shared" si="12"/>
        <v>48</v>
      </c>
      <c r="L156" s="436"/>
    </row>
    <row r="157" spans="1:12" x14ac:dyDescent="0.25">
      <c r="A157" s="49">
        <f>'A) Base RI'!A158</f>
        <v>5651</v>
      </c>
      <c r="B157" s="286" t="str">
        <f>'A) Base RI'!B158</f>
        <v>Villars-Sainte-Croix</v>
      </c>
      <c r="C157" s="95">
        <f>'B) D RI'!U158</f>
        <v>57697.031735537188</v>
      </c>
      <c r="D157" s="405">
        <f>'E) PCS'!G163/C157</f>
        <v>17.302730017727754</v>
      </c>
      <c r="E157" s="136">
        <f>'H) Péréquation directe'!I167/C157</f>
        <v>16.741085864061731</v>
      </c>
      <c r="F157" s="405"/>
      <c r="G157" s="136">
        <f t="shared" si="9"/>
        <v>34.043815881789484</v>
      </c>
      <c r="H157" s="406">
        <f>G157-'C) Prél. conj.'!I157</f>
        <v>31.51793949584297</v>
      </c>
      <c r="I157" s="410">
        <f t="shared" si="10"/>
        <v>0</v>
      </c>
      <c r="J157" s="55">
        <f t="shared" si="11"/>
        <v>0</v>
      </c>
      <c r="K157" s="406">
        <f t="shared" si="12"/>
        <v>31.51793949584297</v>
      </c>
      <c r="L157" s="436"/>
    </row>
    <row r="158" spans="1:12" x14ac:dyDescent="0.25">
      <c r="A158" s="49">
        <f>'A) Base RI'!A159</f>
        <v>5652</v>
      </c>
      <c r="B158" s="286" t="str">
        <f>'A) Base RI'!B159</f>
        <v>Villars-sous-Yens</v>
      </c>
      <c r="C158" s="95">
        <f>'B) D RI'!U159</f>
        <v>25902.630833333329</v>
      </c>
      <c r="D158" s="405">
        <f>'E) PCS'!G164/C158</f>
        <v>13.37021805101576</v>
      </c>
      <c r="E158" s="136">
        <f>'H) Péréquation directe'!I168/C158</f>
        <v>11.865470793962155</v>
      </c>
      <c r="F158" s="405"/>
      <c r="G158" s="136">
        <f t="shared" si="9"/>
        <v>25.235688844977915</v>
      </c>
      <c r="H158" s="406">
        <f>G158-'C) Prél. conj.'!I158</f>
        <v>24.0588074233128</v>
      </c>
      <c r="I158" s="410">
        <f t="shared" si="10"/>
        <v>0</v>
      </c>
      <c r="J158" s="55">
        <f t="shared" si="11"/>
        <v>0</v>
      </c>
      <c r="K158" s="406">
        <f t="shared" si="12"/>
        <v>24.0588074233128</v>
      </c>
      <c r="L158" s="436"/>
    </row>
    <row r="159" spans="1:12" x14ac:dyDescent="0.25">
      <c r="A159" s="49">
        <f>'A) Base RI'!A160</f>
        <v>5653</v>
      </c>
      <c r="B159" s="286" t="str">
        <f>'A) Base RI'!B160</f>
        <v>Vufflens-le-Château</v>
      </c>
      <c r="C159" s="95">
        <f>'B) D RI'!U160</f>
        <v>67496.149401709394</v>
      </c>
      <c r="D159" s="405">
        <f>'E) PCS'!G165/C159</f>
        <v>20.426649033306742</v>
      </c>
      <c r="E159" s="136">
        <f>'H) Péréquation directe'!I169/C159</f>
        <v>17.160087816365575</v>
      </c>
      <c r="F159" s="405"/>
      <c r="G159" s="136">
        <f t="shared" si="9"/>
        <v>37.58673684967232</v>
      </c>
      <c r="H159" s="406">
        <f>G159-'C) Prél. conj.'!I159</f>
        <v>35.11802276039451</v>
      </c>
      <c r="I159" s="410">
        <f t="shared" si="10"/>
        <v>0</v>
      </c>
      <c r="J159" s="55">
        <f t="shared" si="11"/>
        <v>0</v>
      </c>
      <c r="K159" s="406">
        <f t="shared" si="12"/>
        <v>35.11802276039451</v>
      </c>
      <c r="L159" s="436"/>
    </row>
    <row r="160" spans="1:12" x14ac:dyDescent="0.25">
      <c r="A160" s="49">
        <f>'A) Base RI'!A161</f>
        <v>5654</v>
      </c>
      <c r="B160" s="286" t="str">
        <f>'A) Base RI'!B161</f>
        <v>Vullierens</v>
      </c>
      <c r="C160" s="95">
        <f>'B) D RI'!U161</f>
        <v>20665.692500000001</v>
      </c>
      <c r="D160" s="405">
        <f>'E) PCS'!G166/C160</f>
        <v>16.378333817322929</v>
      </c>
      <c r="E160" s="136">
        <f>'H) Péréquation directe'!I170/C160</f>
        <v>8.2234755940272954</v>
      </c>
      <c r="F160" s="405"/>
      <c r="G160" s="136">
        <f t="shared" si="9"/>
        <v>24.601809411350224</v>
      </c>
      <c r="H160" s="406">
        <f>G160-'C) Prél. conj.'!I160</f>
        <v>20.416812223377939</v>
      </c>
      <c r="I160" s="410">
        <f t="shared" si="10"/>
        <v>0</v>
      </c>
      <c r="J160" s="55">
        <f t="shared" si="11"/>
        <v>0</v>
      </c>
      <c r="K160" s="406">
        <f t="shared" si="12"/>
        <v>20.416812223377939</v>
      </c>
      <c r="L160" s="436"/>
    </row>
    <row r="161" spans="1:12" x14ac:dyDescent="0.25">
      <c r="A161" s="49">
        <f>'A) Base RI'!A162</f>
        <v>5655</v>
      </c>
      <c r="B161" s="286" t="str">
        <f>'A) Base RI'!B162</f>
        <v>Yens</v>
      </c>
      <c r="C161" s="95">
        <f>'B) D RI'!U162</f>
        <v>73454.856083916078</v>
      </c>
      <c r="D161" s="405">
        <f>'E) PCS'!G167/C161</f>
        <v>13.432350813701047</v>
      </c>
      <c r="E161" s="136">
        <f>'H) Péréquation directe'!I171/C161</f>
        <v>14.741238219639367</v>
      </c>
      <c r="F161" s="405"/>
      <c r="G161" s="136">
        <f t="shared" si="9"/>
        <v>28.173589033340413</v>
      </c>
      <c r="H161" s="406">
        <f>G161-'C) Prél. conj.'!I161</f>
        <v>27.103009575528105</v>
      </c>
      <c r="I161" s="410">
        <f t="shared" si="10"/>
        <v>0</v>
      </c>
      <c r="J161" s="55">
        <f t="shared" si="11"/>
        <v>0</v>
      </c>
      <c r="K161" s="406">
        <f t="shared" si="12"/>
        <v>27.103009575528105</v>
      </c>
      <c r="L161" s="436"/>
    </row>
    <row r="162" spans="1:12" x14ac:dyDescent="0.25">
      <c r="A162" s="49">
        <f>'A) Base RI'!A163</f>
        <v>5661</v>
      </c>
      <c r="B162" s="286" t="str">
        <f>'A) Base RI'!B163</f>
        <v>Boulens</v>
      </c>
      <c r="C162" s="95">
        <f>'B) D RI'!U163</f>
        <v>11226.588951048951</v>
      </c>
      <c r="D162" s="405">
        <f>'E) PCS'!G168/C162</f>
        <v>14.838695796724908</v>
      </c>
      <c r="E162" s="136">
        <f>'H) Péréquation directe'!I172/C162</f>
        <v>2.4236463346543089</v>
      </c>
      <c r="F162" s="405"/>
      <c r="G162" s="136">
        <f t="shared" si="9"/>
        <v>17.262342131379217</v>
      </c>
      <c r="H162" s="406">
        <f>G162-'C) Prél. conj.'!I162</f>
        <v>14.616982964004951</v>
      </c>
      <c r="I162" s="410">
        <f t="shared" si="10"/>
        <v>0</v>
      </c>
      <c r="J162" s="55">
        <f t="shared" si="11"/>
        <v>0</v>
      </c>
      <c r="K162" s="406">
        <f t="shared" si="12"/>
        <v>14.616982964004951</v>
      </c>
      <c r="L162" s="436"/>
    </row>
    <row r="163" spans="1:12" x14ac:dyDescent="0.25">
      <c r="A163" s="49">
        <f>'A) Base RI'!A164</f>
        <v>5663</v>
      </c>
      <c r="B163" s="286" t="str">
        <f>'A) Base RI'!B164</f>
        <v>Bussy-sur-Moudon</v>
      </c>
      <c r="C163" s="95">
        <f>'B) D RI'!U164</f>
        <v>5263.6754140127387</v>
      </c>
      <c r="D163" s="405">
        <f>'E) PCS'!G169/C163</f>
        <v>14.589414276240568</v>
      </c>
      <c r="E163" s="136">
        <f>'H) Péréquation directe'!I173/C163</f>
        <v>-15.627767913520058</v>
      </c>
      <c r="F163" s="405"/>
      <c r="G163" s="136">
        <f t="shared" si="9"/>
        <v>-1.0383536372794904</v>
      </c>
      <c r="H163" s="406">
        <f>G163-'C) Prél. conj.'!I163</f>
        <v>-3.4344312841694165</v>
      </c>
      <c r="I163" s="410">
        <f t="shared" si="10"/>
        <v>0</v>
      </c>
      <c r="J163" s="55">
        <f t="shared" si="11"/>
        <v>0</v>
      </c>
      <c r="K163" s="406">
        <f t="shared" si="12"/>
        <v>-3.4344312841694165</v>
      </c>
      <c r="L163" s="436"/>
    </row>
    <row r="164" spans="1:12" x14ac:dyDescent="0.25">
      <c r="A164" s="49">
        <f>'A) Base RI'!A165</f>
        <v>5665</v>
      </c>
      <c r="B164" s="286" t="str">
        <f>'A) Base RI'!B165</f>
        <v>Chavannes-sur-Moudon</v>
      </c>
      <c r="C164" s="95">
        <f>'B) D RI'!U165</f>
        <v>4920.86942857143</v>
      </c>
      <c r="D164" s="405">
        <f>'E) PCS'!G170/C164</f>
        <v>13.278246537547469</v>
      </c>
      <c r="E164" s="136">
        <f>'H) Péréquation directe'!I174/C164</f>
        <v>-10.017626778385774</v>
      </c>
      <c r="F164" s="405"/>
      <c r="G164" s="136">
        <f t="shared" si="9"/>
        <v>3.2606197591616954</v>
      </c>
      <c r="H164" s="406">
        <f>G164-'C) Prél. conj.'!I164</f>
        <v>2.1757098509648691</v>
      </c>
      <c r="I164" s="410">
        <f t="shared" si="10"/>
        <v>0</v>
      </c>
      <c r="J164" s="55">
        <f t="shared" si="11"/>
        <v>0</v>
      </c>
      <c r="K164" s="406">
        <f t="shared" si="12"/>
        <v>2.1757098509648691</v>
      </c>
      <c r="L164" s="436"/>
    </row>
    <row r="165" spans="1:12" x14ac:dyDescent="0.25">
      <c r="A165" s="49">
        <f>'A) Base RI'!A166</f>
        <v>5669</v>
      </c>
      <c r="B165" s="286" t="str">
        <f>'A) Base RI'!B166</f>
        <v>Curtilles</v>
      </c>
      <c r="C165" s="95">
        <f>'B) D RI'!U166</f>
        <v>9338.3773972602739</v>
      </c>
      <c r="D165" s="405">
        <f>'E) PCS'!G171/C165</f>
        <v>16.992840129085973</v>
      </c>
      <c r="E165" s="136">
        <f>'H) Péréquation directe'!I175/C165</f>
        <v>3.4637700364081461</v>
      </c>
      <c r="F165" s="405"/>
      <c r="G165" s="136">
        <f t="shared" si="9"/>
        <v>20.456610165494119</v>
      </c>
      <c r="H165" s="406">
        <f>G165-'C) Prél. conj.'!I165</f>
        <v>15.657106665758789</v>
      </c>
      <c r="I165" s="410">
        <f t="shared" si="10"/>
        <v>0</v>
      </c>
      <c r="J165" s="55">
        <f t="shared" si="11"/>
        <v>0</v>
      </c>
      <c r="K165" s="406">
        <f t="shared" si="12"/>
        <v>15.657106665758789</v>
      </c>
      <c r="L165" s="436"/>
    </row>
    <row r="166" spans="1:12" x14ac:dyDescent="0.25">
      <c r="A166" s="49">
        <f>'A) Base RI'!A167</f>
        <v>5671</v>
      </c>
      <c r="B166" s="286" t="str">
        <f>'A) Base RI'!B167</f>
        <v>Dompierre</v>
      </c>
      <c r="C166" s="95">
        <f>'B) D RI'!U167</f>
        <v>6463.9784615384606</v>
      </c>
      <c r="D166" s="405">
        <f>'E) PCS'!G172/C166</f>
        <v>20.453465483073973</v>
      </c>
      <c r="E166" s="136">
        <f>'H) Péréquation directe'!I176/C166</f>
        <v>-6.4334121300259381</v>
      </c>
      <c r="F166" s="405"/>
      <c r="G166" s="136">
        <f t="shared" si="9"/>
        <v>14.020053353048034</v>
      </c>
      <c r="H166" s="406">
        <f>G166-'C) Prél. conj.'!I166</f>
        <v>5.7599244993247005</v>
      </c>
      <c r="I166" s="410">
        <f t="shared" si="10"/>
        <v>0</v>
      </c>
      <c r="J166" s="55">
        <f t="shared" si="11"/>
        <v>0</v>
      </c>
      <c r="K166" s="406">
        <f t="shared" si="12"/>
        <v>5.7599244993247005</v>
      </c>
      <c r="L166" s="436"/>
    </row>
    <row r="167" spans="1:12" x14ac:dyDescent="0.25">
      <c r="A167" s="49">
        <f>'A) Base RI'!A168</f>
        <v>5673</v>
      </c>
      <c r="B167" s="286" t="str">
        <f>'A) Base RI'!B168</f>
        <v>Hermenches</v>
      </c>
      <c r="C167" s="95">
        <f>'B) D RI'!U168</f>
        <v>10227.431292517007</v>
      </c>
      <c r="D167" s="405">
        <f>'E) PCS'!G173/C167</f>
        <v>12.708058737907036</v>
      </c>
      <c r="E167" s="136">
        <f>'H) Péréquation directe'!I177/C167</f>
        <v>-2.0507345201704572</v>
      </c>
      <c r="F167" s="405"/>
      <c r="G167" s="136">
        <f t="shared" si="9"/>
        <v>10.65732421773658</v>
      </c>
      <c r="H167" s="406">
        <f>G167-'C) Prél. conj.'!I167</f>
        <v>10.142602109180185</v>
      </c>
      <c r="I167" s="410">
        <f t="shared" si="10"/>
        <v>0</v>
      </c>
      <c r="J167" s="55">
        <f t="shared" si="11"/>
        <v>0</v>
      </c>
      <c r="K167" s="406">
        <f t="shared" si="12"/>
        <v>10.142602109180185</v>
      </c>
      <c r="L167" s="436"/>
    </row>
    <row r="168" spans="1:12" x14ac:dyDescent="0.25">
      <c r="A168" s="49">
        <f>'A) Base RI'!A169</f>
        <v>5674</v>
      </c>
      <c r="B168" s="286" t="str">
        <f>'A) Base RI'!B169</f>
        <v>Lovatens</v>
      </c>
      <c r="C168" s="95">
        <f>'B) D RI'!U169</f>
        <v>4217.2714666666661</v>
      </c>
      <c r="D168" s="405">
        <f>'E) PCS'!G174/C168</f>
        <v>16.699081670947209</v>
      </c>
      <c r="E168" s="136">
        <f>'H) Péréquation directe'!I178/C168</f>
        <v>-0.71548228046924811</v>
      </c>
      <c r="F168" s="405"/>
      <c r="G168" s="136">
        <f t="shared" si="9"/>
        <v>15.983599390477961</v>
      </c>
      <c r="H168" s="406">
        <f>G168-'C) Prél. conj.'!I168</f>
        <v>11.477854348881397</v>
      </c>
      <c r="I168" s="410">
        <f t="shared" si="10"/>
        <v>0</v>
      </c>
      <c r="J168" s="55">
        <f t="shared" si="11"/>
        <v>0</v>
      </c>
      <c r="K168" s="406">
        <f t="shared" si="12"/>
        <v>11.477854348881397</v>
      </c>
      <c r="L168" s="436"/>
    </row>
    <row r="169" spans="1:12" x14ac:dyDescent="0.25">
      <c r="A169" s="49">
        <f>'A) Base RI'!A170</f>
        <v>5675</v>
      </c>
      <c r="B169" s="286" t="str">
        <f>'A) Base RI'!B170</f>
        <v>Lucens</v>
      </c>
      <c r="C169" s="95">
        <f>'B) D RI'!U170</f>
        <v>105170.58216835017</v>
      </c>
      <c r="D169" s="405">
        <f>'E) PCS'!G175/C169</f>
        <v>17.206532136398685</v>
      </c>
      <c r="E169" s="136">
        <f>'H) Péréquation directe'!I179/C169</f>
        <v>-13.988451299240499</v>
      </c>
      <c r="F169" s="405"/>
      <c r="G169" s="136">
        <f t="shared" si="9"/>
        <v>3.2180808371581868</v>
      </c>
      <c r="H169" s="406">
        <f>G169-'C) Prél. conj.'!I169</f>
        <v>-1.7951146698898546</v>
      </c>
      <c r="I169" s="410">
        <f t="shared" si="10"/>
        <v>0</v>
      </c>
      <c r="J169" s="55">
        <f t="shared" si="11"/>
        <v>0</v>
      </c>
      <c r="K169" s="406">
        <f t="shared" si="12"/>
        <v>-1.7951146698898546</v>
      </c>
      <c r="L169" s="436"/>
    </row>
    <row r="170" spans="1:12" x14ac:dyDescent="0.25">
      <c r="A170" s="49">
        <f>'A) Base RI'!A171</f>
        <v>5678</v>
      </c>
      <c r="B170" s="286" t="str">
        <f>'A) Base RI'!B171</f>
        <v>Moudon</v>
      </c>
      <c r="C170" s="95">
        <f>'B) D RI'!U171</f>
        <v>124836.852</v>
      </c>
      <c r="D170" s="405">
        <f>'E) PCS'!G176/C170</f>
        <v>19.686188139255748</v>
      </c>
      <c r="E170" s="136">
        <f>'H) Péréquation directe'!I180/C170</f>
        <v>-30.01646904783312</v>
      </c>
      <c r="F170" s="405"/>
      <c r="G170" s="136">
        <f t="shared" si="9"/>
        <v>-10.330280908577372</v>
      </c>
      <c r="H170" s="406">
        <f>G170-'C) Prél. conj.'!I170</f>
        <v>-17.823132418482476</v>
      </c>
      <c r="I170" s="410">
        <f t="shared" si="10"/>
        <v>0</v>
      </c>
      <c r="J170" s="55">
        <f t="shared" si="11"/>
        <v>0</v>
      </c>
      <c r="K170" s="406">
        <f t="shared" si="12"/>
        <v>-17.823132418482476</v>
      </c>
      <c r="L170" s="436"/>
    </row>
    <row r="171" spans="1:12" x14ac:dyDescent="0.25">
      <c r="A171" s="49">
        <f>'A) Base RI'!A172</f>
        <v>5680</v>
      </c>
      <c r="B171" s="286" t="str">
        <f>'A) Base RI'!B172</f>
        <v>Ogens</v>
      </c>
      <c r="C171" s="95">
        <f>'B) D RI'!U172</f>
        <v>8501.5391880341886</v>
      </c>
      <c r="D171" s="405">
        <f>'E) PCS'!G177/C171</f>
        <v>15.144987435750371</v>
      </c>
      <c r="E171" s="136">
        <f>'H) Péréquation directe'!I181/C171</f>
        <v>-6.0437624382026414</v>
      </c>
      <c r="F171" s="405"/>
      <c r="G171" s="136">
        <f t="shared" si="9"/>
        <v>9.10122499754773</v>
      </c>
      <c r="H171" s="406">
        <f>G171-'C) Prél. conj.'!I171</f>
        <v>6.1495741911480026</v>
      </c>
      <c r="I171" s="410">
        <f t="shared" si="10"/>
        <v>0</v>
      </c>
      <c r="J171" s="55">
        <f t="shared" si="11"/>
        <v>0</v>
      </c>
      <c r="K171" s="406">
        <f t="shared" si="12"/>
        <v>6.1495741911480026</v>
      </c>
      <c r="L171" s="436"/>
    </row>
    <row r="172" spans="1:12" x14ac:dyDescent="0.25">
      <c r="A172" s="49">
        <f>'A) Base RI'!A173</f>
        <v>5683</v>
      </c>
      <c r="B172" s="286" t="str">
        <f>'A) Base RI'!B173</f>
        <v>Prévonloup</v>
      </c>
      <c r="C172" s="95">
        <f>'B) D RI'!U173</f>
        <v>5386.44</v>
      </c>
      <c r="D172" s="405">
        <f>'E) PCS'!G178/C172</f>
        <v>16.174454027855038</v>
      </c>
      <c r="E172" s="136">
        <f>'H) Péréquation directe'!I182/C172</f>
        <v>-5.766626597627849</v>
      </c>
      <c r="F172" s="405"/>
      <c r="G172" s="136">
        <f t="shared" si="9"/>
        <v>10.40782743022719</v>
      </c>
      <c r="H172" s="406">
        <f>G172-'C) Prél. conj.'!I172</f>
        <v>6.4267100317227968</v>
      </c>
      <c r="I172" s="410">
        <f t="shared" si="10"/>
        <v>0</v>
      </c>
      <c r="J172" s="55">
        <f t="shared" si="11"/>
        <v>0</v>
      </c>
      <c r="K172" s="406">
        <f t="shared" si="12"/>
        <v>6.4267100317227968</v>
      </c>
      <c r="L172" s="436"/>
    </row>
    <row r="173" spans="1:12" x14ac:dyDescent="0.25">
      <c r="A173" s="49">
        <f>'A) Base RI'!A174</f>
        <v>5684</v>
      </c>
      <c r="B173" s="286" t="str">
        <f>'A) Base RI'!B174</f>
        <v>Rossenges</v>
      </c>
      <c r="C173" s="95">
        <f>'B) D RI'!U174</f>
        <v>3253.4816666666666</v>
      </c>
      <c r="D173" s="405">
        <f>'E) PCS'!G179/C173</f>
        <v>12.193336629350643</v>
      </c>
      <c r="E173" s="136">
        <f>'H) Péréquation directe'!I183/C173</f>
        <v>6.6077853377057743</v>
      </c>
      <c r="F173" s="405"/>
      <c r="G173" s="136">
        <f t="shared" si="9"/>
        <v>18.801121967056417</v>
      </c>
      <c r="H173" s="406">
        <f>G173-'C) Prél. conj.'!I173</f>
        <v>18.801121967056417</v>
      </c>
      <c r="I173" s="410">
        <f t="shared" si="10"/>
        <v>0</v>
      </c>
      <c r="J173" s="55">
        <f t="shared" si="11"/>
        <v>0</v>
      </c>
      <c r="K173" s="406">
        <f t="shared" si="12"/>
        <v>18.801121967056417</v>
      </c>
      <c r="L173" s="436"/>
    </row>
    <row r="174" spans="1:12" x14ac:dyDescent="0.25">
      <c r="A174" s="49">
        <f>'A) Base RI'!A175</f>
        <v>5688</v>
      </c>
      <c r="B174" s="286" t="str">
        <f>'A) Base RI'!B175</f>
        <v>Syens</v>
      </c>
      <c r="C174" s="95">
        <f>'B) D RI'!U175</f>
        <v>6245.666153846154</v>
      </c>
      <c r="D174" s="405">
        <f>'E) PCS'!G180/C174</f>
        <v>14.273194835028276</v>
      </c>
      <c r="E174" s="136">
        <f>'H) Péréquation directe'!I184/C174</f>
        <v>11.403440838572196</v>
      </c>
      <c r="F174" s="405"/>
      <c r="G174" s="136">
        <f t="shared" si="9"/>
        <v>25.676635673600472</v>
      </c>
      <c r="H174" s="406">
        <f>G174-'C) Prél. conj.'!I174</f>
        <v>23.596777467922838</v>
      </c>
      <c r="I174" s="410">
        <f t="shared" si="10"/>
        <v>0</v>
      </c>
      <c r="J174" s="55">
        <f t="shared" si="11"/>
        <v>0</v>
      </c>
      <c r="K174" s="406">
        <f t="shared" si="12"/>
        <v>23.596777467922838</v>
      </c>
      <c r="L174" s="436"/>
    </row>
    <row r="175" spans="1:12" x14ac:dyDescent="0.25">
      <c r="A175" s="49">
        <f>'A) Base RI'!A176</f>
        <v>5690</v>
      </c>
      <c r="B175" s="286" t="str">
        <f>'A) Base RI'!B176</f>
        <v>Villars-le-Comte</v>
      </c>
      <c r="C175" s="95">
        <f>'B) D RI'!U176</f>
        <v>3510.0358095238093</v>
      </c>
      <c r="D175" s="405">
        <f>'E) PCS'!G181/C175</f>
        <v>14.958906705206063</v>
      </c>
      <c r="E175" s="136">
        <f>'H) Péréquation directe'!I185/C175</f>
        <v>-2.2664377215997904</v>
      </c>
      <c r="F175" s="405"/>
      <c r="G175" s="136">
        <f t="shared" si="9"/>
        <v>12.692468983606272</v>
      </c>
      <c r="H175" s="406">
        <f>G175-'C) Prél. conj.'!I175</f>
        <v>9.9268989077508518</v>
      </c>
      <c r="I175" s="410">
        <f t="shared" si="10"/>
        <v>0</v>
      </c>
      <c r="J175" s="55">
        <f t="shared" si="11"/>
        <v>0</v>
      </c>
      <c r="K175" s="406">
        <f t="shared" si="12"/>
        <v>9.9268989077508518</v>
      </c>
      <c r="L175" s="436"/>
    </row>
    <row r="176" spans="1:12" x14ac:dyDescent="0.25">
      <c r="A176" s="49">
        <f>'A) Base RI'!A177</f>
        <v>5692</v>
      </c>
      <c r="B176" s="286" t="str">
        <f>'A) Base RI'!B177</f>
        <v>Vucherens</v>
      </c>
      <c r="C176" s="95">
        <f>'B) D RI'!U177</f>
        <v>18793.189090909087</v>
      </c>
      <c r="D176" s="405">
        <f>'E) PCS'!G182/C176</f>
        <v>17.530249354212089</v>
      </c>
      <c r="E176" s="136">
        <f>'H) Péréquation directe'!I186/C176</f>
        <v>0.33192903792539663</v>
      </c>
      <c r="F176" s="405"/>
      <c r="G176" s="136">
        <f t="shared" si="9"/>
        <v>17.862178392137483</v>
      </c>
      <c r="H176" s="406">
        <f>G176-'C) Prél. conj.'!I176</f>
        <v>12.525265667276038</v>
      </c>
      <c r="I176" s="410">
        <f t="shared" si="10"/>
        <v>0</v>
      </c>
      <c r="J176" s="55">
        <f t="shared" si="11"/>
        <v>0</v>
      </c>
      <c r="K176" s="406">
        <f t="shared" si="12"/>
        <v>12.525265667276038</v>
      </c>
      <c r="L176" s="436"/>
    </row>
    <row r="177" spans="1:12" x14ac:dyDescent="0.25">
      <c r="A177" s="49">
        <f>'A) Base RI'!A178</f>
        <v>5693</v>
      </c>
      <c r="B177" s="286" t="str">
        <f>'A) Base RI'!B178</f>
        <v>Montanaire</v>
      </c>
      <c r="C177" s="95">
        <f>'B) D RI'!U178</f>
        <v>75690.162142857153</v>
      </c>
      <c r="D177" s="405">
        <f>'E) PCS'!G183/C177</f>
        <v>15.65125583034286</v>
      </c>
      <c r="E177" s="136">
        <f>'H) Péréquation directe'!I187/C177</f>
        <v>-6.0936029435807724</v>
      </c>
      <c r="F177" s="405"/>
      <c r="G177" s="136">
        <f t="shared" si="9"/>
        <v>9.5576528867620887</v>
      </c>
      <c r="H177" s="406">
        <f>G177-'C) Prél. conj.'!I177</f>
        <v>6.0997336857698716</v>
      </c>
      <c r="I177" s="410">
        <f t="shared" si="10"/>
        <v>0</v>
      </c>
      <c r="J177" s="55">
        <f t="shared" si="11"/>
        <v>0</v>
      </c>
      <c r="K177" s="406">
        <f t="shared" si="12"/>
        <v>6.0997336857698716</v>
      </c>
      <c r="L177" s="436"/>
    </row>
    <row r="178" spans="1:12" x14ac:dyDescent="0.25">
      <c r="A178" s="49">
        <f>'A) Base RI'!A179</f>
        <v>5701</v>
      </c>
      <c r="B178" s="286" t="str">
        <f>'A) Base RI'!B179</f>
        <v>Arnex-sur-Nyon</v>
      </c>
      <c r="C178" s="95">
        <f>'B) D RI'!U179</f>
        <v>14488.714857142857</v>
      </c>
      <c r="D178" s="405">
        <f>'E) PCS'!G184/C178</f>
        <v>21.911915762675289</v>
      </c>
      <c r="E178" s="136">
        <f>'H) Péréquation directe'!I188/C178</f>
        <v>16.866536299317051</v>
      </c>
      <c r="F178" s="405"/>
      <c r="G178" s="136">
        <f t="shared" si="9"/>
        <v>38.77845206199234</v>
      </c>
      <c r="H178" s="406">
        <f>G178-'C) Prél. conj.'!I178</f>
        <v>33.139898483879463</v>
      </c>
      <c r="I178" s="410">
        <f t="shared" si="10"/>
        <v>0</v>
      </c>
      <c r="J178" s="55">
        <f t="shared" si="11"/>
        <v>0</v>
      </c>
      <c r="K178" s="406">
        <f t="shared" si="12"/>
        <v>33.139898483879463</v>
      </c>
      <c r="L178" s="436"/>
    </row>
    <row r="179" spans="1:12" x14ac:dyDescent="0.25">
      <c r="A179" s="49">
        <f>'A) Base RI'!A180</f>
        <v>5702</v>
      </c>
      <c r="B179" s="286" t="str">
        <f>'A) Base RI'!B180</f>
        <v>Arzier-Le Muids</v>
      </c>
      <c r="C179" s="95">
        <f>'B) D RI'!U180</f>
        <v>174862.96255208339</v>
      </c>
      <c r="D179" s="405">
        <f>'E) PCS'!G185/C179</f>
        <v>19.004745558974712</v>
      </c>
      <c r="E179" s="136">
        <f>'H) Péréquation directe'!I189/C179</f>
        <v>14.209788845566624</v>
      </c>
      <c r="F179" s="405"/>
      <c r="G179" s="136">
        <f t="shared" si="9"/>
        <v>33.21453440454134</v>
      </c>
      <c r="H179" s="406">
        <f>G179-'C) Prél. conj.'!I179</f>
        <v>28.888934237640882</v>
      </c>
      <c r="I179" s="410">
        <f t="shared" si="10"/>
        <v>0</v>
      </c>
      <c r="J179" s="55">
        <f t="shared" si="11"/>
        <v>0</v>
      </c>
      <c r="K179" s="406">
        <f t="shared" si="12"/>
        <v>28.888934237640882</v>
      </c>
      <c r="L179" s="436"/>
    </row>
    <row r="180" spans="1:12" x14ac:dyDescent="0.25">
      <c r="A180" s="49">
        <f>'A) Base RI'!A181</f>
        <v>5703</v>
      </c>
      <c r="B180" s="286" t="str">
        <f>'A) Base RI'!B181</f>
        <v>Bassins</v>
      </c>
      <c r="C180" s="95">
        <f>'B) D RI'!U181</f>
        <v>66800.247822660094</v>
      </c>
      <c r="D180" s="405">
        <f>'E) PCS'!G186/C180</f>
        <v>15.919194513302561</v>
      </c>
      <c r="E180" s="136">
        <f>'H) Péréquation directe'!I190/C180</f>
        <v>12.760350836754432</v>
      </c>
      <c r="F180" s="405"/>
      <c r="G180" s="136">
        <f t="shared" si="9"/>
        <v>28.679545350056991</v>
      </c>
      <c r="H180" s="406">
        <f>G180-'C) Prél. conj.'!I180</f>
        <v>24.953687466105073</v>
      </c>
      <c r="I180" s="410">
        <f t="shared" si="10"/>
        <v>0</v>
      </c>
      <c r="J180" s="55">
        <f t="shared" si="11"/>
        <v>0</v>
      </c>
      <c r="K180" s="406">
        <f t="shared" si="12"/>
        <v>24.953687466105073</v>
      </c>
      <c r="L180" s="436"/>
    </row>
    <row r="181" spans="1:12" x14ac:dyDescent="0.25">
      <c r="A181" s="49">
        <f>'A) Base RI'!A182</f>
        <v>5704</v>
      </c>
      <c r="B181" s="286" t="str">
        <f>'A) Base RI'!B182</f>
        <v>Begnins</v>
      </c>
      <c r="C181" s="95">
        <f>'B) D RI'!U182</f>
        <v>202343.35360000003</v>
      </c>
      <c r="D181" s="405">
        <f>'E) PCS'!G187/C181</f>
        <v>25.57198154880172</v>
      </c>
      <c r="E181" s="136">
        <f>'H) Péréquation directe'!I191/C181</f>
        <v>16.571483829203714</v>
      </c>
      <c r="F181" s="405"/>
      <c r="G181" s="136">
        <f t="shared" si="9"/>
        <v>42.14346537800543</v>
      </c>
      <c r="H181" s="406">
        <f>G181-'C) Prél. conj.'!I181</f>
        <v>40.562808740119202</v>
      </c>
      <c r="I181" s="410">
        <f t="shared" si="10"/>
        <v>0</v>
      </c>
      <c r="J181" s="55">
        <f t="shared" si="11"/>
        <v>0</v>
      </c>
      <c r="K181" s="406">
        <f t="shared" si="12"/>
        <v>40.562808740119202</v>
      </c>
      <c r="L181" s="436"/>
    </row>
    <row r="182" spans="1:12" x14ac:dyDescent="0.25">
      <c r="A182" s="49">
        <f>'A) Base RI'!A183</f>
        <v>5705</v>
      </c>
      <c r="B182" s="286" t="str">
        <f>'A) Base RI'!B183</f>
        <v>Bogis-Bossey</v>
      </c>
      <c r="C182" s="95">
        <f>'B) D RI'!U183</f>
        <v>51953.338389261742</v>
      </c>
      <c r="D182" s="405">
        <f>'E) PCS'!G188/C182</f>
        <v>20.32023226990195</v>
      </c>
      <c r="E182" s="136">
        <f>'H) Péréquation directe'!I192/C182</f>
        <v>16.680172812625646</v>
      </c>
      <c r="F182" s="405"/>
      <c r="G182" s="136">
        <f t="shared" si="9"/>
        <v>37.000405082527593</v>
      </c>
      <c r="H182" s="406">
        <f>G182-'C) Prél. conj.'!I182</f>
        <v>31.491156805632265</v>
      </c>
      <c r="I182" s="410">
        <f t="shared" si="10"/>
        <v>0</v>
      </c>
      <c r="J182" s="55">
        <f t="shared" si="11"/>
        <v>0</v>
      </c>
      <c r="K182" s="406">
        <f t="shared" si="12"/>
        <v>31.491156805632265</v>
      </c>
      <c r="L182" s="436"/>
    </row>
    <row r="183" spans="1:12" x14ac:dyDescent="0.25">
      <c r="A183" s="49">
        <f>'A) Base RI'!A184</f>
        <v>5706</v>
      </c>
      <c r="B183" s="286" t="str">
        <f>'A) Base RI'!B184</f>
        <v>Borex</v>
      </c>
      <c r="C183" s="95">
        <f>'B) D RI'!U184</f>
        <v>71207.99596491229</v>
      </c>
      <c r="D183" s="405">
        <f>'E) PCS'!G189/C183</f>
        <v>17.132116924626949</v>
      </c>
      <c r="E183" s="136">
        <f>'H) Péréquation directe'!I193/C183</f>
        <v>16.251145099564127</v>
      </c>
      <c r="F183" s="405"/>
      <c r="G183" s="136">
        <f t="shared" si="9"/>
        <v>33.383262024191076</v>
      </c>
      <c r="H183" s="406">
        <f>G183-'C) Prél. conj.'!I183</f>
        <v>31.093574710418899</v>
      </c>
      <c r="I183" s="410">
        <f t="shared" si="10"/>
        <v>0</v>
      </c>
      <c r="J183" s="55">
        <f t="shared" si="11"/>
        <v>0</v>
      </c>
      <c r="K183" s="406">
        <f t="shared" si="12"/>
        <v>31.093574710418899</v>
      </c>
      <c r="L183" s="436"/>
    </row>
    <row r="184" spans="1:12" x14ac:dyDescent="0.25">
      <c r="A184" s="49">
        <f>'A) Base RI'!A185</f>
        <v>5707</v>
      </c>
      <c r="B184" s="286" t="str">
        <f>'A) Base RI'!B185</f>
        <v>Chavannes-de-Bogis</v>
      </c>
      <c r="C184" s="95">
        <f>'B) D RI'!U185</f>
        <v>88021.415574712664</v>
      </c>
      <c r="D184" s="405">
        <f>'E) PCS'!G190/C184</f>
        <v>23.242232088631042</v>
      </c>
      <c r="E184" s="136">
        <f>'H) Péréquation directe'!I194/C184</f>
        <v>16.085614478136289</v>
      </c>
      <c r="F184" s="405"/>
      <c r="G184" s="136">
        <f t="shared" si="9"/>
        <v>39.327846566767334</v>
      </c>
      <c r="H184" s="406">
        <f>G184-'C) Prél. conj.'!I184</f>
        <v>32.098494415984483</v>
      </c>
      <c r="I184" s="410">
        <f t="shared" si="10"/>
        <v>0</v>
      </c>
      <c r="J184" s="55">
        <f t="shared" si="11"/>
        <v>0</v>
      </c>
      <c r="K184" s="406">
        <f t="shared" si="12"/>
        <v>32.098494415984483</v>
      </c>
      <c r="L184" s="436"/>
    </row>
    <row r="185" spans="1:12" x14ac:dyDescent="0.25">
      <c r="A185" s="49">
        <f>'A) Base RI'!A186</f>
        <v>5708</v>
      </c>
      <c r="B185" s="286" t="str">
        <f>'A) Base RI'!B186</f>
        <v>Chavannes-des-Bois</v>
      </c>
      <c r="C185" s="95">
        <f>'B) D RI'!U186</f>
        <v>67001.640000000014</v>
      </c>
      <c r="D185" s="405">
        <f>'E) PCS'!G191/C185</f>
        <v>18.951382432062061</v>
      </c>
      <c r="E185" s="136">
        <f>'H) Péréquation directe'!I195/C185</f>
        <v>16.924468120293994</v>
      </c>
      <c r="F185" s="405"/>
      <c r="G185" s="136">
        <f t="shared" si="9"/>
        <v>35.875850552356056</v>
      </c>
      <c r="H185" s="406">
        <f>G185-'C) Prél. conj.'!I185</f>
        <v>33.712144932613015</v>
      </c>
      <c r="I185" s="410">
        <f t="shared" si="10"/>
        <v>0</v>
      </c>
      <c r="J185" s="55">
        <f t="shared" si="11"/>
        <v>0</v>
      </c>
      <c r="K185" s="406">
        <f t="shared" si="12"/>
        <v>33.712144932613015</v>
      </c>
      <c r="L185" s="436"/>
    </row>
    <row r="186" spans="1:12" x14ac:dyDescent="0.25">
      <c r="A186" s="49">
        <f>'A) Base RI'!A187</f>
        <v>5709</v>
      </c>
      <c r="B186" s="286" t="str">
        <f>'A) Base RI'!B187</f>
        <v>Chéserex</v>
      </c>
      <c r="C186" s="95">
        <f>'B) D RI'!U187</f>
        <v>88342.385614035084</v>
      </c>
      <c r="D186" s="405">
        <f>'E) PCS'!G192/C186</f>
        <v>27.21342133994419</v>
      </c>
      <c r="E186" s="136">
        <f>'H) Péréquation directe'!I196/C186</f>
        <v>16.36043199959542</v>
      </c>
      <c r="F186" s="405"/>
      <c r="G186" s="136">
        <f t="shared" si="9"/>
        <v>43.57385333953961</v>
      </c>
      <c r="H186" s="406">
        <f>G186-'C) Prél. conj.'!I186</f>
        <v>33.025838436804655</v>
      </c>
      <c r="I186" s="410">
        <f t="shared" si="10"/>
        <v>0</v>
      </c>
      <c r="J186" s="55">
        <f t="shared" si="11"/>
        <v>0</v>
      </c>
      <c r="K186" s="406">
        <f t="shared" si="12"/>
        <v>33.025838436804655</v>
      </c>
      <c r="L186" s="436"/>
    </row>
    <row r="187" spans="1:12" x14ac:dyDescent="0.25">
      <c r="A187" s="49">
        <f>'A) Base RI'!A188</f>
        <v>5710</v>
      </c>
      <c r="B187" s="286" t="str">
        <f>'A) Base RI'!B188</f>
        <v>Coinsins</v>
      </c>
      <c r="C187" s="95">
        <f>'B) D RI'!U188</f>
        <v>43412.265098039228</v>
      </c>
      <c r="D187" s="405">
        <f>'E) PCS'!G193/C187</f>
        <v>21.155083669061959</v>
      </c>
      <c r="E187" s="136">
        <f>'H) Péréquation directe'!I197/C187</f>
        <v>17.352629364253303</v>
      </c>
      <c r="F187" s="405"/>
      <c r="G187" s="136">
        <f t="shared" si="9"/>
        <v>38.507713033315262</v>
      </c>
      <c r="H187" s="406">
        <f>G187-'C) Prél. conj.'!I187</f>
        <v>36.363068892086034</v>
      </c>
      <c r="I187" s="410">
        <f t="shared" si="10"/>
        <v>0</v>
      </c>
      <c r="J187" s="55">
        <f t="shared" si="11"/>
        <v>0</v>
      </c>
      <c r="K187" s="406">
        <f t="shared" si="12"/>
        <v>36.363068892086034</v>
      </c>
      <c r="L187" s="436"/>
    </row>
    <row r="188" spans="1:12" x14ac:dyDescent="0.25">
      <c r="A188" s="49">
        <f>'A) Base RI'!A189</f>
        <v>5711</v>
      </c>
      <c r="B188" s="286" t="str">
        <f>'A) Base RI'!B189</f>
        <v>Commugny</v>
      </c>
      <c r="C188" s="95">
        <f>'B) D RI'!U189</f>
        <v>286273.03470547468</v>
      </c>
      <c r="D188" s="405">
        <f>'E) PCS'!G194/C188</f>
        <v>25.005172089108331</v>
      </c>
      <c r="E188" s="136">
        <f>'H) Péréquation directe'!I198/C188</f>
        <v>15.934597817022363</v>
      </c>
      <c r="F188" s="405"/>
      <c r="G188" s="136">
        <f t="shared" si="9"/>
        <v>40.939769906130692</v>
      </c>
      <c r="H188" s="406">
        <f>G188-'C) Prél. conj.'!I188</f>
        <v>37.086058793817877</v>
      </c>
      <c r="I188" s="410">
        <f t="shared" si="10"/>
        <v>0</v>
      </c>
      <c r="J188" s="55">
        <f t="shared" si="11"/>
        <v>0</v>
      </c>
      <c r="K188" s="406">
        <f t="shared" si="12"/>
        <v>37.086058793817877</v>
      </c>
      <c r="L188" s="436"/>
    </row>
    <row r="189" spans="1:12" x14ac:dyDescent="0.25">
      <c r="A189" s="49">
        <f>'A) Base RI'!A190</f>
        <v>5712</v>
      </c>
      <c r="B189" s="286" t="str">
        <f>'A) Base RI'!B190</f>
        <v>Coppet</v>
      </c>
      <c r="C189" s="95">
        <f>'B) D RI'!U190</f>
        <v>333754.3945283019</v>
      </c>
      <c r="D189" s="405">
        <f>'E) PCS'!G195/C189</f>
        <v>25.348979900200128</v>
      </c>
      <c r="E189" s="136">
        <f>'H) Péréquation directe'!I199/C189</f>
        <v>16.030037874849437</v>
      </c>
      <c r="F189" s="405"/>
      <c r="G189" s="136">
        <f t="shared" si="9"/>
        <v>41.379017775049562</v>
      </c>
      <c r="H189" s="406">
        <f>G189-'C) Prél. conj.'!I189</f>
        <v>38.179504997070403</v>
      </c>
      <c r="I189" s="410">
        <f t="shared" si="10"/>
        <v>0</v>
      </c>
      <c r="J189" s="55">
        <f t="shared" si="11"/>
        <v>0</v>
      </c>
      <c r="K189" s="406">
        <f t="shared" si="12"/>
        <v>38.179504997070403</v>
      </c>
      <c r="L189" s="436"/>
    </row>
    <row r="190" spans="1:12" x14ac:dyDescent="0.25">
      <c r="A190" s="49">
        <f>'A) Base RI'!A191</f>
        <v>5713</v>
      </c>
      <c r="B190" s="286" t="str">
        <f>'A) Base RI'!B191</f>
        <v>Crans</v>
      </c>
      <c r="C190" s="95">
        <f>'B) D RI'!U191</f>
        <v>302504.79982142855</v>
      </c>
      <c r="D190" s="405">
        <f>'E) PCS'!G196/C190</f>
        <v>31.411833026339725</v>
      </c>
      <c r="E190" s="136">
        <f>'H) Péréquation directe'!I200/C190</f>
        <v>16.814647852390742</v>
      </c>
      <c r="F190" s="405"/>
      <c r="G190" s="136">
        <f t="shared" si="9"/>
        <v>48.22648087873047</v>
      </c>
      <c r="H190" s="406">
        <f>G190-'C) Prél. conj.'!I190</f>
        <v>42.755144519846169</v>
      </c>
      <c r="I190" s="410">
        <f t="shared" si="10"/>
        <v>0</v>
      </c>
      <c r="J190" s="55">
        <f t="shared" si="11"/>
        <v>0</v>
      </c>
      <c r="K190" s="406">
        <f t="shared" si="12"/>
        <v>42.755144519846169</v>
      </c>
      <c r="L190" s="436"/>
    </row>
    <row r="191" spans="1:12" x14ac:dyDescent="0.25">
      <c r="A191" s="49">
        <f>'A) Base RI'!A192</f>
        <v>5714</v>
      </c>
      <c r="B191" s="286" t="str">
        <f>'A) Base RI'!B192</f>
        <v>Crassier</v>
      </c>
      <c r="C191" s="95">
        <f>'B) D RI'!U192</f>
        <v>62136.029852941167</v>
      </c>
      <c r="D191" s="405">
        <f>'E) PCS'!G197/C191</f>
        <v>18.426797779120253</v>
      </c>
      <c r="E191" s="136">
        <f>'H) Péréquation directe'!I201/C191</f>
        <v>15.523044015040995</v>
      </c>
      <c r="F191" s="405"/>
      <c r="G191" s="136">
        <f t="shared" si="9"/>
        <v>33.949841794161244</v>
      </c>
      <c r="H191" s="406">
        <f>G191-'C) Prél. conj.'!I191</f>
        <v>28.300699970476078</v>
      </c>
      <c r="I191" s="410">
        <f t="shared" si="10"/>
        <v>0</v>
      </c>
      <c r="J191" s="55">
        <f t="shared" si="11"/>
        <v>0</v>
      </c>
      <c r="K191" s="406">
        <f t="shared" si="12"/>
        <v>28.300699970476078</v>
      </c>
      <c r="L191" s="436"/>
    </row>
    <row r="192" spans="1:12" x14ac:dyDescent="0.25">
      <c r="A192" s="49">
        <f>'A) Base RI'!A193</f>
        <v>5715</v>
      </c>
      <c r="B192" s="286" t="str">
        <f>'A) Base RI'!B193</f>
        <v>Duillier</v>
      </c>
      <c r="C192" s="95">
        <f>'B) D RI'!U193</f>
        <v>70395.129393939395</v>
      </c>
      <c r="D192" s="405">
        <f>'E) PCS'!G198/C192</f>
        <v>21.920509326968158</v>
      </c>
      <c r="E192" s="136">
        <f>'H) Péréquation directe'!I202/C192</f>
        <v>16.315846392954505</v>
      </c>
      <c r="F192" s="405"/>
      <c r="G192" s="136">
        <f t="shared" si="9"/>
        <v>38.236355719922663</v>
      </c>
      <c r="H192" s="406">
        <f>G192-'C) Prél. conj.'!I192</f>
        <v>31.659382653944316</v>
      </c>
      <c r="I192" s="410">
        <f t="shared" si="10"/>
        <v>0</v>
      </c>
      <c r="J192" s="55">
        <f t="shared" si="11"/>
        <v>0</v>
      </c>
      <c r="K192" s="406">
        <f t="shared" si="12"/>
        <v>31.659382653944316</v>
      </c>
      <c r="L192" s="436"/>
    </row>
    <row r="193" spans="1:12" x14ac:dyDescent="0.25">
      <c r="A193" s="49">
        <f>'A) Base RI'!A194</f>
        <v>5716</v>
      </c>
      <c r="B193" s="286" t="str">
        <f>'A) Base RI'!B194</f>
        <v>Eysins</v>
      </c>
      <c r="C193" s="95">
        <f>'B) D RI'!U194</f>
        <v>203854.36605042018</v>
      </c>
      <c r="D193" s="405">
        <f>'E) PCS'!G199/C193</f>
        <v>26.597057901880902</v>
      </c>
      <c r="E193" s="136">
        <f>'H) Péréquation directe'!I203/C193</f>
        <v>16.939352800373925</v>
      </c>
      <c r="F193" s="405"/>
      <c r="G193" s="136">
        <f t="shared" si="9"/>
        <v>43.536410702254827</v>
      </c>
      <c r="H193" s="406">
        <f>G193-'C) Prél. conj.'!I193</f>
        <v>42.442963138100779</v>
      </c>
      <c r="I193" s="410">
        <f t="shared" si="10"/>
        <v>0</v>
      </c>
      <c r="J193" s="55">
        <f t="shared" si="11"/>
        <v>0</v>
      </c>
      <c r="K193" s="406">
        <f t="shared" si="12"/>
        <v>42.442963138100779</v>
      </c>
      <c r="L193" s="436"/>
    </row>
    <row r="194" spans="1:12" x14ac:dyDescent="0.25">
      <c r="A194" s="49">
        <f>'A) Base RI'!A195</f>
        <v>5717</v>
      </c>
      <c r="B194" s="286" t="str">
        <f>'A) Base RI'!B195</f>
        <v>Founex</v>
      </c>
      <c r="C194" s="95">
        <f>'B) D RI'!U195</f>
        <v>390728.72</v>
      </c>
      <c r="D194" s="405">
        <f>'E) PCS'!G200/C194</f>
        <v>24.890450099666985</v>
      </c>
      <c r="E194" s="136">
        <f>'H) Péréquation directe'!I204/C194</f>
        <v>15.655451296204282</v>
      </c>
      <c r="F194" s="405"/>
      <c r="G194" s="136">
        <f t="shared" si="9"/>
        <v>40.545901395871269</v>
      </c>
      <c r="H194" s="406">
        <f>G194-'C) Prél. conj.'!I194</f>
        <v>38.258806656585151</v>
      </c>
      <c r="I194" s="410">
        <f t="shared" si="10"/>
        <v>0</v>
      </c>
      <c r="J194" s="55">
        <f t="shared" si="11"/>
        <v>0</v>
      </c>
      <c r="K194" s="406">
        <f t="shared" si="12"/>
        <v>38.258806656585151</v>
      </c>
      <c r="L194" s="436"/>
    </row>
    <row r="195" spans="1:12" x14ac:dyDescent="0.25">
      <c r="A195" s="49">
        <f>'A) Base RI'!A196</f>
        <v>5718</v>
      </c>
      <c r="B195" s="286" t="str">
        <f>'A) Base RI'!B196</f>
        <v>Genolier</v>
      </c>
      <c r="C195" s="95">
        <f>'B) D RI'!U196</f>
        <v>192274.57272727272</v>
      </c>
      <c r="D195" s="405">
        <f>'E) PCS'!G201/C195</f>
        <v>24.586058215235791</v>
      </c>
      <c r="E195" s="136">
        <f>'H) Péréquation directe'!I205/C195</f>
        <v>16.306985426348664</v>
      </c>
      <c r="F195" s="405"/>
      <c r="G195" s="136">
        <f t="shared" si="9"/>
        <v>40.893043641584455</v>
      </c>
      <c r="H195" s="406">
        <f>G195-'C) Prél. conj.'!I195</f>
        <v>37.336168048002683</v>
      </c>
      <c r="I195" s="410">
        <f t="shared" si="10"/>
        <v>0</v>
      </c>
      <c r="J195" s="55">
        <f t="shared" si="11"/>
        <v>0</v>
      </c>
      <c r="K195" s="406">
        <f t="shared" si="12"/>
        <v>37.336168048002683</v>
      </c>
      <c r="L195" s="436"/>
    </row>
    <row r="196" spans="1:12" x14ac:dyDescent="0.25">
      <c r="A196" s="49">
        <f>'A) Base RI'!A197</f>
        <v>5719</v>
      </c>
      <c r="B196" s="286" t="str">
        <f>'A) Base RI'!B197</f>
        <v>Gingins</v>
      </c>
      <c r="C196" s="95">
        <f>'B) D RI'!U197</f>
        <v>151296.69466666671</v>
      </c>
      <c r="D196" s="405">
        <f>'E) PCS'!G202/C196</f>
        <v>28.571234840275562</v>
      </c>
      <c r="E196" s="136">
        <f>'H) Péréquation directe'!I206/C196</f>
        <v>17.376077260756642</v>
      </c>
      <c r="F196" s="405"/>
      <c r="G196" s="136">
        <f t="shared" si="9"/>
        <v>45.947312101032203</v>
      </c>
      <c r="H196" s="406">
        <f>G196-'C) Prél. conj.'!I196</f>
        <v>43.292942877138785</v>
      </c>
      <c r="I196" s="410">
        <f t="shared" si="10"/>
        <v>0</v>
      </c>
      <c r="J196" s="55">
        <f t="shared" si="11"/>
        <v>0</v>
      </c>
      <c r="K196" s="406">
        <f t="shared" si="12"/>
        <v>43.292942877138785</v>
      </c>
      <c r="L196" s="436"/>
    </row>
    <row r="197" spans="1:12" x14ac:dyDescent="0.25">
      <c r="A197" s="49">
        <f>'A) Base RI'!A198</f>
        <v>5720</v>
      </c>
      <c r="B197" s="286" t="str">
        <f>'A) Base RI'!B198</f>
        <v>Givrins</v>
      </c>
      <c r="C197" s="95">
        <f>'B) D RI'!U198</f>
        <v>74789.829883913771</v>
      </c>
      <c r="D197" s="405">
        <f>'E) PCS'!G203/C197</f>
        <v>22.027312298440933</v>
      </c>
      <c r="E197" s="136">
        <f>'H) Péréquation directe'!I207/C197</f>
        <v>17.097715525565381</v>
      </c>
      <c r="F197" s="405"/>
      <c r="G197" s="136">
        <f t="shared" si="9"/>
        <v>39.12502782400631</v>
      </c>
      <c r="H197" s="406">
        <f>G197-'C) Prél. conj.'!I197</f>
        <v>35.49781600361483</v>
      </c>
      <c r="I197" s="410">
        <f t="shared" si="10"/>
        <v>0</v>
      </c>
      <c r="J197" s="55">
        <f t="shared" si="11"/>
        <v>0</v>
      </c>
      <c r="K197" s="406">
        <f t="shared" si="12"/>
        <v>35.49781600361483</v>
      </c>
      <c r="L197" s="436"/>
    </row>
    <row r="198" spans="1:12" x14ac:dyDescent="0.25">
      <c r="A198" s="49">
        <f>'A) Base RI'!A199</f>
        <v>5721</v>
      </c>
      <c r="B198" s="286" t="str">
        <f>'A) Base RI'!B199</f>
        <v>Gland</v>
      </c>
      <c r="C198" s="95">
        <f>'B) D RI'!U199</f>
        <v>723023.81196721317</v>
      </c>
      <c r="D198" s="405">
        <f>'E) PCS'!G204/C198</f>
        <v>17.014153169363357</v>
      </c>
      <c r="E198" s="136">
        <f>'H) Péréquation directe'!I208/C198</f>
        <v>7.6582227983484534</v>
      </c>
      <c r="F198" s="405"/>
      <c r="G198" s="136">
        <f t="shared" ref="G198:G261" si="13">SUM(D198:F198)</f>
        <v>24.672375967711812</v>
      </c>
      <c r="H198" s="406">
        <f>G198-'C) Prél. conj.'!I198</f>
        <v>21.179098390687095</v>
      </c>
      <c r="I198" s="410">
        <f t="shared" ref="I198:I261" si="14">IF(H198&gt;I$5,I$5-H198,0)</f>
        <v>0</v>
      </c>
      <c r="J198" s="55">
        <f t="shared" ref="J198:J261" si="15">I198*C198</f>
        <v>0</v>
      </c>
      <c r="K198" s="406">
        <f t="shared" ref="K198:K261" si="16">H198+I198</f>
        <v>21.179098390687095</v>
      </c>
      <c r="L198" s="436"/>
    </row>
    <row r="199" spans="1:12" x14ac:dyDescent="0.25">
      <c r="A199" s="49">
        <f>'A) Base RI'!A200</f>
        <v>5722</v>
      </c>
      <c r="B199" s="286" t="str">
        <f>'A) Base RI'!B200</f>
        <v>Grens</v>
      </c>
      <c r="C199" s="95">
        <f>'B) D RI'!U200</f>
        <v>22316.761129032264</v>
      </c>
      <c r="D199" s="405">
        <f>'E) PCS'!G205/C199</f>
        <v>14.358201527807497</v>
      </c>
      <c r="E199" s="136">
        <f>'H) Péréquation directe'!I209/C199</f>
        <v>16.570856130721712</v>
      </c>
      <c r="F199" s="405"/>
      <c r="G199" s="136">
        <f t="shared" si="13"/>
        <v>30.92905765852921</v>
      </c>
      <c r="H199" s="406">
        <f>G199-'C) Prél. conj.'!I199</f>
        <v>30.374526697318146</v>
      </c>
      <c r="I199" s="410">
        <f t="shared" si="14"/>
        <v>0</v>
      </c>
      <c r="J199" s="55">
        <f t="shared" si="15"/>
        <v>0</v>
      </c>
      <c r="K199" s="406">
        <f t="shared" si="16"/>
        <v>30.374526697318146</v>
      </c>
      <c r="L199" s="436"/>
    </row>
    <row r="200" spans="1:12" x14ac:dyDescent="0.25">
      <c r="A200" s="49">
        <f>'A) Base RI'!A201</f>
        <v>5723</v>
      </c>
      <c r="B200" s="286" t="str">
        <f>'A) Base RI'!B201</f>
        <v>Mies</v>
      </c>
      <c r="C200" s="95">
        <f>'B) D RI'!U201</f>
        <v>245974.84538461536</v>
      </c>
      <c r="D200" s="405">
        <f>'E) PCS'!G206/C200</f>
        <v>29.945702882895549</v>
      </c>
      <c r="E200" s="136">
        <f>'H) Péréquation directe'!I210/C200</f>
        <v>16.608291144734142</v>
      </c>
      <c r="F200" s="405"/>
      <c r="G200" s="136">
        <f t="shared" si="13"/>
        <v>46.553994027629692</v>
      </c>
      <c r="H200" s="406">
        <f>G200-'C) Prél. conj.'!I200</f>
        <v>39.746131165142302</v>
      </c>
      <c r="I200" s="410">
        <f t="shared" si="14"/>
        <v>0</v>
      </c>
      <c r="J200" s="55">
        <f t="shared" si="15"/>
        <v>0</v>
      </c>
      <c r="K200" s="406">
        <f t="shared" si="16"/>
        <v>39.746131165142302</v>
      </c>
      <c r="L200" s="436"/>
    </row>
    <row r="201" spans="1:12" x14ac:dyDescent="0.25">
      <c r="A201" s="49">
        <f>'A) Base RI'!A202</f>
        <v>5724</v>
      </c>
      <c r="B201" s="286" t="str">
        <f>'A) Base RI'!B202</f>
        <v>Nyon</v>
      </c>
      <c r="C201" s="95">
        <f>'B) D RI'!U202</f>
        <v>1461873.0345355188</v>
      </c>
      <c r="D201" s="405">
        <f>'E) PCS'!G207/C201</f>
        <v>20.828021061818419</v>
      </c>
      <c r="E201" s="136">
        <f>'H) Péréquation directe'!I211/C201</f>
        <v>7.0326685653187067</v>
      </c>
      <c r="F201" s="405"/>
      <c r="G201" s="136">
        <f t="shared" si="13"/>
        <v>27.860689627137127</v>
      </c>
      <c r="H201" s="406">
        <f>G201-'C) Prél. conj.'!I201</f>
        <v>23.220377490074323</v>
      </c>
      <c r="I201" s="410">
        <f t="shared" si="14"/>
        <v>0</v>
      </c>
      <c r="J201" s="55">
        <f t="shared" si="15"/>
        <v>0</v>
      </c>
      <c r="K201" s="406">
        <f t="shared" si="16"/>
        <v>23.220377490074323</v>
      </c>
      <c r="L201" s="436"/>
    </row>
    <row r="202" spans="1:12" x14ac:dyDescent="0.25">
      <c r="A202" s="49">
        <f>'A) Base RI'!A203</f>
        <v>5725</v>
      </c>
      <c r="B202" s="286" t="str">
        <f>'A) Base RI'!B203</f>
        <v>Prangins</v>
      </c>
      <c r="C202" s="95">
        <f>'B) D RI'!U203</f>
        <v>355082.58820779232</v>
      </c>
      <c r="D202" s="405">
        <f>'E) PCS'!G208/C202</f>
        <v>22.837300023345126</v>
      </c>
      <c r="E202" s="136">
        <f>'H) Péréquation directe'!I212/C202</f>
        <v>15.004070987884258</v>
      </c>
      <c r="F202" s="405"/>
      <c r="G202" s="136">
        <f t="shared" si="13"/>
        <v>37.841371011229384</v>
      </c>
      <c r="H202" s="406">
        <f>G202-'C) Prél. conj.'!I202</f>
        <v>34.884419361475246</v>
      </c>
      <c r="I202" s="410">
        <f t="shared" si="14"/>
        <v>0</v>
      </c>
      <c r="J202" s="55">
        <f t="shared" si="15"/>
        <v>0</v>
      </c>
      <c r="K202" s="406">
        <f t="shared" si="16"/>
        <v>34.884419361475246</v>
      </c>
      <c r="L202" s="436"/>
    </row>
    <row r="203" spans="1:12" x14ac:dyDescent="0.25">
      <c r="A203" s="49">
        <f>'A) Base RI'!A204</f>
        <v>5726</v>
      </c>
      <c r="B203" s="286" t="str">
        <f>'A) Base RI'!B204</f>
        <v>La Rippe</v>
      </c>
      <c r="C203" s="95">
        <f>'B) D RI'!U204</f>
        <v>70366.469687500008</v>
      </c>
      <c r="D203" s="405">
        <f>'E) PCS'!G209/C203</f>
        <v>18.480652709136717</v>
      </c>
      <c r="E203" s="136">
        <f>'H) Péréquation directe'!I213/C203</f>
        <v>16.220514476648329</v>
      </c>
      <c r="F203" s="405"/>
      <c r="G203" s="136">
        <f t="shared" si="13"/>
        <v>34.701167185785046</v>
      </c>
      <c r="H203" s="406">
        <f>G203-'C) Prél. conj.'!I203</f>
        <v>31.194226435511244</v>
      </c>
      <c r="I203" s="410">
        <f t="shared" si="14"/>
        <v>0</v>
      </c>
      <c r="J203" s="55">
        <f t="shared" si="15"/>
        <v>0</v>
      </c>
      <c r="K203" s="406">
        <f t="shared" si="16"/>
        <v>31.194226435511244</v>
      </c>
      <c r="L203" s="436"/>
    </row>
    <row r="204" spans="1:12" x14ac:dyDescent="0.25">
      <c r="A204" s="49">
        <f>'A) Base RI'!A205</f>
        <v>5727</v>
      </c>
      <c r="B204" s="286" t="str">
        <f>'A) Base RI'!B205</f>
        <v>Saint-Cergue</v>
      </c>
      <c r="C204" s="95">
        <f>'B) D RI'!U205</f>
        <v>106173.30404040407</v>
      </c>
      <c r="D204" s="405">
        <f>'E) PCS'!G210/C204</f>
        <v>19.130678521995364</v>
      </c>
      <c r="E204" s="136">
        <f>'H) Péréquation directe'!I214/C204</f>
        <v>7.3969548170162405</v>
      </c>
      <c r="F204" s="405"/>
      <c r="G204" s="136">
        <f t="shared" si="13"/>
        <v>26.527633339011604</v>
      </c>
      <c r="H204" s="406">
        <f>G204-'C) Prél. conj.'!I204</f>
        <v>19.590291446366884</v>
      </c>
      <c r="I204" s="410">
        <f t="shared" si="14"/>
        <v>0</v>
      </c>
      <c r="J204" s="55">
        <f t="shared" si="15"/>
        <v>0</v>
      </c>
      <c r="K204" s="406">
        <f t="shared" si="16"/>
        <v>19.590291446366884</v>
      </c>
      <c r="L204" s="436"/>
    </row>
    <row r="205" spans="1:12" x14ac:dyDescent="0.25">
      <c r="A205" s="49">
        <f>'A) Base RI'!A206</f>
        <v>5728</v>
      </c>
      <c r="B205" s="286" t="str">
        <f>'A) Base RI'!B206</f>
        <v>Signy-Avenex</v>
      </c>
      <c r="C205" s="95">
        <f>'B) D RI'!U206</f>
        <v>56477.02620689656</v>
      </c>
      <c r="D205" s="405">
        <f>'E) PCS'!G211/C205</f>
        <v>24.87242836514346</v>
      </c>
      <c r="E205" s="136">
        <f>'H) Péréquation directe'!I215/C205</f>
        <v>17.522446284585016</v>
      </c>
      <c r="F205" s="405"/>
      <c r="G205" s="136">
        <f t="shared" si="13"/>
        <v>42.394874649728479</v>
      </c>
      <c r="H205" s="406">
        <f>G205-'C) Prél. conj.'!I205</f>
        <v>39.265552306293571</v>
      </c>
      <c r="I205" s="410">
        <f t="shared" si="14"/>
        <v>0</v>
      </c>
      <c r="J205" s="55">
        <f t="shared" si="15"/>
        <v>0</v>
      </c>
      <c r="K205" s="406">
        <f t="shared" si="16"/>
        <v>39.265552306293571</v>
      </c>
      <c r="L205" s="436"/>
    </row>
    <row r="206" spans="1:12" x14ac:dyDescent="0.25">
      <c r="A206" s="49">
        <f>'A) Base RI'!A207</f>
        <v>5729</v>
      </c>
      <c r="B206" s="286" t="str">
        <f>'A) Base RI'!B207</f>
        <v>Tannay</v>
      </c>
      <c r="C206" s="95">
        <f>'B) D RI'!U207</f>
        <v>161688.04044077132</v>
      </c>
      <c r="D206" s="405">
        <f>'E) PCS'!G212/C206</f>
        <v>26.394264536327487</v>
      </c>
      <c r="E206" s="136">
        <f>'H) Péréquation directe'!I216/C206</f>
        <v>16.649630801476334</v>
      </c>
      <c r="F206" s="405"/>
      <c r="G206" s="136">
        <f t="shared" si="13"/>
        <v>43.043895337803818</v>
      </c>
      <c r="H206" s="406">
        <f>G206-'C) Prél. conj.'!I206</f>
        <v>39.134499359741056</v>
      </c>
      <c r="I206" s="410">
        <f t="shared" si="14"/>
        <v>0</v>
      </c>
      <c r="J206" s="55">
        <f t="shared" si="15"/>
        <v>0</v>
      </c>
      <c r="K206" s="406">
        <f t="shared" si="16"/>
        <v>39.134499359741056</v>
      </c>
      <c r="L206" s="436"/>
    </row>
    <row r="207" spans="1:12" x14ac:dyDescent="0.25">
      <c r="A207" s="49">
        <f>'A) Base RI'!A208</f>
        <v>5730</v>
      </c>
      <c r="B207" s="286" t="str">
        <f>'A) Base RI'!B208</f>
        <v>Trélex</v>
      </c>
      <c r="C207" s="95">
        <f>'B) D RI'!U208</f>
        <v>125085.64878878882</v>
      </c>
      <c r="D207" s="405">
        <f>'E) PCS'!G213/C207</f>
        <v>26.115416182560139</v>
      </c>
      <c r="E207" s="136">
        <f>'H) Péréquation directe'!I217/C207</f>
        <v>16.589215153295104</v>
      </c>
      <c r="F207" s="405"/>
      <c r="G207" s="136">
        <f t="shared" si="13"/>
        <v>42.70463133585524</v>
      </c>
      <c r="H207" s="406">
        <f>G207-'C) Prél. conj.'!I207</f>
        <v>36.450823784192188</v>
      </c>
      <c r="I207" s="410">
        <f t="shared" si="14"/>
        <v>0</v>
      </c>
      <c r="J207" s="55">
        <f t="shared" si="15"/>
        <v>0</v>
      </c>
      <c r="K207" s="406">
        <f t="shared" si="16"/>
        <v>36.450823784192188</v>
      </c>
      <c r="L207" s="436"/>
    </row>
    <row r="208" spans="1:12" x14ac:dyDescent="0.25">
      <c r="A208" s="49">
        <f>'A) Base RI'!A209</f>
        <v>5731</v>
      </c>
      <c r="B208" s="286" t="str">
        <f>'A) Base RI'!B209</f>
        <v>Le Vaud</v>
      </c>
      <c r="C208" s="95">
        <f>'B) D RI'!U209</f>
        <v>69596.613288288281</v>
      </c>
      <c r="D208" s="405">
        <f>'E) PCS'!G214/C208</f>
        <v>14.658551963311037</v>
      </c>
      <c r="E208" s="136">
        <f>'H) Péréquation directe'!I218/C208</f>
        <v>15.077656471081072</v>
      </c>
      <c r="F208" s="405"/>
      <c r="G208" s="136">
        <f t="shared" si="13"/>
        <v>29.736208434392111</v>
      </c>
      <c r="H208" s="406">
        <f>G208-'C) Prél. conj.'!I208</f>
        <v>27.787869950760488</v>
      </c>
      <c r="I208" s="410">
        <f t="shared" si="14"/>
        <v>0</v>
      </c>
      <c r="J208" s="55">
        <f t="shared" si="15"/>
        <v>0</v>
      </c>
      <c r="K208" s="406">
        <f t="shared" si="16"/>
        <v>27.787869950760488</v>
      </c>
      <c r="L208" s="436"/>
    </row>
    <row r="209" spans="1:12" x14ac:dyDescent="0.25">
      <c r="A209" s="49">
        <f>'A) Base RI'!A210</f>
        <v>5732</v>
      </c>
      <c r="B209" s="286" t="str">
        <f>'A) Base RI'!B210</f>
        <v>Vich</v>
      </c>
      <c r="C209" s="95">
        <f>'B) D RI'!U210</f>
        <v>86538.031587301579</v>
      </c>
      <c r="D209" s="405">
        <f>'E) PCS'!G215/C209</f>
        <v>19.750068660316686</v>
      </c>
      <c r="E209" s="136">
        <f>'H) Péréquation directe'!I219/C209</f>
        <v>16.737157947635669</v>
      </c>
      <c r="F209" s="405"/>
      <c r="G209" s="136">
        <f t="shared" si="13"/>
        <v>36.487226607952351</v>
      </c>
      <c r="H209" s="406">
        <f>G209-'C) Prél. conj.'!I209</f>
        <v>34.959799272531008</v>
      </c>
      <c r="I209" s="410">
        <f t="shared" si="14"/>
        <v>0</v>
      </c>
      <c r="J209" s="55">
        <f t="shared" si="15"/>
        <v>0</v>
      </c>
      <c r="K209" s="406">
        <f t="shared" si="16"/>
        <v>34.959799272531008</v>
      </c>
      <c r="L209" s="436"/>
    </row>
    <row r="210" spans="1:12" x14ac:dyDescent="0.25">
      <c r="A210" s="49">
        <f>'A) Base RI'!A211</f>
        <v>5741</v>
      </c>
      <c r="B210" s="286" t="str">
        <f>'A) Base RI'!B211</f>
        <v>L'Abergement</v>
      </c>
      <c r="C210" s="95">
        <f>'B) D RI'!U211</f>
        <v>8987.3782921810707</v>
      </c>
      <c r="D210" s="405">
        <f>'E) PCS'!G216/C210</f>
        <v>15.679664230277305</v>
      </c>
      <c r="E210" s="136">
        <f>'H) Péréquation directe'!I220/C210</f>
        <v>5.3102885847642378</v>
      </c>
      <c r="F210" s="405"/>
      <c r="G210" s="136">
        <f t="shared" si="13"/>
        <v>20.989952815041544</v>
      </c>
      <c r="H210" s="406">
        <f>G210-'C) Prél. conj.'!I210</f>
        <v>17.50362521411488</v>
      </c>
      <c r="I210" s="410">
        <f t="shared" si="14"/>
        <v>0</v>
      </c>
      <c r="J210" s="55">
        <f t="shared" si="15"/>
        <v>0</v>
      </c>
      <c r="K210" s="406">
        <f t="shared" si="16"/>
        <v>17.50362521411488</v>
      </c>
      <c r="L210" s="436"/>
    </row>
    <row r="211" spans="1:12" x14ac:dyDescent="0.25">
      <c r="A211" s="49">
        <f>'A) Base RI'!A212</f>
        <v>5742</v>
      </c>
      <c r="B211" s="286" t="str">
        <f>'A) Base RI'!B212</f>
        <v>Agiez</v>
      </c>
      <c r="C211" s="95">
        <f>'B) D RI'!U212</f>
        <v>10160.069605263159</v>
      </c>
      <c r="D211" s="405">
        <f>'E) PCS'!G217/C211</f>
        <v>12.415929592574876</v>
      </c>
      <c r="E211" s="136">
        <f>'H) Péréquation directe'!I221/C211</f>
        <v>-3.9692052149249344</v>
      </c>
      <c r="F211" s="405"/>
      <c r="G211" s="136">
        <f t="shared" si="13"/>
        <v>8.446724377649943</v>
      </c>
      <c r="H211" s="406">
        <f>G211-'C) Prél. conj.'!I211</f>
        <v>8.2241314144257096</v>
      </c>
      <c r="I211" s="410">
        <f t="shared" si="14"/>
        <v>0</v>
      </c>
      <c r="J211" s="55">
        <f t="shared" si="15"/>
        <v>0</v>
      </c>
      <c r="K211" s="406">
        <f t="shared" si="16"/>
        <v>8.2241314144257096</v>
      </c>
      <c r="L211" s="436"/>
    </row>
    <row r="212" spans="1:12" x14ac:dyDescent="0.25">
      <c r="A212" s="49">
        <f>'A) Base RI'!A213</f>
        <v>5743</v>
      </c>
      <c r="B212" s="286" t="str">
        <f>'A) Base RI'!B213</f>
        <v>Arnex-sur-Orbe</v>
      </c>
      <c r="C212" s="95">
        <f>'B) D RI'!U213</f>
        <v>18533.117816901413</v>
      </c>
      <c r="D212" s="405">
        <f>'E) PCS'!G218/C212</f>
        <v>14.740105633158302</v>
      </c>
      <c r="E212" s="136">
        <f>'H) Péréquation directe'!I222/C212</f>
        <v>-0.52542010354557456</v>
      </c>
      <c r="F212" s="405"/>
      <c r="G212" s="136">
        <f t="shared" si="13"/>
        <v>14.214685529612728</v>
      </c>
      <c r="H212" s="406">
        <f>G212-'C) Prél. conj.'!I212</f>
        <v>11.667916525805069</v>
      </c>
      <c r="I212" s="410">
        <f t="shared" si="14"/>
        <v>0</v>
      </c>
      <c r="J212" s="55">
        <f t="shared" si="15"/>
        <v>0</v>
      </c>
      <c r="K212" s="406">
        <f t="shared" si="16"/>
        <v>11.667916525805069</v>
      </c>
      <c r="L212" s="436"/>
    </row>
    <row r="213" spans="1:12" x14ac:dyDescent="0.25">
      <c r="A213" s="49">
        <f>'A) Base RI'!A214</f>
        <v>5744</v>
      </c>
      <c r="B213" s="286" t="str">
        <f>'A) Base RI'!B214</f>
        <v>Ballaigues</v>
      </c>
      <c r="C213" s="95">
        <f>'B) D RI'!U214</f>
        <v>49245.2596923077</v>
      </c>
      <c r="D213" s="405">
        <f>'E) PCS'!G219/C213</f>
        <v>24.292539755150599</v>
      </c>
      <c r="E213" s="136">
        <f>'H) Péréquation directe'!I223/C213</f>
        <v>12.460377973840057</v>
      </c>
      <c r="F213" s="405"/>
      <c r="G213" s="136">
        <f t="shared" si="13"/>
        <v>36.752917728990653</v>
      </c>
      <c r="H213" s="406">
        <f>G213-'C) Prél. conj.'!I213</f>
        <v>24.653714603190693</v>
      </c>
      <c r="I213" s="410">
        <f t="shared" si="14"/>
        <v>0</v>
      </c>
      <c r="J213" s="55">
        <f t="shared" si="15"/>
        <v>0</v>
      </c>
      <c r="K213" s="406">
        <f t="shared" si="16"/>
        <v>24.653714603190693</v>
      </c>
      <c r="L213" s="436"/>
    </row>
    <row r="214" spans="1:12" x14ac:dyDescent="0.25">
      <c r="A214" s="49">
        <f>'A) Base RI'!A215</f>
        <v>5745</v>
      </c>
      <c r="B214" s="286" t="str">
        <f>'A) Base RI'!B215</f>
        <v>Baulmes</v>
      </c>
      <c r="C214" s="95">
        <f>'B) D RI'!U215</f>
        <v>28471.572156862745</v>
      </c>
      <c r="D214" s="405">
        <f>'E) PCS'!G220/C214</f>
        <v>18.165768852732896</v>
      </c>
      <c r="E214" s="136">
        <f>'H) Péréquation directe'!I224/C214</f>
        <v>-8.5214567486201585</v>
      </c>
      <c r="F214" s="405"/>
      <c r="G214" s="136">
        <f t="shared" si="13"/>
        <v>9.6443121041127373</v>
      </c>
      <c r="H214" s="406">
        <f>G214-'C) Prél. conj.'!I214</f>
        <v>3.6718798807304847</v>
      </c>
      <c r="I214" s="410">
        <f t="shared" si="14"/>
        <v>0</v>
      </c>
      <c r="J214" s="55">
        <f t="shared" si="15"/>
        <v>0</v>
      </c>
      <c r="K214" s="406">
        <f t="shared" si="16"/>
        <v>3.6718798807304847</v>
      </c>
      <c r="L214" s="436"/>
    </row>
    <row r="215" spans="1:12" x14ac:dyDescent="0.25">
      <c r="A215" s="49">
        <f>'A) Base RI'!A216</f>
        <v>5746</v>
      </c>
      <c r="B215" s="286" t="str">
        <f>'A) Base RI'!B216</f>
        <v>Bavois</v>
      </c>
      <c r="C215" s="95">
        <f>'B) D RI'!U216</f>
        <v>27408.124908675796</v>
      </c>
      <c r="D215" s="405">
        <f>'E) PCS'!G221/C215</f>
        <v>18.393536225865482</v>
      </c>
      <c r="E215" s="136">
        <f>'H) Péréquation directe'!I225/C215</f>
        <v>-1.1445596395042685</v>
      </c>
      <c r="F215" s="405"/>
      <c r="G215" s="136">
        <f t="shared" si="13"/>
        <v>17.248976586361213</v>
      </c>
      <c r="H215" s="406">
        <f>G215-'C) Prél. conj.'!I215</f>
        <v>11.048776989846374</v>
      </c>
      <c r="I215" s="410">
        <f t="shared" si="14"/>
        <v>0</v>
      </c>
      <c r="J215" s="55">
        <f t="shared" si="15"/>
        <v>0</v>
      </c>
      <c r="K215" s="406">
        <f t="shared" si="16"/>
        <v>11.048776989846374</v>
      </c>
      <c r="L215" s="436"/>
    </row>
    <row r="216" spans="1:12" x14ac:dyDescent="0.25">
      <c r="A216" s="49">
        <f>'A) Base RI'!A217</f>
        <v>5747</v>
      </c>
      <c r="B216" s="286" t="str">
        <f>'A) Base RI'!B217</f>
        <v>Bofflens</v>
      </c>
      <c r="C216" s="95">
        <f>'B) D RI'!U217</f>
        <v>5808.1759420289845</v>
      </c>
      <c r="D216" s="405">
        <f>'E) PCS'!G222/C216</f>
        <v>12.224461719534611</v>
      </c>
      <c r="E216" s="136">
        <f>'H) Péréquation directe'!I226/C216</f>
        <v>0.73370989598492764</v>
      </c>
      <c r="F216" s="405"/>
      <c r="G216" s="136">
        <f t="shared" si="13"/>
        <v>12.958171615519539</v>
      </c>
      <c r="H216" s="406">
        <f>G216-'C) Prél. conj.'!I216</f>
        <v>12.927046525335573</v>
      </c>
      <c r="I216" s="410">
        <f t="shared" si="14"/>
        <v>0</v>
      </c>
      <c r="J216" s="55">
        <f t="shared" si="15"/>
        <v>0</v>
      </c>
      <c r="K216" s="406">
        <f t="shared" si="16"/>
        <v>12.927046525335573</v>
      </c>
      <c r="L216" s="436"/>
    </row>
    <row r="217" spans="1:12" x14ac:dyDescent="0.25">
      <c r="A217" s="49">
        <f>'A) Base RI'!A218</f>
        <v>5748</v>
      </c>
      <c r="B217" s="286" t="str">
        <f>'A) Base RI'!B218</f>
        <v>Bretonnières</v>
      </c>
      <c r="C217" s="95">
        <f>'B) D RI'!U218</f>
        <v>6643.6153664302601</v>
      </c>
      <c r="D217" s="405">
        <f>'E) PCS'!G223/C217</f>
        <v>14.735199616381722</v>
      </c>
      <c r="E217" s="136">
        <f>'H) Péréquation directe'!I227/C217</f>
        <v>-4.8342824884887081</v>
      </c>
      <c r="F217" s="405"/>
      <c r="G217" s="136">
        <f t="shared" si="13"/>
        <v>9.9009171278930133</v>
      </c>
      <c r="H217" s="406">
        <f>G217-'C) Prél. conj.'!I217</f>
        <v>7.3590541408619341</v>
      </c>
      <c r="I217" s="410">
        <f t="shared" si="14"/>
        <v>0</v>
      </c>
      <c r="J217" s="55">
        <f t="shared" si="15"/>
        <v>0</v>
      </c>
      <c r="K217" s="406">
        <f t="shared" si="16"/>
        <v>7.3590541408619341</v>
      </c>
      <c r="L217" s="436"/>
    </row>
    <row r="218" spans="1:12" x14ac:dyDescent="0.25">
      <c r="A218" s="49">
        <f>'A) Base RI'!A219</f>
        <v>5749</v>
      </c>
      <c r="B218" s="286" t="str">
        <f>'A) Base RI'!B219</f>
        <v>Chavornay</v>
      </c>
      <c r="C218" s="95">
        <f>'B) D RI'!U219</f>
        <v>153338.61687943264</v>
      </c>
      <c r="D218" s="405">
        <f>'E) PCS'!G224/C218</f>
        <v>15.297633868279547</v>
      </c>
      <c r="E218" s="136">
        <f>'H) Péréquation directe'!I228/C218</f>
        <v>-8.2941318567802931</v>
      </c>
      <c r="F218" s="405"/>
      <c r="G218" s="136">
        <f t="shared" si="13"/>
        <v>7.0035020114992541</v>
      </c>
      <c r="H218" s="406">
        <f>G218-'C) Prél. conj.'!I218</f>
        <v>3.8992047725703483</v>
      </c>
      <c r="I218" s="410">
        <f t="shared" si="14"/>
        <v>0</v>
      </c>
      <c r="J218" s="55">
        <f t="shared" si="15"/>
        <v>0</v>
      </c>
      <c r="K218" s="406">
        <f t="shared" si="16"/>
        <v>3.8992047725703483</v>
      </c>
      <c r="L218" s="436"/>
    </row>
    <row r="219" spans="1:12" x14ac:dyDescent="0.25">
      <c r="A219" s="49">
        <f>'A) Base RI'!A220</f>
        <v>5750</v>
      </c>
      <c r="B219" s="286" t="str">
        <f>'A) Base RI'!B220</f>
        <v>Les Clées</v>
      </c>
      <c r="C219" s="95">
        <f>'B) D RI'!U220</f>
        <v>4819.774166666667</v>
      </c>
      <c r="D219" s="405">
        <f>'E) PCS'!G225/C219</f>
        <v>16.873424164572295</v>
      </c>
      <c r="E219" s="136">
        <f>'H) Péréquation directe'!I229/C219</f>
        <v>-7.0945456121581332</v>
      </c>
      <c r="F219" s="405"/>
      <c r="G219" s="136">
        <f t="shared" si="13"/>
        <v>9.778878552414163</v>
      </c>
      <c r="H219" s="406">
        <f>G219-'C) Prél. conj.'!I219</f>
        <v>5.0987910171925099</v>
      </c>
      <c r="I219" s="410">
        <f t="shared" si="14"/>
        <v>0</v>
      </c>
      <c r="J219" s="55">
        <f t="shared" si="15"/>
        <v>0</v>
      </c>
      <c r="K219" s="406">
        <f t="shared" si="16"/>
        <v>5.0987910171925099</v>
      </c>
      <c r="L219" s="436"/>
    </row>
    <row r="220" spans="1:12" x14ac:dyDescent="0.25">
      <c r="A220" s="49">
        <f>'A) Base RI'!A221</f>
        <v>5752</v>
      </c>
      <c r="B220" s="286" t="str">
        <f>'A) Base RI'!B221</f>
        <v>Croy</v>
      </c>
      <c r="C220" s="95">
        <f>'B) D RI'!U221</f>
        <v>9670.9952316602321</v>
      </c>
      <c r="D220" s="405">
        <f>'E) PCS'!G226/C220</f>
        <v>14.178418778616093</v>
      </c>
      <c r="E220" s="136">
        <f>'H) Péréquation directe'!I230/C220</f>
        <v>-7.073795528280197</v>
      </c>
      <c r="F220" s="405"/>
      <c r="G220" s="136">
        <f t="shared" si="13"/>
        <v>7.1046232503358961</v>
      </c>
      <c r="H220" s="406">
        <f>G220-'C) Prél. conj.'!I220</f>
        <v>5.119541101070447</v>
      </c>
      <c r="I220" s="410">
        <f t="shared" si="14"/>
        <v>0</v>
      </c>
      <c r="J220" s="55">
        <f t="shared" si="15"/>
        <v>0</v>
      </c>
      <c r="K220" s="406">
        <f t="shared" si="16"/>
        <v>5.119541101070447</v>
      </c>
      <c r="L220" s="436"/>
    </row>
    <row r="221" spans="1:12" x14ac:dyDescent="0.25">
      <c r="A221" s="49">
        <f>'A) Base RI'!A222</f>
        <v>5754</v>
      </c>
      <c r="B221" s="286" t="str">
        <f>'A) Base RI'!B222</f>
        <v>Juriens</v>
      </c>
      <c r="C221" s="95">
        <f>'B) D RI'!U222</f>
        <v>9073.6935443037964</v>
      </c>
      <c r="D221" s="405">
        <f>'E) PCS'!G227/C221</f>
        <v>19.36790888949357</v>
      </c>
      <c r="E221" s="136">
        <f>'H) Péréquation directe'!I231/C221</f>
        <v>-7.3562979966347068</v>
      </c>
      <c r="F221" s="405"/>
      <c r="G221" s="136">
        <f t="shared" si="13"/>
        <v>12.011610892858863</v>
      </c>
      <c r="H221" s="406">
        <f>G221-'C) Prél. conj.'!I221</f>
        <v>4.8370386327159345</v>
      </c>
      <c r="I221" s="410">
        <f t="shared" si="14"/>
        <v>0</v>
      </c>
      <c r="J221" s="55">
        <f t="shared" si="15"/>
        <v>0</v>
      </c>
      <c r="K221" s="406">
        <f t="shared" si="16"/>
        <v>4.8370386327159345</v>
      </c>
      <c r="L221" s="436"/>
    </row>
    <row r="222" spans="1:12" x14ac:dyDescent="0.25">
      <c r="A222" s="49">
        <f>'A) Base RI'!A223</f>
        <v>5755</v>
      </c>
      <c r="B222" s="286" t="str">
        <f>'A) Base RI'!B223</f>
        <v>Lignerolle</v>
      </c>
      <c r="C222" s="95">
        <f>'B) D RI'!U223</f>
        <v>10746.718034576888</v>
      </c>
      <c r="D222" s="405">
        <f>'E) PCS'!G228/C222</f>
        <v>15.604294736007921</v>
      </c>
      <c r="E222" s="136">
        <f>'H) Péréquation directe'!I232/C222</f>
        <v>-6.6984666063594114</v>
      </c>
      <c r="F222" s="405"/>
      <c r="G222" s="136">
        <f t="shared" si="13"/>
        <v>8.9058281296485085</v>
      </c>
      <c r="H222" s="406">
        <f>G222-'C) Prél. conj.'!I222</f>
        <v>5.4948700229912308</v>
      </c>
      <c r="I222" s="410">
        <f t="shared" si="14"/>
        <v>0</v>
      </c>
      <c r="J222" s="55">
        <f t="shared" si="15"/>
        <v>0</v>
      </c>
      <c r="K222" s="406">
        <f t="shared" si="16"/>
        <v>5.4948700229912308</v>
      </c>
      <c r="L222" s="436"/>
    </row>
    <row r="223" spans="1:12" x14ac:dyDescent="0.25">
      <c r="A223" s="49">
        <f>'A) Base RI'!A224</f>
        <v>5756</v>
      </c>
      <c r="B223" s="286" t="str">
        <f>'A) Base RI'!B224</f>
        <v>Montcherand</v>
      </c>
      <c r="C223" s="95">
        <f>'B) D RI'!U224</f>
        <v>17739.52444444444</v>
      </c>
      <c r="D223" s="405">
        <f>'E) PCS'!G229/C223</f>
        <v>13.882732536994915</v>
      </c>
      <c r="E223" s="136">
        <f>'H) Péréquation directe'!I233/C223</f>
        <v>7.6081307812622665</v>
      </c>
      <c r="F223" s="405"/>
      <c r="G223" s="136">
        <f t="shared" si="13"/>
        <v>21.490863318257183</v>
      </c>
      <c r="H223" s="406">
        <f>G223-'C) Prél. conj.'!I223</f>
        <v>19.801467410612908</v>
      </c>
      <c r="I223" s="410">
        <f t="shared" si="14"/>
        <v>0</v>
      </c>
      <c r="J223" s="55">
        <f t="shared" si="15"/>
        <v>0</v>
      </c>
      <c r="K223" s="406">
        <f t="shared" si="16"/>
        <v>19.801467410612908</v>
      </c>
      <c r="L223" s="436"/>
    </row>
    <row r="224" spans="1:12" x14ac:dyDescent="0.25">
      <c r="A224" s="49">
        <f>'A) Base RI'!A225</f>
        <v>5757</v>
      </c>
      <c r="B224" s="286" t="str">
        <f>'A) Base RI'!B225</f>
        <v>Orbe</v>
      </c>
      <c r="C224" s="95">
        <f>'B) D RI'!U225</f>
        <v>216184.82317880794</v>
      </c>
      <c r="D224" s="405">
        <f>'E) PCS'!G230/C224</f>
        <v>19.898220351101571</v>
      </c>
      <c r="E224" s="136">
        <f>'H) Péréquation directe'!I234/C224</f>
        <v>-12.581303915602842</v>
      </c>
      <c r="F224" s="405"/>
      <c r="G224" s="136">
        <f t="shared" si="13"/>
        <v>7.3169164354987295</v>
      </c>
      <c r="H224" s="406">
        <f>G224-'C) Prél. conj.'!I224</f>
        <v>-0.38796728625219856</v>
      </c>
      <c r="I224" s="410">
        <f t="shared" si="14"/>
        <v>0</v>
      </c>
      <c r="J224" s="55">
        <f t="shared" si="15"/>
        <v>0</v>
      </c>
      <c r="K224" s="406">
        <f t="shared" si="16"/>
        <v>-0.38796728625219856</v>
      </c>
      <c r="L224" s="436"/>
    </row>
    <row r="225" spans="1:12" x14ac:dyDescent="0.25">
      <c r="A225" s="49">
        <f>'A) Base RI'!A226</f>
        <v>5758</v>
      </c>
      <c r="B225" s="286" t="str">
        <f>'A) Base RI'!B226</f>
        <v>La Praz</v>
      </c>
      <c r="C225" s="95">
        <f>'B) D RI'!U226</f>
        <v>4771.8661445783146</v>
      </c>
      <c r="D225" s="405">
        <f>'E) PCS'!G231/C225</f>
        <v>16.779946843651636</v>
      </c>
      <c r="E225" s="136">
        <f>'H) Péréquation directe'!I235/C225</f>
        <v>-9.26688148877383</v>
      </c>
      <c r="F225" s="405"/>
      <c r="G225" s="136">
        <f t="shared" si="13"/>
        <v>7.5130653548778064</v>
      </c>
      <c r="H225" s="406">
        <f>G225-'C) Prél. conj.'!I225</f>
        <v>2.9264551405768122</v>
      </c>
      <c r="I225" s="410">
        <f t="shared" si="14"/>
        <v>0</v>
      </c>
      <c r="J225" s="55">
        <f t="shared" si="15"/>
        <v>0</v>
      </c>
      <c r="K225" s="406">
        <f t="shared" si="16"/>
        <v>2.9264551405768122</v>
      </c>
      <c r="L225" s="436"/>
    </row>
    <row r="226" spans="1:12" x14ac:dyDescent="0.25">
      <c r="A226" s="49">
        <f>'A) Base RI'!A227</f>
        <v>5759</v>
      </c>
      <c r="B226" s="286" t="str">
        <f>'A) Base RI'!B227</f>
        <v>Premier</v>
      </c>
      <c r="C226" s="95">
        <f>'B) D RI'!U227</f>
        <v>5900.0572327044019</v>
      </c>
      <c r="D226" s="405">
        <f>'E) PCS'!G232/C226</f>
        <v>12.41760479282971</v>
      </c>
      <c r="E226" s="136">
        <f>'H) Péréquation directe'!I236/C226</f>
        <v>-8.9341646694884354</v>
      </c>
      <c r="F226" s="405"/>
      <c r="G226" s="136">
        <f t="shared" si="13"/>
        <v>3.4834401233412748</v>
      </c>
      <c r="H226" s="406">
        <f>G226-'C) Prél. conj.'!I226</f>
        <v>3.2591719598622082</v>
      </c>
      <c r="I226" s="410">
        <f t="shared" si="14"/>
        <v>0</v>
      </c>
      <c r="J226" s="55">
        <f t="shared" si="15"/>
        <v>0</v>
      </c>
      <c r="K226" s="406">
        <f t="shared" si="16"/>
        <v>3.2591719598622082</v>
      </c>
      <c r="L226" s="436"/>
    </row>
    <row r="227" spans="1:12" x14ac:dyDescent="0.25">
      <c r="A227" s="49">
        <f>'A) Base RI'!A228</f>
        <v>5760</v>
      </c>
      <c r="B227" s="286" t="str">
        <f>'A) Base RI'!B228</f>
        <v>Rances</v>
      </c>
      <c r="C227" s="95">
        <f>'B) D RI'!U228</f>
        <v>14481.892461873636</v>
      </c>
      <c r="D227" s="405">
        <f>'E) PCS'!G233/C227</f>
        <v>16.081836019071588</v>
      </c>
      <c r="E227" s="136">
        <f>'H) Péréquation directe'!I237/C227</f>
        <v>-2.2541354682610706</v>
      </c>
      <c r="F227" s="405"/>
      <c r="G227" s="136">
        <f t="shared" si="13"/>
        <v>13.827700550810517</v>
      </c>
      <c r="H227" s="406">
        <f>G227-'C) Prél. conj.'!I227</f>
        <v>9.9392011610895725</v>
      </c>
      <c r="I227" s="410">
        <f t="shared" si="14"/>
        <v>0</v>
      </c>
      <c r="J227" s="55">
        <f t="shared" si="15"/>
        <v>0</v>
      </c>
      <c r="K227" s="406">
        <f t="shared" si="16"/>
        <v>9.9392011610895725</v>
      </c>
      <c r="L227" s="436"/>
    </row>
    <row r="228" spans="1:12" x14ac:dyDescent="0.25">
      <c r="A228" s="49">
        <f>'A) Base RI'!A229</f>
        <v>5761</v>
      </c>
      <c r="B228" s="286" t="str">
        <f>'A) Base RI'!B229</f>
        <v>Romainmôtier-Envy</v>
      </c>
      <c r="C228" s="95">
        <f>'B) D RI'!U229</f>
        <v>12913.984792368126</v>
      </c>
      <c r="D228" s="405">
        <f>'E) PCS'!G234/C228</f>
        <v>19.578580729712542</v>
      </c>
      <c r="E228" s="136">
        <f>'H) Péréquation directe'!I238/C228</f>
        <v>-14.469815029387069</v>
      </c>
      <c r="F228" s="405"/>
      <c r="G228" s="136">
        <f t="shared" si="13"/>
        <v>5.1087657003254723</v>
      </c>
      <c r="H228" s="406">
        <f>G228-'C) Prél. conj.'!I228</f>
        <v>-2.2764784000364271</v>
      </c>
      <c r="I228" s="410">
        <f t="shared" si="14"/>
        <v>0</v>
      </c>
      <c r="J228" s="55">
        <f t="shared" si="15"/>
        <v>0</v>
      </c>
      <c r="K228" s="406">
        <f t="shared" si="16"/>
        <v>-2.2764784000364271</v>
      </c>
      <c r="L228" s="436"/>
    </row>
    <row r="229" spans="1:12" x14ac:dyDescent="0.25">
      <c r="A229" s="49">
        <f>'A) Base RI'!A230</f>
        <v>5762</v>
      </c>
      <c r="B229" s="286" t="str">
        <f>'A) Base RI'!B230</f>
        <v>Sergey</v>
      </c>
      <c r="C229" s="95">
        <f>'B) D RI'!U230</f>
        <v>3849.6283333333336</v>
      </c>
      <c r="D229" s="405">
        <f>'E) PCS'!G235/C229</f>
        <v>13.141381397308763</v>
      </c>
      <c r="E229" s="136">
        <f>'H) Péréquation directe'!I239/C229</f>
        <v>-4.5708575197947301</v>
      </c>
      <c r="F229" s="405"/>
      <c r="G229" s="136">
        <f t="shared" si="13"/>
        <v>8.5705238775140327</v>
      </c>
      <c r="H229" s="406">
        <f>G229-'C) Prél. conj.'!I229</f>
        <v>7.6224791095559139</v>
      </c>
      <c r="I229" s="410">
        <f t="shared" si="14"/>
        <v>0</v>
      </c>
      <c r="J229" s="55">
        <f t="shared" si="15"/>
        <v>0</v>
      </c>
      <c r="K229" s="406">
        <f t="shared" si="16"/>
        <v>7.6224791095559139</v>
      </c>
      <c r="L229" s="436"/>
    </row>
    <row r="230" spans="1:12" x14ac:dyDescent="0.25">
      <c r="A230" s="49">
        <f>'A) Base RI'!A231</f>
        <v>5763</v>
      </c>
      <c r="B230" s="286" t="str">
        <f>'A) Base RI'!B231</f>
        <v>Valeyres-sous-Rances</v>
      </c>
      <c r="C230" s="95">
        <f>'B) D RI'!U231</f>
        <v>22663.97352941176</v>
      </c>
      <c r="D230" s="405">
        <f>'E) PCS'!G236/C230</f>
        <v>13.230427277621006</v>
      </c>
      <c r="E230" s="136">
        <f>'H) Péréquation directe'!I240/C230</f>
        <v>9.6679076663251315</v>
      </c>
      <c r="F230" s="405"/>
      <c r="G230" s="136">
        <f t="shared" si="13"/>
        <v>22.898334943946139</v>
      </c>
      <c r="H230" s="406">
        <f>G230-'C) Prél. conj.'!I230</f>
        <v>21.861244295675775</v>
      </c>
      <c r="I230" s="410">
        <f t="shared" si="14"/>
        <v>0</v>
      </c>
      <c r="J230" s="55">
        <f t="shared" si="15"/>
        <v>0</v>
      </c>
      <c r="K230" s="406">
        <f t="shared" si="16"/>
        <v>21.861244295675775</v>
      </c>
      <c r="L230" s="436"/>
    </row>
    <row r="231" spans="1:12" x14ac:dyDescent="0.25">
      <c r="A231" s="49">
        <f>'A) Base RI'!A232</f>
        <v>5764</v>
      </c>
      <c r="B231" s="286" t="str">
        <f>'A) Base RI'!B232</f>
        <v>Vallorbe</v>
      </c>
      <c r="C231" s="95">
        <f>'B) D RI'!U232</f>
        <v>83682.382797202779</v>
      </c>
      <c r="D231" s="405">
        <f>'E) PCS'!G237/C231</f>
        <v>22.846586097168135</v>
      </c>
      <c r="E231" s="136">
        <f>'H) Péréquation directe'!I241/C231</f>
        <v>-22.502367226558437</v>
      </c>
      <c r="F231" s="405"/>
      <c r="G231" s="136">
        <f t="shared" si="13"/>
        <v>0.3442188706096978</v>
      </c>
      <c r="H231" s="406">
        <f>G231-'C) Prél. conj.'!I231</f>
        <v>-10.309030597207792</v>
      </c>
      <c r="I231" s="410">
        <f t="shared" si="14"/>
        <v>0</v>
      </c>
      <c r="J231" s="55">
        <f t="shared" si="15"/>
        <v>0</v>
      </c>
      <c r="K231" s="406">
        <f t="shared" si="16"/>
        <v>-10.309030597207792</v>
      </c>
      <c r="L231" s="436"/>
    </row>
    <row r="232" spans="1:12" x14ac:dyDescent="0.25">
      <c r="A232" s="49">
        <f>'A) Base RI'!A233</f>
        <v>5765</v>
      </c>
      <c r="B232" s="286" t="str">
        <f>'A) Base RI'!B233</f>
        <v>Vaulion</v>
      </c>
      <c r="C232" s="95">
        <f>'B) D RI'!U233</f>
        <v>10279.479012345679</v>
      </c>
      <c r="D232" s="405">
        <f>'E) PCS'!G238/C232</f>
        <v>17.049122116149345</v>
      </c>
      <c r="E232" s="136">
        <f>'H) Péréquation directe'!I242/C232</f>
        <v>-21.715773130093829</v>
      </c>
      <c r="F232" s="405"/>
      <c r="G232" s="136">
        <f t="shared" si="13"/>
        <v>-4.6666510139444846</v>
      </c>
      <c r="H232" s="406">
        <f>G232-'C) Prél. conj.'!I232</f>
        <v>-9.5224365007431864</v>
      </c>
      <c r="I232" s="410">
        <f t="shared" si="14"/>
        <v>0</v>
      </c>
      <c r="J232" s="55">
        <f t="shared" si="15"/>
        <v>0</v>
      </c>
      <c r="K232" s="406">
        <f t="shared" si="16"/>
        <v>-9.5224365007431864</v>
      </c>
      <c r="L232" s="436"/>
    </row>
    <row r="233" spans="1:12" x14ac:dyDescent="0.25">
      <c r="A233" s="49">
        <f>'A) Base RI'!A234</f>
        <v>5766</v>
      </c>
      <c r="B233" s="286" t="str">
        <f>'A) Base RI'!B234</f>
        <v>Vuiteboeuf</v>
      </c>
      <c r="C233" s="95">
        <f>'B) D RI'!U234</f>
        <v>15554.101904761903</v>
      </c>
      <c r="D233" s="405">
        <f>'E) PCS'!G239/C233</f>
        <v>15.529901820820271</v>
      </c>
      <c r="E233" s="136">
        <f>'H) Péréquation directe'!I243/C233</f>
        <v>-4.8133469307097707</v>
      </c>
      <c r="F233" s="405"/>
      <c r="G233" s="136">
        <f t="shared" si="13"/>
        <v>10.716554890110501</v>
      </c>
      <c r="H233" s="406">
        <f>G233-'C) Prél. conj.'!I233</f>
        <v>7.3799896986408733</v>
      </c>
      <c r="I233" s="410">
        <f t="shared" si="14"/>
        <v>0</v>
      </c>
      <c r="J233" s="55">
        <f t="shared" si="15"/>
        <v>0</v>
      </c>
      <c r="K233" s="406">
        <f t="shared" si="16"/>
        <v>7.3799896986408733</v>
      </c>
      <c r="L233" s="436"/>
    </row>
    <row r="234" spans="1:12" x14ac:dyDescent="0.25">
      <c r="A234" s="49">
        <f>'A) Base RI'!A235</f>
        <v>5785</v>
      </c>
      <c r="B234" s="286" t="str">
        <f>'A) Base RI'!B235</f>
        <v>Corcelles-le-Jorat</v>
      </c>
      <c r="C234" s="95">
        <f>'B) D RI'!U235</f>
        <v>14579.940909090908</v>
      </c>
      <c r="D234" s="405">
        <f>'E) PCS'!G240/C234</f>
        <v>14.796392446698698</v>
      </c>
      <c r="E234" s="136">
        <f>'H) Péréquation directe'!I244/C234</f>
        <v>-0.16291791727402422</v>
      </c>
      <c r="F234" s="405"/>
      <c r="G234" s="136">
        <f t="shared" si="13"/>
        <v>14.633474529424674</v>
      </c>
      <c r="H234" s="406">
        <f>G234-'C) Prél. conj.'!I234</f>
        <v>12.030418712076617</v>
      </c>
      <c r="I234" s="410">
        <f t="shared" si="14"/>
        <v>0</v>
      </c>
      <c r="J234" s="55">
        <f t="shared" si="15"/>
        <v>0</v>
      </c>
      <c r="K234" s="406">
        <f t="shared" si="16"/>
        <v>12.030418712076617</v>
      </c>
      <c r="L234" s="436"/>
    </row>
    <row r="235" spans="1:12" x14ac:dyDescent="0.25">
      <c r="A235" s="49">
        <f>'A) Base RI'!A236</f>
        <v>5788</v>
      </c>
      <c r="B235" s="286" t="str">
        <f>'A) Base RI'!B236</f>
        <v>Essertes</v>
      </c>
      <c r="C235" s="95">
        <f>'B) D RI'!U236</f>
        <v>13314.951048951047</v>
      </c>
      <c r="D235" s="405">
        <f>'E) PCS'!G241/C235</f>
        <v>13.288612905349334</v>
      </c>
      <c r="E235" s="136">
        <f>'H) Péréquation directe'!I245/C235</f>
        <v>6.0232096293997133</v>
      </c>
      <c r="F235" s="405"/>
      <c r="G235" s="136">
        <f t="shared" si="13"/>
        <v>19.311822534749048</v>
      </c>
      <c r="H235" s="406">
        <f>G235-'C) Prél. conj.'!I235</f>
        <v>18.216546258750355</v>
      </c>
      <c r="I235" s="410">
        <f t="shared" si="14"/>
        <v>0</v>
      </c>
      <c r="J235" s="55">
        <f t="shared" si="15"/>
        <v>0</v>
      </c>
      <c r="K235" s="406">
        <f t="shared" si="16"/>
        <v>18.216546258750355</v>
      </c>
      <c r="L235" s="436"/>
    </row>
    <row r="236" spans="1:12" x14ac:dyDescent="0.25">
      <c r="A236" s="49">
        <f>'A) Base RI'!A237</f>
        <v>5790</v>
      </c>
      <c r="B236" s="286" t="str">
        <f>'A) Base RI'!B237</f>
        <v>Maracon</v>
      </c>
      <c r="C236" s="95">
        <f>'B) D RI'!U237</f>
        <v>15172.050604026846</v>
      </c>
      <c r="D236" s="405">
        <f>'E) PCS'!G242/C236</f>
        <v>14.379575712365325</v>
      </c>
      <c r="E236" s="136">
        <f>'H) Péréquation directe'!I246/C236</f>
        <v>-2.2323108583473825</v>
      </c>
      <c r="F236" s="405"/>
      <c r="G236" s="136">
        <f t="shared" si="13"/>
        <v>12.147264854017942</v>
      </c>
      <c r="H236" s="406">
        <f>G236-'C) Prél. conj.'!I236</f>
        <v>9.9610257710032606</v>
      </c>
      <c r="I236" s="410">
        <f t="shared" si="14"/>
        <v>0</v>
      </c>
      <c r="J236" s="55">
        <f t="shared" si="15"/>
        <v>0</v>
      </c>
      <c r="K236" s="406">
        <f t="shared" si="16"/>
        <v>9.9610257710032606</v>
      </c>
      <c r="L236" s="436"/>
    </row>
    <row r="237" spans="1:12" x14ac:dyDescent="0.25">
      <c r="A237" s="49">
        <f>'A) Base RI'!A238</f>
        <v>5792</v>
      </c>
      <c r="B237" s="286" t="str">
        <f>'A) Base RI'!B238</f>
        <v>Montpreveyres</v>
      </c>
      <c r="C237" s="95">
        <f>'B) D RI'!U238</f>
        <v>20145.836291390729</v>
      </c>
      <c r="D237" s="405">
        <f>'E) PCS'!G243/C237</f>
        <v>16.537254833302196</v>
      </c>
      <c r="E237" s="136">
        <f>'H) Péréquation directe'!I247/C237</f>
        <v>1.2414255242341161</v>
      </c>
      <c r="F237" s="405"/>
      <c r="G237" s="136">
        <f t="shared" si="13"/>
        <v>17.778680357536313</v>
      </c>
      <c r="H237" s="406">
        <f>G237-'C) Prél. conj.'!I237</f>
        <v>13.43476215358476</v>
      </c>
      <c r="I237" s="410">
        <f t="shared" si="14"/>
        <v>0</v>
      </c>
      <c r="J237" s="55">
        <f t="shared" si="15"/>
        <v>0</v>
      </c>
      <c r="K237" s="406">
        <f t="shared" si="16"/>
        <v>13.43476215358476</v>
      </c>
      <c r="L237" s="436"/>
    </row>
    <row r="238" spans="1:12" x14ac:dyDescent="0.25">
      <c r="A238" s="49">
        <f>'A) Base RI'!A239</f>
        <v>5798</v>
      </c>
      <c r="B238" s="286" t="str">
        <f>'A) Base RI'!B239</f>
        <v>Ropraz</v>
      </c>
      <c r="C238" s="95">
        <f>'B) D RI'!U239</f>
        <v>17444.805161290325</v>
      </c>
      <c r="D238" s="405">
        <f>'E) PCS'!G244/C238</f>
        <v>16.149708131461189</v>
      </c>
      <c r="E238" s="136">
        <f>'H) Péréquation directe'!I248/C238</f>
        <v>3.414103659519018</v>
      </c>
      <c r="F238" s="405"/>
      <c r="G238" s="136">
        <f t="shared" si="13"/>
        <v>19.563811790980207</v>
      </c>
      <c r="H238" s="406">
        <f>G238-'C) Prél. conj.'!I238</f>
        <v>15.607440288869661</v>
      </c>
      <c r="I238" s="410">
        <f t="shared" si="14"/>
        <v>0</v>
      </c>
      <c r="J238" s="55">
        <f t="shared" si="15"/>
        <v>0</v>
      </c>
      <c r="K238" s="406">
        <f t="shared" si="16"/>
        <v>15.607440288869661</v>
      </c>
      <c r="L238" s="436"/>
    </row>
    <row r="239" spans="1:12" x14ac:dyDescent="0.25">
      <c r="A239" s="49">
        <f>'A) Base RI'!A240</f>
        <v>5799</v>
      </c>
      <c r="B239" s="286" t="str">
        <f>'A) Base RI'!B240</f>
        <v>Servion</v>
      </c>
      <c r="C239" s="95">
        <f>'B) D RI'!U240</f>
        <v>71744.263478260895</v>
      </c>
      <c r="D239" s="405">
        <f>'E) PCS'!G245/C239</f>
        <v>15.665961030540457</v>
      </c>
      <c r="E239" s="136">
        <f>'H) Péréquation directe'!I249/C239</f>
        <v>3.6502767015731283</v>
      </c>
      <c r="F239" s="405"/>
      <c r="G239" s="136">
        <f t="shared" si="13"/>
        <v>19.316237732113585</v>
      </c>
      <c r="H239" s="406">
        <f>G239-'C) Prél. conj.'!I239</f>
        <v>15.84361333092377</v>
      </c>
      <c r="I239" s="410">
        <f t="shared" si="14"/>
        <v>0</v>
      </c>
      <c r="J239" s="55">
        <f t="shared" si="15"/>
        <v>0</v>
      </c>
      <c r="K239" s="406">
        <f t="shared" si="16"/>
        <v>15.84361333092377</v>
      </c>
      <c r="L239" s="436"/>
    </row>
    <row r="240" spans="1:12" x14ac:dyDescent="0.25">
      <c r="A240" s="49">
        <f>'A) Base RI'!A241</f>
        <v>5803</v>
      </c>
      <c r="B240" s="286" t="str">
        <f>'A) Base RI'!B241</f>
        <v>Vulliens</v>
      </c>
      <c r="C240" s="95">
        <f>'B) D RI'!U241</f>
        <v>17996.188026315795</v>
      </c>
      <c r="D240" s="405">
        <f>'E) PCS'!G246/C240</f>
        <v>15.195950845260358</v>
      </c>
      <c r="E240" s="136">
        <f>'H) Péréquation directe'!I250/C240</f>
        <v>-1.6748440393099147</v>
      </c>
      <c r="F240" s="405"/>
      <c r="G240" s="136">
        <f t="shared" si="13"/>
        <v>13.521106805950442</v>
      </c>
      <c r="H240" s="406">
        <f>G240-'C) Prél. conj.'!I240</f>
        <v>10.518492590040728</v>
      </c>
      <c r="I240" s="410">
        <f t="shared" si="14"/>
        <v>0</v>
      </c>
      <c r="J240" s="55">
        <f t="shared" si="15"/>
        <v>0</v>
      </c>
      <c r="K240" s="406">
        <f t="shared" si="16"/>
        <v>10.518492590040728</v>
      </c>
      <c r="L240" s="436"/>
    </row>
    <row r="241" spans="1:12" x14ac:dyDescent="0.25">
      <c r="A241" s="49">
        <f>'A) Base RI'!A242</f>
        <v>5804</v>
      </c>
      <c r="B241" s="286" t="str">
        <f>'A) Base RI'!B242</f>
        <v>Jorat-Menthue</v>
      </c>
      <c r="C241" s="95">
        <f>'B) D RI'!U242</f>
        <v>46854.424539007086</v>
      </c>
      <c r="D241" s="405">
        <f>'E) PCS'!G247/C241</f>
        <v>14.02429487596361</v>
      </c>
      <c r="E241" s="136">
        <f>'H) Péréquation directe'!I251/C241</f>
        <v>-1.3924563323562329</v>
      </c>
      <c r="F241" s="405"/>
      <c r="G241" s="136">
        <f t="shared" si="13"/>
        <v>12.631838543607378</v>
      </c>
      <c r="H241" s="406">
        <f>G241-'C) Prél. conj.'!I241</f>
        <v>10.800880296994411</v>
      </c>
      <c r="I241" s="410">
        <f t="shared" si="14"/>
        <v>0</v>
      </c>
      <c r="J241" s="55">
        <f t="shared" si="15"/>
        <v>0</v>
      </c>
      <c r="K241" s="406">
        <f t="shared" si="16"/>
        <v>10.800880296994411</v>
      </c>
      <c r="L241" s="436"/>
    </row>
    <row r="242" spans="1:12" x14ac:dyDescent="0.25">
      <c r="A242" s="49">
        <f>'A) Base RI'!A243</f>
        <v>5805</v>
      </c>
      <c r="B242" s="286" t="str">
        <f>'A) Base RI'!B243</f>
        <v>Oron</v>
      </c>
      <c r="C242" s="95">
        <f>'B) D RI'!U243</f>
        <v>162115.58504611329</v>
      </c>
      <c r="D242" s="405">
        <f>'E) PCS'!G248/C242</f>
        <v>14.165422656175645</v>
      </c>
      <c r="E242" s="136">
        <f>'H) Péréquation directe'!I252/C242</f>
        <v>-8.4071755725547526</v>
      </c>
      <c r="F242" s="405"/>
      <c r="G242" s="136">
        <f t="shared" si="13"/>
        <v>5.7582470836208923</v>
      </c>
      <c r="H242" s="406">
        <f>G242-'C) Prél. conj.'!I242</f>
        <v>3.7861610567958923</v>
      </c>
      <c r="I242" s="410">
        <f t="shared" si="14"/>
        <v>0</v>
      </c>
      <c r="J242" s="55">
        <f t="shared" si="15"/>
        <v>0</v>
      </c>
      <c r="K242" s="406">
        <f t="shared" si="16"/>
        <v>3.7861610567958923</v>
      </c>
      <c r="L242" s="436"/>
    </row>
    <row r="243" spans="1:12" x14ac:dyDescent="0.25">
      <c r="A243" s="49">
        <f>'A) Base RI'!A244</f>
        <v>5806</v>
      </c>
      <c r="B243" s="286" t="str">
        <f>'A) Base RI'!B244</f>
        <v>Jorat-Mézières</v>
      </c>
      <c r="C243" s="95">
        <f>'B) D RI'!U244</f>
        <v>102077.74465753423</v>
      </c>
      <c r="D243" s="405">
        <f>'E) PCS'!G249/C243</f>
        <v>17.04380302299128</v>
      </c>
      <c r="E243" s="136">
        <f>'H) Péréquation directe'!I253/C243</f>
        <v>0.30819879341531903</v>
      </c>
      <c r="F243" s="405"/>
      <c r="G243" s="136">
        <f t="shared" si="13"/>
        <v>17.352001816406599</v>
      </c>
      <c r="H243" s="406">
        <f>G243-'C) Prél. conj.'!I243</f>
        <v>12.501535422765961</v>
      </c>
      <c r="I243" s="410">
        <f t="shared" si="14"/>
        <v>0</v>
      </c>
      <c r="J243" s="55">
        <f t="shared" si="15"/>
        <v>0</v>
      </c>
      <c r="K243" s="406">
        <f t="shared" si="16"/>
        <v>12.501535422765961</v>
      </c>
      <c r="L243" s="436"/>
    </row>
    <row r="244" spans="1:12" x14ac:dyDescent="0.25">
      <c r="A244" s="49">
        <f>'A) Base RI'!A245</f>
        <v>5812</v>
      </c>
      <c r="B244" s="286" t="str">
        <f>'A) Base RI'!B245</f>
        <v>Champtauroz</v>
      </c>
      <c r="C244" s="95">
        <f>'B) D RI'!U245</f>
        <v>3349.1505194805191</v>
      </c>
      <c r="D244" s="405">
        <f>'E) PCS'!G250/C244</f>
        <v>14.314964175998545</v>
      </c>
      <c r="E244" s="136">
        <f>'H) Péréquation directe'!I254/C244</f>
        <v>-21.692804681526976</v>
      </c>
      <c r="F244" s="405"/>
      <c r="G244" s="136">
        <f t="shared" si="13"/>
        <v>-7.3778405055284306</v>
      </c>
      <c r="H244" s="406">
        <f>G244-'C) Prél. conj.'!I244</f>
        <v>-9.4994680521763328</v>
      </c>
      <c r="I244" s="410">
        <f t="shared" si="14"/>
        <v>0</v>
      </c>
      <c r="J244" s="55">
        <f t="shared" si="15"/>
        <v>0</v>
      </c>
      <c r="K244" s="406">
        <f t="shared" si="16"/>
        <v>-9.4994680521763328</v>
      </c>
      <c r="L244" s="436"/>
    </row>
    <row r="245" spans="1:12" x14ac:dyDescent="0.25">
      <c r="A245" s="49">
        <f>'A) Base RI'!A246</f>
        <v>5813</v>
      </c>
      <c r="B245" s="286" t="str">
        <f>'A) Base RI'!B246</f>
        <v>Chevroux</v>
      </c>
      <c r="C245" s="95">
        <f>'B) D RI'!U246</f>
        <v>15276.905328467155</v>
      </c>
      <c r="D245" s="405">
        <f>'E) PCS'!G251/C245</f>
        <v>17.178953700504032</v>
      </c>
      <c r="E245" s="136">
        <f>'H) Péréquation directe'!I255/C245</f>
        <v>3.3535593356681077</v>
      </c>
      <c r="F245" s="405"/>
      <c r="G245" s="136">
        <f t="shared" si="13"/>
        <v>20.532513036172141</v>
      </c>
      <c r="H245" s="406">
        <f>G245-'C) Prél. conj.'!I245</f>
        <v>15.546895965018754</v>
      </c>
      <c r="I245" s="410">
        <f t="shared" si="14"/>
        <v>0</v>
      </c>
      <c r="J245" s="55">
        <f t="shared" si="15"/>
        <v>0</v>
      </c>
      <c r="K245" s="406">
        <f t="shared" si="16"/>
        <v>15.546895965018754</v>
      </c>
      <c r="L245" s="436"/>
    </row>
    <row r="246" spans="1:12" x14ac:dyDescent="0.25">
      <c r="A246" s="49">
        <f>'A) Base RI'!A247</f>
        <v>5816</v>
      </c>
      <c r="B246" s="286" t="str">
        <f>'A) Base RI'!B247</f>
        <v>Corcelles-près-Payerne</v>
      </c>
      <c r="C246" s="95">
        <f>'B) D RI'!U247</f>
        <v>65651.255161626686</v>
      </c>
      <c r="D246" s="405">
        <f>'E) PCS'!G252/C246</f>
        <v>14.25851230141072</v>
      </c>
      <c r="E246" s="136">
        <f>'H) Péréquation directe'!I256/C246</f>
        <v>-11.15077556531177</v>
      </c>
      <c r="F246" s="405"/>
      <c r="G246" s="136">
        <f t="shared" si="13"/>
        <v>3.1077367360989498</v>
      </c>
      <c r="H246" s="406">
        <f>G246-'C) Prél. conj.'!I246</f>
        <v>1.0425610640388725</v>
      </c>
      <c r="I246" s="410">
        <f t="shared" si="14"/>
        <v>0</v>
      </c>
      <c r="J246" s="55">
        <f t="shared" si="15"/>
        <v>0</v>
      </c>
      <c r="K246" s="406">
        <f t="shared" si="16"/>
        <v>1.0425610640388725</v>
      </c>
      <c r="L246" s="436"/>
    </row>
    <row r="247" spans="1:12" x14ac:dyDescent="0.25">
      <c r="A247" s="49">
        <f>'A) Base RI'!A248</f>
        <v>5817</v>
      </c>
      <c r="B247" s="286" t="str">
        <f>'A) Base RI'!B248</f>
        <v>Grandcour</v>
      </c>
      <c r="C247" s="95">
        <f>'B) D RI'!U248</f>
        <v>24623.103809523807</v>
      </c>
      <c r="D247" s="405">
        <f>'E) PCS'!G253/C247</f>
        <v>13.122525539773488</v>
      </c>
      <c r="E247" s="136">
        <f>'H) Péréquation directe'!I257/C247</f>
        <v>-6.509136509103703</v>
      </c>
      <c r="F247" s="405"/>
      <c r="G247" s="136">
        <f t="shared" si="13"/>
        <v>6.6133890306697847</v>
      </c>
      <c r="H247" s="406">
        <f>G247-'C) Prél. conj.'!I247</f>
        <v>5.684200120246941</v>
      </c>
      <c r="I247" s="410">
        <f t="shared" si="14"/>
        <v>0</v>
      </c>
      <c r="J247" s="55">
        <f t="shared" si="15"/>
        <v>0</v>
      </c>
      <c r="K247" s="406">
        <f t="shared" si="16"/>
        <v>5.684200120246941</v>
      </c>
      <c r="L247" s="436"/>
    </row>
    <row r="248" spans="1:12" x14ac:dyDescent="0.25">
      <c r="A248" s="49">
        <f>'A) Base RI'!A249</f>
        <v>5819</v>
      </c>
      <c r="B248" s="286" t="str">
        <f>'A) Base RI'!B249</f>
        <v>Henniez</v>
      </c>
      <c r="C248" s="95">
        <f>'B) D RI'!U249</f>
        <v>10073.647101449274</v>
      </c>
      <c r="D248" s="405">
        <f>'E) PCS'!G254/C248</f>
        <v>15.487245942019163</v>
      </c>
      <c r="E248" s="136">
        <f>'H) Péréquation directe'!I258/C248</f>
        <v>-4.4298779792479035</v>
      </c>
      <c r="F248" s="405"/>
      <c r="G248" s="136">
        <f t="shared" si="13"/>
        <v>11.057367962771259</v>
      </c>
      <c r="H248" s="406">
        <f>G248-'C) Prél. conj.'!I248</f>
        <v>7.7634586501027396</v>
      </c>
      <c r="I248" s="410">
        <f t="shared" si="14"/>
        <v>0</v>
      </c>
      <c r="J248" s="55">
        <f t="shared" si="15"/>
        <v>0</v>
      </c>
      <c r="K248" s="406">
        <f t="shared" si="16"/>
        <v>7.7634586501027396</v>
      </c>
      <c r="L248" s="436"/>
    </row>
    <row r="249" spans="1:12" x14ac:dyDescent="0.25">
      <c r="A249" s="49">
        <f>'A) Base RI'!A250</f>
        <v>5821</v>
      </c>
      <c r="B249" s="286" t="str">
        <f>'A) Base RI'!B250</f>
        <v>Missy</v>
      </c>
      <c r="C249" s="95">
        <f>'B) D RI'!U250</f>
        <v>8044.6855555555558</v>
      </c>
      <c r="D249" s="405">
        <f>'E) PCS'!G255/C249</f>
        <v>13.721410649784008</v>
      </c>
      <c r="E249" s="136">
        <f>'H) Péréquation directe'!I259/C249</f>
        <v>-11.793238891804295</v>
      </c>
      <c r="F249" s="405"/>
      <c r="G249" s="136">
        <f t="shared" si="13"/>
        <v>1.9281717579797135</v>
      </c>
      <c r="H249" s="406">
        <f>G249-'C) Prél. conj.'!I249</f>
        <v>0.40009773754634814</v>
      </c>
      <c r="I249" s="410">
        <f t="shared" si="14"/>
        <v>0</v>
      </c>
      <c r="J249" s="55">
        <f t="shared" si="15"/>
        <v>0</v>
      </c>
      <c r="K249" s="406">
        <f t="shared" si="16"/>
        <v>0.40009773754634814</v>
      </c>
      <c r="L249" s="436"/>
    </row>
    <row r="250" spans="1:12" x14ac:dyDescent="0.25">
      <c r="A250" s="49">
        <f>'A) Base RI'!A251</f>
        <v>5822</v>
      </c>
      <c r="B250" s="286" t="str">
        <f>'A) Base RI'!B251</f>
        <v>Payerne</v>
      </c>
      <c r="C250" s="95">
        <f>'B) D RI'!U251</f>
        <v>239984.44424657538</v>
      </c>
      <c r="D250" s="405">
        <f>'E) PCS'!G256/C250</f>
        <v>16.945172310117997</v>
      </c>
      <c r="E250" s="136">
        <f>'H) Péréquation directe'!I260/C250</f>
        <v>-25.993612105668259</v>
      </c>
      <c r="F250" s="405"/>
      <c r="G250" s="136">
        <f t="shared" si="13"/>
        <v>-9.0484397955502622</v>
      </c>
      <c r="H250" s="406">
        <f>G250-'C) Prél. conj.'!I250</f>
        <v>-13.800275476317614</v>
      </c>
      <c r="I250" s="410">
        <f t="shared" si="14"/>
        <v>0</v>
      </c>
      <c r="J250" s="55">
        <f t="shared" si="15"/>
        <v>0</v>
      </c>
      <c r="K250" s="406">
        <f t="shared" si="16"/>
        <v>-13.800275476317614</v>
      </c>
      <c r="L250" s="436"/>
    </row>
    <row r="251" spans="1:12" x14ac:dyDescent="0.25">
      <c r="A251" s="49">
        <f>'A) Base RI'!A252</f>
        <v>5827</v>
      </c>
      <c r="B251" s="286" t="str">
        <f>'A) Base RI'!B252</f>
        <v>Trey</v>
      </c>
      <c r="C251" s="95">
        <f>'B) D RI'!U252</f>
        <v>7747.4438461538457</v>
      </c>
      <c r="D251" s="405">
        <f>'E) PCS'!G257/C251</f>
        <v>19.63984106947516</v>
      </c>
      <c r="E251" s="136">
        <f>'H) Péréquation directe'!I261/C251</f>
        <v>-10.830109927523905</v>
      </c>
      <c r="F251" s="405"/>
      <c r="G251" s="136">
        <f t="shared" si="13"/>
        <v>8.8097311419512554</v>
      </c>
      <c r="H251" s="406">
        <f>G251-'C) Prél. conj.'!I251</f>
        <v>1.3632267018267354</v>
      </c>
      <c r="I251" s="410">
        <f t="shared" si="14"/>
        <v>0</v>
      </c>
      <c r="J251" s="55">
        <f t="shared" si="15"/>
        <v>0</v>
      </c>
      <c r="K251" s="406">
        <f t="shared" si="16"/>
        <v>1.3632267018267354</v>
      </c>
      <c r="L251" s="436"/>
    </row>
    <row r="252" spans="1:12" x14ac:dyDescent="0.25">
      <c r="A252" s="49">
        <f>'A) Base RI'!A253</f>
        <v>5828</v>
      </c>
      <c r="B252" s="286" t="str">
        <f>'A) Base RI'!B253</f>
        <v>Treytorrens (Payerne)</v>
      </c>
      <c r="C252" s="95">
        <f>'B) D RI'!U253</f>
        <v>2899.2203232323236</v>
      </c>
      <c r="D252" s="405">
        <f>'E) PCS'!G258/C252</f>
        <v>14.55156547633163</v>
      </c>
      <c r="E252" s="136">
        <f>'H) Péréquation directe'!I262/C252</f>
        <v>-8.6997889109062587</v>
      </c>
      <c r="F252" s="405"/>
      <c r="G252" s="136">
        <f t="shared" si="13"/>
        <v>5.8517765654253715</v>
      </c>
      <c r="H252" s="406">
        <f>G252-'C) Prél. conj.'!I252</f>
        <v>3.4935477184443871</v>
      </c>
      <c r="I252" s="410">
        <f t="shared" si="14"/>
        <v>0</v>
      </c>
      <c r="J252" s="55">
        <f t="shared" si="15"/>
        <v>0</v>
      </c>
      <c r="K252" s="406">
        <f t="shared" si="16"/>
        <v>3.4935477184443871</v>
      </c>
      <c r="L252" s="436"/>
    </row>
    <row r="253" spans="1:12" x14ac:dyDescent="0.25">
      <c r="A253" s="49">
        <f>'A) Base RI'!A254</f>
        <v>5830</v>
      </c>
      <c r="B253" s="286" t="str">
        <f>'A) Base RI'!B254</f>
        <v>Villarzel</v>
      </c>
      <c r="C253" s="95">
        <f>'B) D RI'!U254</f>
        <v>12409.986933333334</v>
      </c>
      <c r="D253" s="405">
        <f>'E) PCS'!G259/C253</f>
        <v>17.407360652711958</v>
      </c>
      <c r="E253" s="136">
        <f>'H) Péréquation directe'!I263/C253</f>
        <v>-7.5968044774965842</v>
      </c>
      <c r="F253" s="405"/>
      <c r="G253" s="136">
        <f t="shared" si="13"/>
        <v>9.8105561752153747</v>
      </c>
      <c r="H253" s="406">
        <f>G253-'C) Prél. conj.'!I253</f>
        <v>4.5965321518540607</v>
      </c>
      <c r="I253" s="410">
        <f t="shared" si="14"/>
        <v>0</v>
      </c>
      <c r="J253" s="55">
        <f t="shared" si="15"/>
        <v>0</v>
      </c>
      <c r="K253" s="406">
        <f t="shared" si="16"/>
        <v>4.5965321518540607</v>
      </c>
      <c r="L253" s="436"/>
    </row>
    <row r="254" spans="1:12" x14ac:dyDescent="0.25">
      <c r="A254" s="49">
        <f>'A) Base RI'!A255</f>
        <v>5831</v>
      </c>
      <c r="B254" s="286" t="str">
        <f>'A) Base RI'!B255</f>
        <v>Valbroye</v>
      </c>
      <c r="C254" s="95">
        <f>'B) D RI'!U255</f>
        <v>81049.404018912537</v>
      </c>
      <c r="D254" s="405">
        <f>'E) PCS'!G260/C254</f>
        <v>17.527206880871841</v>
      </c>
      <c r="E254" s="136">
        <f>'H) Péréquation directe'!I264/C254</f>
        <v>-13.380076434407618</v>
      </c>
      <c r="F254" s="405"/>
      <c r="G254" s="136">
        <f t="shared" si="13"/>
        <v>4.1471304464642227</v>
      </c>
      <c r="H254" s="406">
        <f>G254-'C) Prél. conj.'!I254</f>
        <v>-1.1867398050569733</v>
      </c>
      <c r="I254" s="410">
        <f t="shared" si="14"/>
        <v>0</v>
      </c>
      <c r="J254" s="55">
        <f t="shared" si="15"/>
        <v>0</v>
      </c>
      <c r="K254" s="406">
        <f t="shared" si="16"/>
        <v>-1.1867398050569733</v>
      </c>
      <c r="L254" s="436"/>
    </row>
    <row r="255" spans="1:12" x14ac:dyDescent="0.25">
      <c r="A255" s="49">
        <f>'A) Base RI'!A256</f>
        <v>5841</v>
      </c>
      <c r="B255" s="286" t="str">
        <f>'A) Base RI'!B256</f>
        <v>Château-d'Oex</v>
      </c>
      <c r="C255" s="95">
        <f>'B) D RI'!U256</f>
        <v>110857.63779141105</v>
      </c>
      <c r="D255" s="405">
        <f>'E) PCS'!G261/C255</f>
        <v>20.261404854680411</v>
      </c>
      <c r="E255" s="136">
        <f>'H) Péréquation directe'!I265/C255</f>
        <v>-5.6956132834046755</v>
      </c>
      <c r="F255" s="405"/>
      <c r="G255" s="136">
        <f t="shared" si="13"/>
        <v>14.565791571275735</v>
      </c>
      <c r="H255" s="406">
        <f>G255-'C) Prél. conj.'!I255</f>
        <v>6.4977233459459676</v>
      </c>
      <c r="I255" s="410">
        <f t="shared" si="14"/>
        <v>0</v>
      </c>
      <c r="J255" s="55">
        <f t="shared" si="15"/>
        <v>0</v>
      </c>
      <c r="K255" s="406">
        <f t="shared" si="16"/>
        <v>6.4977233459459676</v>
      </c>
      <c r="L255" s="436"/>
    </row>
    <row r="256" spans="1:12" x14ac:dyDescent="0.25">
      <c r="A256" s="49">
        <f>'A) Base RI'!A257</f>
        <v>5842</v>
      </c>
      <c r="B256" s="286" t="str">
        <f>'A) Base RI'!B257</f>
        <v>Rossinière</v>
      </c>
      <c r="C256" s="95">
        <f>'B) D RI'!U257</f>
        <v>14944.680411522633</v>
      </c>
      <c r="D256" s="405">
        <f>'E) PCS'!G262/C256</f>
        <v>15.109503037726837</v>
      </c>
      <c r="E256" s="136">
        <f>'H) Péréquation directe'!I266/C256</f>
        <v>-4.7975014200580217</v>
      </c>
      <c r="F256" s="405"/>
      <c r="G256" s="136">
        <f t="shared" si="13"/>
        <v>10.312001617668816</v>
      </c>
      <c r="H256" s="406">
        <f>G256-'C) Prél. conj.'!I256</f>
        <v>7.3958352092926232</v>
      </c>
      <c r="I256" s="410">
        <f t="shared" si="14"/>
        <v>0</v>
      </c>
      <c r="J256" s="55">
        <f t="shared" si="15"/>
        <v>0</v>
      </c>
      <c r="K256" s="406">
        <f t="shared" si="16"/>
        <v>7.3958352092926232</v>
      </c>
      <c r="L256" s="436"/>
    </row>
    <row r="257" spans="1:13" x14ac:dyDescent="0.25">
      <c r="A257" s="49">
        <f>'A) Base RI'!A258</f>
        <v>5843</v>
      </c>
      <c r="B257" s="286" t="str">
        <f>'A) Base RI'!B258</f>
        <v>Rougemont</v>
      </c>
      <c r="C257" s="95">
        <f>'B) D RI'!U258</f>
        <v>97088.109459459462</v>
      </c>
      <c r="D257" s="405">
        <f>'E) PCS'!G263/C257</f>
        <v>39.84007748090967</v>
      </c>
      <c r="E257" s="136">
        <f>'H) Péréquation directe'!I267/C257</f>
        <v>17.704822917783627</v>
      </c>
      <c r="F257" s="405"/>
      <c r="G257" s="136">
        <f t="shared" si="13"/>
        <v>57.544900398693301</v>
      </c>
      <c r="H257" s="406">
        <f>G257-'C) Prél. conj.'!I257</f>
        <v>45.581416286511612</v>
      </c>
      <c r="I257" s="410">
        <f t="shared" si="14"/>
        <v>0</v>
      </c>
      <c r="J257" s="55">
        <f t="shared" si="15"/>
        <v>0</v>
      </c>
      <c r="K257" s="406">
        <f t="shared" si="16"/>
        <v>45.581416286511612</v>
      </c>
      <c r="L257" s="436"/>
    </row>
    <row r="258" spans="1:13" x14ac:dyDescent="0.25">
      <c r="A258" s="49">
        <f>'A) Base RI'!A259</f>
        <v>5851</v>
      </c>
      <c r="B258" s="286" t="str">
        <f>'A) Base RI'!B259</f>
        <v>Allaman</v>
      </c>
      <c r="C258" s="95">
        <f>'B) D RI'!U259</f>
        <v>24875.935818181821</v>
      </c>
      <c r="D258" s="405">
        <f>'E) PCS'!G264/C258</f>
        <v>16.307162841121542</v>
      </c>
      <c r="E258" s="136">
        <f>'H) Péréquation directe'!I268/C258</f>
        <v>16.656031330965941</v>
      </c>
      <c r="F258" s="405"/>
      <c r="G258" s="136">
        <f t="shared" si="13"/>
        <v>32.963194172087483</v>
      </c>
      <c r="H258" s="406">
        <f>G258-'C) Prél. conj.'!I258</f>
        <v>30.804519604325037</v>
      </c>
      <c r="I258" s="410">
        <f t="shared" si="14"/>
        <v>0</v>
      </c>
      <c r="J258" s="55">
        <f t="shared" si="15"/>
        <v>0</v>
      </c>
      <c r="K258" s="406">
        <f t="shared" si="16"/>
        <v>30.804519604325037</v>
      </c>
      <c r="L258" s="436"/>
    </row>
    <row r="259" spans="1:13" x14ac:dyDescent="0.25">
      <c r="A259" s="49">
        <f>'A) Base RI'!A260</f>
        <v>5852</v>
      </c>
      <c r="B259" s="286" t="str">
        <f>'A) Base RI'!B260</f>
        <v>Bursinel</v>
      </c>
      <c r="C259" s="95">
        <f>'B) D RI'!U260</f>
        <v>34636.657688172039</v>
      </c>
      <c r="D259" s="405">
        <f>'E) PCS'!G265/C259</f>
        <v>21.433327526187579</v>
      </c>
      <c r="E259" s="136">
        <f>'H) Péréquation directe'!I269/C259</f>
        <v>16.957566108095921</v>
      </c>
      <c r="F259" s="405"/>
      <c r="G259" s="136">
        <f t="shared" si="13"/>
        <v>38.390893634283501</v>
      </c>
      <c r="H259" s="406">
        <f>G259-'C) Prél. conj.'!I259</f>
        <v>33.465712442269847</v>
      </c>
      <c r="I259" s="410">
        <f t="shared" si="14"/>
        <v>0</v>
      </c>
      <c r="J259" s="55">
        <f t="shared" si="15"/>
        <v>0</v>
      </c>
      <c r="K259" s="406">
        <f t="shared" si="16"/>
        <v>33.465712442269847</v>
      </c>
      <c r="L259" s="436"/>
    </row>
    <row r="260" spans="1:13" x14ac:dyDescent="0.25">
      <c r="A260" s="49">
        <f>'A) Base RI'!A261</f>
        <v>5853</v>
      </c>
      <c r="B260" s="286" t="str">
        <f>'A) Base RI'!B261</f>
        <v>Bursins</v>
      </c>
      <c r="C260" s="95">
        <f>'B) D RI'!U261</f>
        <v>44486.311690140843</v>
      </c>
      <c r="D260" s="405">
        <f>'E) PCS'!G266/C260</f>
        <v>20.869816324851048</v>
      </c>
      <c r="E260" s="136">
        <f>'H) Péréquation directe'!I270/C260</f>
        <v>16.644760354400411</v>
      </c>
      <c r="F260" s="405"/>
      <c r="G260" s="136">
        <f t="shared" si="13"/>
        <v>37.514576679251462</v>
      </c>
      <c r="H260" s="406">
        <f>G260-'C) Prél. conj.'!I260</f>
        <v>31.089565048913379</v>
      </c>
      <c r="I260" s="410">
        <f t="shared" si="14"/>
        <v>0</v>
      </c>
      <c r="J260" s="55">
        <f t="shared" si="15"/>
        <v>0</v>
      </c>
      <c r="K260" s="406">
        <f t="shared" si="16"/>
        <v>31.089565048913379</v>
      </c>
      <c r="L260" s="436"/>
    </row>
    <row r="261" spans="1:13" x14ac:dyDescent="0.25">
      <c r="A261" s="49">
        <f>'A) Base RI'!A262</f>
        <v>5854</v>
      </c>
      <c r="B261" s="286" t="str">
        <f>'A) Base RI'!B262</f>
        <v>Burtigny</v>
      </c>
      <c r="C261" s="95">
        <f>'B) D RI'!U262</f>
        <v>15255.967208333332</v>
      </c>
      <c r="D261" s="405">
        <f>'E) PCS'!G267/C261</f>
        <v>14.510793105049403</v>
      </c>
      <c r="E261" s="136">
        <f>'H) Péréquation directe'!I271/C261</f>
        <v>7.2129656933980701</v>
      </c>
      <c r="F261" s="405"/>
      <c r="G261" s="136">
        <f t="shared" si="13"/>
        <v>21.723758798447474</v>
      </c>
      <c r="H261" s="406">
        <f>G261-'C) Prél. conj.'!I261</f>
        <v>19.406302322748715</v>
      </c>
      <c r="I261" s="410">
        <f t="shared" si="14"/>
        <v>0</v>
      </c>
      <c r="J261" s="55">
        <f t="shared" si="15"/>
        <v>0</v>
      </c>
      <c r="K261" s="406">
        <f t="shared" si="16"/>
        <v>19.406302322748715</v>
      </c>
      <c r="L261" s="436"/>
    </row>
    <row r="262" spans="1:13" x14ac:dyDescent="0.25">
      <c r="A262" s="49">
        <f>'A) Base RI'!A263</f>
        <v>5855</v>
      </c>
      <c r="B262" s="286" t="str">
        <f>'A) Base RI'!B263</f>
        <v>Dully</v>
      </c>
      <c r="C262" s="95">
        <f>'B) D RI'!U263</f>
        <v>93684.152857142864</v>
      </c>
      <c r="D262" s="405">
        <f>'E) PCS'!G268/C262</f>
        <v>29.584126302935459</v>
      </c>
      <c r="E262" s="136">
        <f>'H) Péréquation directe'!I272/C262</f>
        <v>17.968181112591807</v>
      </c>
      <c r="F262" s="405"/>
      <c r="G262" s="136">
        <f t="shared" ref="G262:G313" si="17">SUM(D262:F262)</f>
        <v>47.552307415527267</v>
      </c>
      <c r="H262" s="406">
        <f>G262-'C) Prél. conj.'!I262</f>
        <v>43.985226860189556</v>
      </c>
      <c r="I262" s="410">
        <f t="shared" ref="I262:I313" si="18">IF(H262&gt;I$5,I$5-H262,0)</f>
        <v>0</v>
      </c>
      <c r="J262" s="55">
        <f t="shared" ref="J262:J313" si="19">I262*C262</f>
        <v>0</v>
      </c>
      <c r="K262" s="406">
        <f t="shared" ref="K262:K313" si="20">H262+I262</f>
        <v>43.985226860189556</v>
      </c>
      <c r="L262" s="436"/>
      <c r="M262" s="401"/>
    </row>
    <row r="263" spans="1:13" x14ac:dyDescent="0.25">
      <c r="A263" s="49">
        <f>'A) Base RI'!A264</f>
        <v>5856</v>
      </c>
      <c r="B263" s="286" t="str">
        <f>'A) Base RI'!B264</f>
        <v>Essertines-sur-Rolle</v>
      </c>
      <c r="C263" s="95">
        <f>'B) D RI'!U264</f>
        <v>42220.114424522842</v>
      </c>
      <c r="D263" s="405">
        <f>'E) PCS'!G269/C263</f>
        <v>19.569065141939955</v>
      </c>
      <c r="E263" s="136">
        <f>'H) Péréquation directe'!I273/C263</f>
        <v>16.587504611372058</v>
      </c>
      <c r="F263" s="405"/>
      <c r="G263" s="136">
        <f t="shared" si="17"/>
        <v>36.156569753312013</v>
      </c>
      <c r="H263" s="406">
        <f>G263-'C) Prél. conj.'!I263</f>
        <v>30.594007851215647</v>
      </c>
      <c r="I263" s="410">
        <f t="shared" si="18"/>
        <v>0</v>
      </c>
      <c r="J263" s="55">
        <f t="shared" si="19"/>
        <v>0</v>
      </c>
      <c r="K263" s="406">
        <f t="shared" si="20"/>
        <v>30.594007851215647</v>
      </c>
      <c r="L263" s="436"/>
    </row>
    <row r="264" spans="1:13" x14ac:dyDescent="0.25">
      <c r="A264" s="49">
        <f>'A) Base RI'!A265</f>
        <v>5857</v>
      </c>
      <c r="B264" s="286" t="str">
        <f>'A) Base RI'!B265</f>
        <v>Gilly</v>
      </c>
      <c r="C264" s="95">
        <f>'B) D RI'!U265</f>
        <v>88866.553953488372</v>
      </c>
      <c r="D264" s="405">
        <f>'E) PCS'!G270/C264</f>
        <v>18.135421004311628</v>
      </c>
      <c r="E264" s="136">
        <f>'H) Péréquation directe'!I274/C264</f>
        <v>15.687045776297662</v>
      </c>
      <c r="F264" s="405"/>
      <c r="G264" s="136">
        <f t="shared" si="17"/>
        <v>33.82246678060929</v>
      </c>
      <c r="H264" s="406">
        <f>G264-'C) Prél. conj.'!I264</f>
        <v>31.056907083891101</v>
      </c>
      <c r="I264" s="410">
        <f t="shared" si="18"/>
        <v>0</v>
      </c>
      <c r="J264" s="55">
        <f t="shared" si="19"/>
        <v>0</v>
      </c>
      <c r="K264" s="406">
        <f t="shared" si="20"/>
        <v>31.056907083891101</v>
      </c>
      <c r="L264" s="436"/>
    </row>
    <row r="265" spans="1:13" x14ac:dyDescent="0.25">
      <c r="A265" s="49">
        <f>'A) Base RI'!A266</f>
        <v>5858</v>
      </c>
      <c r="B265" s="286" t="str">
        <f>'A) Base RI'!B266</f>
        <v>Luins</v>
      </c>
      <c r="C265" s="95">
        <f>'B) D RI'!U266</f>
        <v>38253.397207977199</v>
      </c>
      <c r="D265" s="405">
        <f>'E) PCS'!G271/C265</f>
        <v>16.230147324224806</v>
      </c>
      <c r="E265" s="136">
        <f>'H) Péréquation directe'!I275/C265</f>
        <v>16.757907977020157</v>
      </c>
      <c r="F265" s="405"/>
      <c r="G265" s="136">
        <f t="shared" si="17"/>
        <v>32.988055301244962</v>
      </c>
      <c r="H265" s="406">
        <f>G265-'C) Prél. conj.'!I265</f>
        <v>31.571599144281716</v>
      </c>
      <c r="I265" s="410">
        <f t="shared" si="18"/>
        <v>0</v>
      </c>
      <c r="J265" s="55">
        <f t="shared" si="19"/>
        <v>0</v>
      </c>
      <c r="K265" s="406">
        <f t="shared" si="20"/>
        <v>31.571599144281716</v>
      </c>
      <c r="L265" s="436"/>
    </row>
    <row r="266" spans="1:13" x14ac:dyDescent="0.25">
      <c r="A266" s="49">
        <f>'A) Base RI'!A267</f>
        <v>5859</v>
      </c>
      <c r="B266" s="286" t="str">
        <f>'A) Base RI'!B267</f>
        <v>Mont-sur-Rolle</v>
      </c>
      <c r="C266" s="95">
        <f>'B) D RI'!U267</f>
        <v>160910.93779527559</v>
      </c>
      <c r="D266" s="405">
        <f>'E) PCS'!G272/C266</f>
        <v>19.910443143680503</v>
      </c>
      <c r="E266" s="136">
        <f>'H) Péréquation directe'!I276/C266</f>
        <v>14.262225835443621</v>
      </c>
      <c r="F266" s="405"/>
      <c r="G266" s="136">
        <f t="shared" si="17"/>
        <v>34.172668979124126</v>
      </c>
      <c r="H266" s="406">
        <f>G266-'C) Prél. conj.'!I266</f>
        <v>28.756007178862152</v>
      </c>
      <c r="I266" s="410">
        <f t="shared" si="18"/>
        <v>0</v>
      </c>
      <c r="J266" s="55">
        <f t="shared" si="19"/>
        <v>0</v>
      </c>
      <c r="K266" s="406">
        <f t="shared" si="20"/>
        <v>28.756007178862152</v>
      </c>
      <c r="L266" s="436"/>
    </row>
    <row r="267" spans="1:13" x14ac:dyDescent="0.25">
      <c r="A267" s="49">
        <f>'A) Base RI'!A268</f>
        <v>5860</v>
      </c>
      <c r="B267" s="286" t="str">
        <f>'A) Base RI'!B268</f>
        <v>Perroy</v>
      </c>
      <c r="C267" s="95">
        <f>'B) D RI'!U268</f>
        <v>124242.10120973046</v>
      </c>
      <c r="D267" s="405">
        <f>'E) PCS'!G273/C267</f>
        <v>23.491354112705807</v>
      </c>
      <c r="E267" s="136">
        <f>'H) Péréquation directe'!I277/C267</f>
        <v>16.36326476666498</v>
      </c>
      <c r="F267" s="405"/>
      <c r="G267" s="136">
        <f t="shared" si="17"/>
        <v>39.85461887937079</v>
      </c>
      <c r="H267" s="406">
        <f>G267-'C) Prél. conj.'!I267</f>
        <v>35.731630657083052</v>
      </c>
      <c r="I267" s="410">
        <f t="shared" si="18"/>
        <v>0</v>
      </c>
      <c r="J267" s="55">
        <f t="shared" si="19"/>
        <v>0</v>
      </c>
      <c r="K267" s="406">
        <f t="shared" si="20"/>
        <v>35.731630657083052</v>
      </c>
      <c r="L267" s="436"/>
    </row>
    <row r="268" spans="1:13" x14ac:dyDescent="0.25">
      <c r="A268" s="49">
        <f>'A) Base RI'!A269</f>
        <v>5861</v>
      </c>
      <c r="B268" s="286" t="str">
        <f>'A) Base RI'!B269</f>
        <v>Rolle</v>
      </c>
      <c r="C268" s="95">
        <f>'B) D RI'!U269</f>
        <v>638128.58403361356</v>
      </c>
      <c r="D268" s="405">
        <f>'E) PCS'!G274/C268</f>
        <v>25.752501554356172</v>
      </c>
      <c r="E268" s="136">
        <f>'H) Péréquation directe'!I278/C268</f>
        <v>14.746816177229732</v>
      </c>
      <c r="F268" s="405"/>
      <c r="G268" s="136">
        <f t="shared" si="17"/>
        <v>40.499317731585904</v>
      </c>
      <c r="H268" s="406">
        <f>G268-'C) Prél. conj.'!I268</f>
        <v>37.658506161069404</v>
      </c>
      <c r="I268" s="410">
        <f t="shared" si="18"/>
        <v>0</v>
      </c>
      <c r="J268" s="55">
        <f t="shared" si="19"/>
        <v>0</v>
      </c>
      <c r="K268" s="406">
        <f t="shared" si="20"/>
        <v>37.658506161069404</v>
      </c>
      <c r="L268" s="436"/>
    </row>
    <row r="269" spans="1:13" x14ac:dyDescent="0.25">
      <c r="A269" s="49">
        <f>'A) Base RI'!A270</f>
        <v>5862</v>
      </c>
      <c r="B269" s="286" t="str">
        <f>'A) Base RI'!B270</f>
        <v>Tartegnin</v>
      </c>
      <c r="C269" s="95">
        <f>'B) D RI'!U270</f>
        <v>7891.022278481013</v>
      </c>
      <c r="D269" s="405">
        <f>'E) PCS'!G275/C269</f>
        <v>14.478870032187734</v>
      </c>
      <c r="E269" s="136">
        <f>'H) Péréquation directe'!I279/C269</f>
        <v>3.0545406882155608</v>
      </c>
      <c r="F269" s="405"/>
      <c r="G269" s="136">
        <f t="shared" si="17"/>
        <v>17.533410720403296</v>
      </c>
      <c r="H269" s="406">
        <f>G269-'C) Prél. conj.'!I269</f>
        <v>15.247877317566205</v>
      </c>
      <c r="I269" s="410">
        <f t="shared" si="18"/>
        <v>0</v>
      </c>
      <c r="J269" s="55">
        <f t="shared" si="19"/>
        <v>0</v>
      </c>
      <c r="K269" s="406">
        <f t="shared" si="20"/>
        <v>15.247877317566205</v>
      </c>
      <c r="L269" s="436"/>
    </row>
    <row r="270" spans="1:13" x14ac:dyDescent="0.25">
      <c r="A270" s="49">
        <f>'A) Base RI'!A271</f>
        <v>5863</v>
      </c>
      <c r="B270" s="286" t="str">
        <f>'A) Base RI'!B271</f>
        <v>Vinzel</v>
      </c>
      <c r="C270" s="95">
        <f>'B) D RI'!U271</f>
        <v>21424.128507462683</v>
      </c>
      <c r="D270" s="405">
        <f>'E) PCS'!G276/C270</f>
        <v>19.301470925400857</v>
      </c>
      <c r="E270" s="136">
        <f>'H) Péréquation directe'!I280/C270</f>
        <v>16.66379203232847</v>
      </c>
      <c r="F270" s="405"/>
      <c r="G270" s="136">
        <f t="shared" si="17"/>
        <v>35.965262957729323</v>
      </c>
      <c r="H270" s="406">
        <f>G270-'C) Prél. conj.'!I270</f>
        <v>31.080749920779024</v>
      </c>
      <c r="I270" s="410">
        <f t="shared" si="18"/>
        <v>0</v>
      </c>
      <c r="J270" s="55">
        <f t="shared" si="19"/>
        <v>0</v>
      </c>
      <c r="K270" s="406">
        <f t="shared" si="20"/>
        <v>31.080749920779024</v>
      </c>
      <c r="L270" s="436"/>
    </row>
    <row r="271" spans="1:13" x14ac:dyDescent="0.25">
      <c r="A271" s="49">
        <f>'A) Base RI'!A272</f>
        <v>5871</v>
      </c>
      <c r="B271" s="286" t="str">
        <f>'A) Base RI'!B272</f>
        <v>L'Abbaye</v>
      </c>
      <c r="C271" s="95">
        <f>'B) D RI'!U272</f>
        <v>53269.472631578945</v>
      </c>
      <c r="D271" s="405">
        <f>'E) PCS'!G277/C271</f>
        <v>21.316248890207305</v>
      </c>
      <c r="E271" s="136">
        <f>'H) Péréquation directe'!I281/C271</f>
        <v>4.2192559208840317</v>
      </c>
      <c r="F271" s="405"/>
      <c r="G271" s="136">
        <f t="shared" si="17"/>
        <v>25.535504811091336</v>
      </c>
      <c r="H271" s="406">
        <f>G271-'C) Prél. conj.'!I271</f>
        <v>16.412592550234674</v>
      </c>
      <c r="I271" s="410">
        <f t="shared" si="18"/>
        <v>0</v>
      </c>
      <c r="J271" s="55">
        <f t="shared" si="19"/>
        <v>0</v>
      </c>
      <c r="K271" s="406">
        <f t="shared" si="20"/>
        <v>16.412592550234674</v>
      </c>
      <c r="L271" s="436"/>
    </row>
    <row r="272" spans="1:13" x14ac:dyDescent="0.25">
      <c r="A272" s="49">
        <f>'A) Base RI'!A273</f>
        <v>5872</v>
      </c>
      <c r="B272" s="286" t="str">
        <f>'A) Base RI'!B273</f>
        <v>Le Chenit</v>
      </c>
      <c r="C272" s="95">
        <f>'B) D RI'!U273</f>
        <v>228048.33794871799</v>
      </c>
      <c r="D272" s="405">
        <f>'E) PCS'!G278/C272</f>
        <v>25.10050344731572</v>
      </c>
      <c r="E272" s="136">
        <f>'H) Péréquation directe'!I282/C272</f>
        <v>11.768892933911186</v>
      </c>
      <c r="F272" s="405"/>
      <c r="G272" s="136">
        <f t="shared" si="17"/>
        <v>36.869396381226906</v>
      </c>
      <c r="H272" s="406">
        <f>G272-'C) Prél. conj.'!I272</f>
        <v>24.310730460828779</v>
      </c>
      <c r="I272" s="410">
        <f t="shared" si="18"/>
        <v>0</v>
      </c>
      <c r="J272" s="55">
        <f t="shared" si="19"/>
        <v>0</v>
      </c>
      <c r="K272" s="406">
        <f t="shared" si="20"/>
        <v>24.310730460828779</v>
      </c>
      <c r="L272" s="436"/>
    </row>
    <row r="273" spans="1:12" x14ac:dyDescent="0.25">
      <c r="A273" s="49">
        <f>'A) Base RI'!A274</f>
        <v>5873</v>
      </c>
      <c r="B273" s="286" t="str">
        <f>'A) Base RI'!B274</f>
        <v>Le Lieu</v>
      </c>
      <c r="C273" s="95">
        <f>'B) D RI'!U274</f>
        <v>31475.129392857143</v>
      </c>
      <c r="D273" s="405">
        <f>'E) PCS'!G279/C273</f>
        <v>24.041850112654458</v>
      </c>
      <c r="E273" s="136">
        <f>'H) Péréquation directe'!I283/C273</f>
        <v>8.3591280714927301</v>
      </c>
      <c r="F273" s="405"/>
      <c r="G273" s="136">
        <f t="shared" si="17"/>
        <v>32.400978184147192</v>
      </c>
      <c r="H273" s="406">
        <f>G273-'C) Prél. conj.'!I273</f>
        <v>20.55246470084338</v>
      </c>
      <c r="I273" s="410">
        <f t="shared" si="18"/>
        <v>0</v>
      </c>
      <c r="J273" s="55">
        <f t="shared" si="19"/>
        <v>0</v>
      </c>
      <c r="K273" s="406">
        <f t="shared" si="20"/>
        <v>20.55246470084338</v>
      </c>
      <c r="L273" s="436"/>
    </row>
    <row r="274" spans="1:12" x14ac:dyDescent="0.25">
      <c r="A274" s="49">
        <f>'A) Base RI'!A275</f>
        <v>5881</v>
      </c>
      <c r="B274" s="286" t="str">
        <f>'A) Base RI'!B275</f>
        <v>Blonay</v>
      </c>
      <c r="C274" s="95">
        <f>'B) D RI'!U275</f>
        <v>371401.9382481752</v>
      </c>
      <c r="D274" s="405">
        <f>'E) PCS'!G280/C274</f>
        <v>21.325830758274972</v>
      </c>
      <c r="E274" s="136">
        <f>'H) Péréquation directe'!I284/C274</f>
        <v>11.827064913564923</v>
      </c>
      <c r="F274" s="405"/>
      <c r="G274" s="136">
        <f t="shared" si="17"/>
        <v>33.152895671839893</v>
      </c>
      <c r="H274" s="406">
        <f>G274-'C) Prél. conj.'!I274</f>
        <v>26.590422555796657</v>
      </c>
      <c r="I274" s="410">
        <f t="shared" si="18"/>
        <v>0</v>
      </c>
      <c r="J274" s="55">
        <f t="shared" si="19"/>
        <v>0</v>
      </c>
      <c r="K274" s="406">
        <f t="shared" si="20"/>
        <v>26.590422555796657</v>
      </c>
      <c r="L274" s="436"/>
    </row>
    <row r="275" spans="1:12" x14ac:dyDescent="0.25">
      <c r="A275" s="49">
        <f>'A) Base RI'!A276</f>
        <v>5882</v>
      </c>
      <c r="B275" s="286" t="str">
        <f>'A) Base RI'!B276</f>
        <v>Chardonne</v>
      </c>
      <c r="C275" s="95">
        <f>'B) D RI'!U276</f>
        <v>186952.68588235296</v>
      </c>
      <c r="D275" s="405">
        <f>'E) PCS'!G281/C275</f>
        <v>19.171848800091116</v>
      </c>
      <c r="E275" s="136">
        <f>'H) Péréquation directe'!I285/C275</f>
        <v>14.20021513553332</v>
      </c>
      <c r="F275" s="405"/>
      <c r="G275" s="136">
        <f t="shared" si="17"/>
        <v>33.372063935624439</v>
      </c>
      <c r="H275" s="406">
        <f>G275-'C) Prél. conj.'!I275</f>
        <v>29.444773019557932</v>
      </c>
      <c r="I275" s="410">
        <f t="shared" si="18"/>
        <v>0</v>
      </c>
      <c r="J275" s="55">
        <f t="shared" si="19"/>
        <v>0</v>
      </c>
      <c r="K275" s="406">
        <f t="shared" si="20"/>
        <v>29.444773019557932</v>
      </c>
      <c r="L275" s="436"/>
    </row>
    <row r="276" spans="1:12" x14ac:dyDescent="0.25">
      <c r="A276" s="49">
        <f>'A) Base RI'!A277</f>
        <v>5883</v>
      </c>
      <c r="B276" s="286" t="str">
        <f>'A) Base RI'!B277</f>
        <v>Corseaux</v>
      </c>
      <c r="C276" s="95">
        <f>'B) D RI'!U277</f>
        <v>193095.30118518518</v>
      </c>
      <c r="D276" s="405">
        <f>'E) PCS'!G282/C276</f>
        <v>28.695463362849758</v>
      </c>
      <c r="E276" s="136">
        <f>'H) Péréquation directe'!I286/C276</f>
        <v>15.760484151883722</v>
      </c>
      <c r="F276" s="405"/>
      <c r="G276" s="136">
        <f t="shared" si="17"/>
        <v>44.455947514733481</v>
      </c>
      <c r="H276" s="406">
        <f>G276-'C) Prél. conj.'!I276</f>
        <v>36.415988150258222</v>
      </c>
      <c r="I276" s="410">
        <f t="shared" si="18"/>
        <v>0</v>
      </c>
      <c r="J276" s="55">
        <f t="shared" si="19"/>
        <v>0</v>
      </c>
      <c r="K276" s="406">
        <f t="shared" si="20"/>
        <v>36.415988150258222</v>
      </c>
      <c r="L276" s="436"/>
    </row>
    <row r="277" spans="1:12" x14ac:dyDescent="0.25">
      <c r="A277" s="49">
        <f>'A) Base RI'!A278</f>
        <v>5884</v>
      </c>
      <c r="B277" s="286" t="str">
        <f>'A) Base RI'!B278</f>
        <v>Corsier-sur-Vevey</v>
      </c>
      <c r="C277" s="95">
        <f>'B) D RI'!U278</f>
        <v>148896.79012919901</v>
      </c>
      <c r="D277" s="405">
        <f>'E) PCS'!G283/C277</f>
        <v>15.935673751034017</v>
      </c>
      <c r="E277" s="136">
        <f>'H) Péréquation directe'!I287/C277</f>
        <v>10.27099667801498</v>
      </c>
      <c r="F277" s="405"/>
      <c r="G277" s="136">
        <f t="shared" si="17"/>
        <v>26.206670429048998</v>
      </c>
      <c r="H277" s="406">
        <f>G277-'C) Prél. conj.'!I277</f>
        <v>22.464333307365624</v>
      </c>
      <c r="I277" s="410">
        <f t="shared" si="18"/>
        <v>0</v>
      </c>
      <c r="J277" s="55">
        <f t="shared" si="19"/>
        <v>0</v>
      </c>
      <c r="K277" s="406">
        <f t="shared" si="20"/>
        <v>22.464333307365624</v>
      </c>
      <c r="L277" s="436"/>
    </row>
    <row r="278" spans="1:12" x14ac:dyDescent="0.25">
      <c r="A278" s="49">
        <f>'A) Base RI'!A279</f>
        <v>5885</v>
      </c>
      <c r="B278" s="286" t="str">
        <f>'A) Base RI'!B279</f>
        <v>Jongny</v>
      </c>
      <c r="C278" s="95">
        <f>'B) D RI'!U279</f>
        <v>97076.940527577928</v>
      </c>
      <c r="D278" s="405">
        <f>'E) PCS'!G284/C278</f>
        <v>19.565831814204401</v>
      </c>
      <c r="E278" s="136">
        <f>'H) Péréquation directe'!I288/C278</f>
        <v>14.630861591373451</v>
      </c>
      <c r="F278" s="405"/>
      <c r="G278" s="136">
        <f t="shared" si="17"/>
        <v>34.196693405577854</v>
      </c>
      <c r="H278" s="406">
        <f>G278-'C) Prél. conj.'!I278</f>
        <v>28.208674244272878</v>
      </c>
      <c r="I278" s="410">
        <f t="shared" si="18"/>
        <v>0</v>
      </c>
      <c r="J278" s="55">
        <f t="shared" si="19"/>
        <v>0</v>
      </c>
      <c r="K278" s="406">
        <f t="shared" si="20"/>
        <v>28.208674244272878</v>
      </c>
      <c r="L278" s="436"/>
    </row>
    <row r="279" spans="1:12" x14ac:dyDescent="0.25">
      <c r="A279" s="49">
        <f>'A) Base RI'!A280</f>
        <v>5886</v>
      </c>
      <c r="B279" s="286" t="str">
        <f>'A) Base RI'!B280</f>
        <v>Montreux</v>
      </c>
      <c r="C279" s="95">
        <f>'B) D RI'!U280</f>
        <v>1223405.0430769229</v>
      </c>
      <c r="D279" s="405">
        <f>'E) PCS'!G285/C279</f>
        <v>24.889746659616765</v>
      </c>
      <c r="E279" s="136">
        <f>'H) Péréquation directe'!I289/C279</f>
        <v>0.90615087183886533</v>
      </c>
      <c r="F279" s="405"/>
      <c r="G279" s="136">
        <f t="shared" si="17"/>
        <v>25.79589753145563</v>
      </c>
      <c r="H279" s="406">
        <f>G279-'C) Prél. conj.'!I279</f>
        <v>13.099487501189509</v>
      </c>
      <c r="I279" s="410">
        <f t="shared" si="18"/>
        <v>0</v>
      </c>
      <c r="J279" s="55">
        <f t="shared" si="19"/>
        <v>0</v>
      </c>
      <c r="K279" s="406">
        <f t="shared" si="20"/>
        <v>13.099487501189509</v>
      </c>
      <c r="L279" s="436"/>
    </row>
    <row r="280" spans="1:12" x14ac:dyDescent="0.25">
      <c r="A280" s="49">
        <f>'A) Base RI'!A281</f>
        <v>5888</v>
      </c>
      <c r="B280" s="286" t="str">
        <f>'A) Base RI'!B281</f>
        <v>Saint-Légier-La Chiésaz</v>
      </c>
      <c r="C280" s="95">
        <f>'B) D RI'!U281</f>
        <v>334017.18953771284</v>
      </c>
      <c r="D280" s="405">
        <f>'E) PCS'!G286/C280</f>
        <v>19.013987985712486</v>
      </c>
      <c r="E280" s="136">
        <f>'H) Péréquation directe'!I290/C280</f>
        <v>12.223037348871884</v>
      </c>
      <c r="F280" s="405"/>
      <c r="G280" s="136">
        <f t="shared" si="17"/>
        <v>31.23702533458437</v>
      </c>
      <c r="H280" s="406">
        <f>G280-'C) Prél. conj.'!I280</f>
        <v>27.061895075779098</v>
      </c>
      <c r="I280" s="410">
        <f t="shared" si="18"/>
        <v>0</v>
      </c>
      <c r="J280" s="55">
        <f t="shared" si="19"/>
        <v>0</v>
      </c>
      <c r="K280" s="406">
        <f t="shared" si="20"/>
        <v>27.061895075779098</v>
      </c>
      <c r="L280" s="436"/>
    </row>
    <row r="281" spans="1:12" x14ac:dyDescent="0.25">
      <c r="A281" s="49">
        <f>'A) Base RI'!A282</f>
        <v>5889</v>
      </c>
      <c r="B281" s="286" t="str">
        <f>'A) Base RI'!B282</f>
        <v>La Tour-de-Peilz</v>
      </c>
      <c r="C281" s="95">
        <f>'B) D RI'!U282</f>
        <v>740535.59942708339</v>
      </c>
      <c r="D281" s="405">
        <f>'E) PCS'!G287/C281</f>
        <v>17.710023227870334</v>
      </c>
      <c r="E281" s="136">
        <f>'H) Péréquation directe'!I291/C281</f>
        <v>9.3828510394554083</v>
      </c>
      <c r="F281" s="405"/>
      <c r="G281" s="136">
        <f t="shared" si="17"/>
        <v>27.09287426732574</v>
      </c>
      <c r="H281" s="406">
        <f>G281-'C) Prél. conj.'!I281</f>
        <v>24.408045014635952</v>
      </c>
      <c r="I281" s="410">
        <f t="shared" si="18"/>
        <v>0</v>
      </c>
      <c r="J281" s="55">
        <f t="shared" si="19"/>
        <v>0</v>
      </c>
      <c r="K281" s="406">
        <f t="shared" si="20"/>
        <v>24.408045014635952</v>
      </c>
      <c r="L281" s="436"/>
    </row>
    <row r="282" spans="1:12" x14ac:dyDescent="0.25">
      <c r="A282" s="49">
        <f>'A) Base RI'!A283</f>
        <v>5890</v>
      </c>
      <c r="B282" s="286" t="str">
        <f>'A) Base RI'!B283</f>
        <v>Vevey</v>
      </c>
      <c r="C282" s="95">
        <f>'B) D RI'!U283</f>
        <v>969776.79771812086</v>
      </c>
      <c r="D282" s="405">
        <f>'E) PCS'!G288/C282</f>
        <v>15.869365539356521</v>
      </c>
      <c r="E282" s="136">
        <f>'H) Péréquation directe'!I292/C282</f>
        <v>3.6517962939963753</v>
      </c>
      <c r="F282" s="405"/>
      <c r="G282" s="136">
        <f t="shared" si="17"/>
        <v>19.521161833352895</v>
      </c>
      <c r="H282" s="406">
        <f>G282-'C) Prél. conj.'!I282</f>
        <v>16.072213825037906</v>
      </c>
      <c r="I282" s="410">
        <f t="shared" si="18"/>
        <v>0</v>
      </c>
      <c r="J282" s="55">
        <f t="shared" si="19"/>
        <v>0</v>
      </c>
      <c r="K282" s="406">
        <f t="shared" si="20"/>
        <v>16.072213825037906</v>
      </c>
      <c r="L282" s="436"/>
    </row>
    <row r="283" spans="1:12" x14ac:dyDescent="0.25">
      <c r="A283" s="49">
        <f>'A) Base RI'!A284</f>
        <v>5891</v>
      </c>
      <c r="B283" s="286" t="str">
        <f>'A) Base RI'!B284</f>
        <v>Veytaux</v>
      </c>
      <c r="C283" s="95">
        <f>'B) D RI'!U284</f>
        <v>39123.353381294961</v>
      </c>
      <c r="D283" s="405">
        <f>'E) PCS'!G289/C283</f>
        <v>15.53931105859235</v>
      </c>
      <c r="E283" s="136">
        <f>'H) Péréquation directe'!I293/C283</f>
        <v>12.333540163723711</v>
      </c>
      <c r="F283" s="405"/>
      <c r="G283" s="136">
        <f t="shared" si="17"/>
        <v>27.872851222316061</v>
      </c>
      <c r="H283" s="406">
        <f>G283-'C) Prél. conj.'!I283</f>
        <v>24.526876793074354</v>
      </c>
      <c r="I283" s="410">
        <f t="shared" si="18"/>
        <v>0</v>
      </c>
      <c r="J283" s="55">
        <f t="shared" si="19"/>
        <v>0</v>
      </c>
      <c r="K283" s="406">
        <f t="shared" si="20"/>
        <v>24.526876793074354</v>
      </c>
      <c r="L283" s="436"/>
    </row>
    <row r="284" spans="1:12" x14ac:dyDescent="0.25">
      <c r="A284" s="49">
        <f>'A) Base RI'!A285</f>
        <v>5902</v>
      </c>
      <c r="B284" s="286" t="str">
        <f>'A) Base RI'!B285</f>
        <v>Belmont-sur-Yverdon</v>
      </c>
      <c r="C284" s="95">
        <f>'B) D RI'!U285</f>
        <v>12109.15</v>
      </c>
      <c r="D284" s="405">
        <f>'E) PCS'!G290/C284</f>
        <v>14.785448792466964</v>
      </c>
      <c r="E284" s="136">
        <f>'H) Péréquation directe'!I294/C284</f>
        <v>1.6182068954241617</v>
      </c>
      <c r="F284" s="405"/>
      <c r="G284" s="136">
        <f t="shared" si="17"/>
        <v>16.403655687891124</v>
      </c>
      <c r="H284" s="406">
        <f>G284-'C) Prél. conj.'!I284</f>
        <v>13.811543524774804</v>
      </c>
      <c r="I284" s="410">
        <f t="shared" si="18"/>
        <v>0</v>
      </c>
      <c r="J284" s="55">
        <f t="shared" si="19"/>
        <v>0</v>
      </c>
      <c r="K284" s="406">
        <f t="shared" si="20"/>
        <v>13.811543524774804</v>
      </c>
      <c r="L284" s="436"/>
    </row>
    <row r="285" spans="1:12" x14ac:dyDescent="0.25">
      <c r="A285" s="49">
        <f>'A) Base RI'!A286</f>
        <v>5903</v>
      </c>
      <c r="B285" s="286" t="str">
        <f>'A) Base RI'!B286</f>
        <v>Bioley-Magnoux</v>
      </c>
      <c r="C285" s="95">
        <f>'B) D RI'!U286</f>
        <v>6059.1993849206356</v>
      </c>
      <c r="D285" s="405">
        <f>'E) PCS'!G291/C285</f>
        <v>13.969207386596063</v>
      </c>
      <c r="E285" s="136">
        <f>'H) Péréquation directe'!I295/C285</f>
        <v>-4.0350406511375816</v>
      </c>
      <c r="F285" s="405"/>
      <c r="G285" s="136">
        <f t="shared" si="17"/>
        <v>9.9341667354584811</v>
      </c>
      <c r="H285" s="406">
        <f>G285-'C) Prél. conj.'!I285</f>
        <v>8.1582959782130597</v>
      </c>
      <c r="I285" s="410">
        <f t="shared" si="18"/>
        <v>0</v>
      </c>
      <c r="J285" s="55">
        <f t="shared" si="19"/>
        <v>0</v>
      </c>
      <c r="K285" s="406">
        <f t="shared" si="20"/>
        <v>8.1582959782130597</v>
      </c>
      <c r="L285" s="436"/>
    </row>
    <row r="286" spans="1:12" x14ac:dyDescent="0.25">
      <c r="A286" s="49">
        <f>'A) Base RI'!A287</f>
        <v>5904</v>
      </c>
      <c r="B286" s="286" t="str">
        <f>'A) Base RI'!B287</f>
        <v>Chamblon</v>
      </c>
      <c r="C286" s="95">
        <f>'B) D RI'!U287</f>
        <v>22178.215151515149</v>
      </c>
      <c r="D286" s="405">
        <f>'E) PCS'!G292/C286</f>
        <v>13.683782761926002</v>
      </c>
      <c r="E286" s="136">
        <f>'H) Péréquation directe'!I296/C286</f>
        <v>11.740704697953644</v>
      </c>
      <c r="F286" s="405"/>
      <c r="G286" s="136">
        <f t="shared" si="17"/>
        <v>25.424487459879646</v>
      </c>
      <c r="H286" s="406">
        <f>G286-'C) Prél. conj.'!I286</f>
        <v>23.934041327304286</v>
      </c>
      <c r="I286" s="410">
        <f t="shared" si="18"/>
        <v>0</v>
      </c>
      <c r="J286" s="55">
        <f t="shared" si="19"/>
        <v>0</v>
      </c>
      <c r="K286" s="406">
        <f t="shared" si="20"/>
        <v>23.934041327304286</v>
      </c>
      <c r="L286" s="436"/>
    </row>
    <row r="287" spans="1:12" x14ac:dyDescent="0.25">
      <c r="A287" s="49">
        <f>'A) Base RI'!A288</f>
        <v>5905</v>
      </c>
      <c r="B287" s="286" t="str">
        <f>'A) Base RI'!B288</f>
        <v>Champvent</v>
      </c>
      <c r="C287" s="95">
        <f>'B) D RI'!U288</f>
        <v>23236.229714285717</v>
      </c>
      <c r="D287" s="405">
        <f>'E) PCS'!G293/C287</f>
        <v>19.714181325276478</v>
      </c>
      <c r="E287" s="136">
        <f>'H) Péréquation directe'!I297/C287</f>
        <v>5.5136408438611513</v>
      </c>
      <c r="F287" s="405"/>
      <c r="G287" s="136">
        <f t="shared" si="17"/>
        <v>25.227822169137628</v>
      </c>
      <c r="H287" s="406">
        <f>G287-'C) Prél. conj.'!I287</f>
        <v>17.706977473211793</v>
      </c>
      <c r="I287" s="410">
        <f t="shared" si="18"/>
        <v>0</v>
      </c>
      <c r="J287" s="55">
        <f t="shared" si="19"/>
        <v>0</v>
      </c>
      <c r="K287" s="406">
        <f t="shared" si="20"/>
        <v>17.706977473211793</v>
      </c>
      <c r="L287" s="436"/>
    </row>
    <row r="288" spans="1:12" x14ac:dyDescent="0.25">
      <c r="A288" s="49">
        <f>'A) Base RI'!A289</f>
        <v>5907</v>
      </c>
      <c r="B288" s="286" t="str">
        <f>'A) Base RI'!B289</f>
        <v>Chavannes-le-Chêne</v>
      </c>
      <c r="C288" s="95">
        <f>'B) D RI'!U289</f>
        <v>7818.3477333333331</v>
      </c>
      <c r="D288" s="405">
        <f>'E) PCS'!G294/C288</f>
        <v>13.819153929060413</v>
      </c>
      <c r="E288" s="136">
        <f>'H) Péréquation directe'!I298/C288</f>
        <v>-9.1485863550692699</v>
      </c>
      <c r="F288" s="405"/>
      <c r="G288" s="136">
        <f t="shared" si="17"/>
        <v>4.6705675739911428</v>
      </c>
      <c r="H288" s="406">
        <f>G288-'C) Prél. conj.'!I288</f>
        <v>3.0447502742813728</v>
      </c>
      <c r="I288" s="410">
        <f t="shared" si="18"/>
        <v>0</v>
      </c>
      <c r="J288" s="55">
        <f t="shared" si="19"/>
        <v>0</v>
      </c>
      <c r="K288" s="406">
        <f t="shared" si="20"/>
        <v>3.0447502742813728</v>
      </c>
      <c r="L288" s="436"/>
    </row>
    <row r="289" spans="1:12" x14ac:dyDescent="0.25">
      <c r="A289" s="49">
        <f>'A) Base RI'!A290</f>
        <v>5908</v>
      </c>
      <c r="B289" s="286" t="str">
        <f>'A) Base RI'!B290</f>
        <v>Chêne-Pâquier</v>
      </c>
      <c r="C289" s="95">
        <f>'B) D RI'!U290</f>
        <v>4413.8781012658228</v>
      </c>
      <c r="D289" s="405">
        <f>'E) PCS'!G295/C289</f>
        <v>13.877589077978083</v>
      </c>
      <c r="E289" s="136">
        <f>'H) Péréquation directe'!I299/C289</f>
        <v>-2.4395003859339903</v>
      </c>
      <c r="F289" s="405"/>
      <c r="G289" s="136">
        <f t="shared" si="17"/>
        <v>11.438088692044094</v>
      </c>
      <c r="H289" s="406">
        <f>G289-'C) Prél. conj.'!I289</f>
        <v>9.7538362434166537</v>
      </c>
      <c r="I289" s="410">
        <f t="shared" si="18"/>
        <v>0</v>
      </c>
      <c r="J289" s="55">
        <f t="shared" si="19"/>
        <v>0</v>
      </c>
      <c r="K289" s="406">
        <f t="shared" si="20"/>
        <v>9.7538362434166537</v>
      </c>
      <c r="L289" s="436"/>
    </row>
    <row r="290" spans="1:12" x14ac:dyDescent="0.25">
      <c r="A290" s="49">
        <f>'A) Base RI'!A291</f>
        <v>5909</v>
      </c>
      <c r="B290" s="286" t="str">
        <f>'A) Base RI'!B291</f>
        <v>Cheseaux-Noréaz</v>
      </c>
      <c r="C290" s="95">
        <f>'B) D RI'!U291</f>
        <v>36898.573134328355</v>
      </c>
      <c r="D290" s="405">
        <f>'E) PCS'!G296/C290</f>
        <v>16.447016647232331</v>
      </c>
      <c r="E290" s="136">
        <f>'H) Péréquation directe'!I300/C290</f>
        <v>16.351148719421879</v>
      </c>
      <c r="F290" s="405"/>
      <c r="G290" s="136">
        <f t="shared" si="17"/>
        <v>32.79816536665421</v>
      </c>
      <c r="H290" s="406">
        <f>G290-'C) Prél. conj.'!I290</f>
        <v>29.141839971391583</v>
      </c>
      <c r="I290" s="410">
        <f t="shared" si="18"/>
        <v>0</v>
      </c>
      <c r="J290" s="55">
        <f t="shared" si="19"/>
        <v>0</v>
      </c>
      <c r="K290" s="406">
        <f t="shared" si="20"/>
        <v>29.141839971391583</v>
      </c>
      <c r="L290" s="436"/>
    </row>
    <row r="291" spans="1:12" x14ac:dyDescent="0.25">
      <c r="A291" s="49">
        <f>'A) Base RI'!A292</f>
        <v>5910</v>
      </c>
      <c r="B291" s="286" t="str">
        <f>'A) Base RI'!B292</f>
        <v>Cronay</v>
      </c>
      <c r="C291" s="95">
        <f>'B) D RI'!U292</f>
        <v>10600.416103896103</v>
      </c>
      <c r="D291" s="405">
        <f>'E) PCS'!G297/C291</f>
        <v>14.917875903746193</v>
      </c>
      <c r="E291" s="136">
        <f>'H) Péréquation directe'!I301/C291</f>
        <v>-5.8606955544549431</v>
      </c>
      <c r="F291" s="405"/>
      <c r="G291" s="136">
        <f t="shared" si="17"/>
        <v>9.0571803492912508</v>
      </c>
      <c r="H291" s="406">
        <f>G291-'C) Prél. conj.'!I291</f>
        <v>6.3326410748957001</v>
      </c>
      <c r="I291" s="410">
        <f t="shared" si="18"/>
        <v>0</v>
      </c>
      <c r="J291" s="55">
        <f t="shared" si="19"/>
        <v>0</v>
      </c>
      <c r="K291" s="406">
        <f t="shared" si="20"/>
        <v>6.3326410748957001</v>
      </c>
      <c r="L291" s="436"/>
    </row>
    <row r="292" spans="1:12" x14ac:dyDescent="0.25">
      <c r="A292" s="49">
        <f>'A) Base RI'!A293</f>
        <v>5911</v>
      </c>
      <c r="B292" s="286" t="str">
        <f>'A) Base RI'!B293</f>
        <v>Cuarny</v>
      </c>
      <c r="C292" s="95">
        <f>'B) D RI'!U293</f>
        <v>7504.0945454545454</v>
      </c>
      <c r="D292" s="405">
        <f>'E) PCS'!G298/C292</f>
        <v>15.425010331368354</v>
      </c>
      <c r="E292" s="136">
        <f>'H) Péréquation directe'!I302/C292</f>
        <v>0.96996947854633087</v>
      </c>
      <c r="F292" s="405"/>
      <c r="G292" s="136">
        <f t="shared" si="17"/>
        <v>16.394979809914684</v>
      </c>
      <c r="H292" s="406">
        <f>G292-'C) Prél. conj.'!I292</f>
        <v>13.163306107896974</v>
      </c>
      <c r="I292" s="410">
        <f t="shared" si="18"/>
        <v>0</v>
      </c>
      <c r="J292" s="55">
        <f t="shared" si="19"/>
        <v>0</v>
      </c>
      <c r="K292" s="406">
        <f t="shared" si="20"/>
        <v>13.163306107896974</v>
      </c>
      <c r="L292" s="436"/>
    </row>
    <row r="293" spans="1:12" x14ac:dyDescent="0.25">
      <c r="A293" s="49">
        <f>'A) Base RI'!A294</f>
        <v>5912</v>
      </c>
      <c r="B293" s="286" t="str">
        <f>'A) Base RI'!B294</f>
        <v>Démoret</v>
      </c>
      <c r="C293" s="95">
        <f>'B) D RI'!U294</f>
        <v>4722.5551851851851</v>
      </c>
      <c r="D293" s="405">
        <f>'E) PCS'!G299/C293</f>
        <v>15.763263149825788</v>
      </c>
      <c r="E293" s="136">
        <f>'H) Péréquation directe'!I303/C293</f>
        <v>-3.3961058443816357</v>
      </c>
      <c r="F293" s="405"/>
      <c r="G293" s="136">
        <f t="shared" si="17"/>
        <v>12.367157305444152</v>
      </c>
      <c r="H293" s="406">
        <f>G293-'C) Prél. conj.'!I293</f>
        <v>8.7972307849690079</v>
      </c>
      <c r="I293" s="410">
        <f t="shared" si="18"/>
        <v>0</v>
      </c>
      <c r="J293" s="55">
        <f t="shared" si="19"/>
        <v>0</v>
      </c>
      <c r="K293" s="406">
        <f t="shared" si="20"/>
        <v>8.7972307849690079</v>
      </c>
      <c r="L293" s="436"/>
    </row>
    <row r="294" spans="1:12" x14ac:dyDescent="0.25">
      <c r="A294" s="49">
        <f>'A) Base RI'!A295</f>
        <v>5913</v>
      </c>
      <c r="B294" s="286" t="str">
        <f>'A) Base RI'!B295</f>
        <v>Donneloye</v>
      </c>
      <c r="C294" s="95">
        <f>'B) D RI'!U295</f>
        <v>23893.322465753423</v>
      </c>
      <c r="D294" s="405">
        <f>'E) PCS'!G300/C294</f>
        <v>15.558673748759269</v>
      </c>
      <c r="E294" s="136">
        <f>'H) Péréquation directe'!I304/C294</f>
        <v>-3.0036464235839424</v>
      </c>
      <c r="F294" s="405"/>
      <c r="G294" s="136">
        <f t="shared" si="17"/>
        <v>12.555027325175326</v>
      </c>
      <c r="H294" s="406">
        <f>G294-'C) Prél. conj.'!I294</f>
        <v>9.1896902057667003</v>
      </c>
      <c r="I294" s="410">
        <f t="shared" si="18"/>
        <v>0</v>
      </c>
      <c r="J294" s="55">
        <f t="shared" si="19"/>
        <v>0</v>
      </c>
      <c r="K294" s="406">
        <f t="shared" si="20"/>
        <v>9.1896902057667003</v>
      </c>
      <c r="L294" s="436"/>
    </row>
    <row r="295" spans="1:12" x14ac:dyDescent="0.25">
      <c r="A295" s="49">
        <f>'A) Base RI'!A296</f>
        <v>5914</v>
      </c>
      <c r="B295" s="286" t="str">
        <f>'A) Base RI'!B296</f>
        <v>Ependes</v>
      </c>
      <c r="C295" s="95">
        <f>'B) D RI'!U296</f>
        <v>9829.5133333333324</v>
      </c>
      <c r="D295" s="405">
        <f>'E) PCS'!G301/C295</f>
        <v>18.702836421473279</v>
      </c>
      <c r="E295" s="136">
        <f>'H) Péréquation directe'!I305/C295</f>
        <v>-4.9601358904545592</v>
      </c>
      <c r="F295" s="405"/>
      <c r="G295" s="136">
        <f t="shared" si="17"/>
        <v>13.74270053101872</v>
      </c>
      <c r="H295" s="406">
        <f>G295-'C) Prél. conj.'!I295</f>
        <v>7.2332007388960848</v>
      </c>
      <c r="I295" s="410">
        <f t="shared" si="18"/>
        <v>0</v>
      </c>
      <c r="J295" s="55">
        <f t="shared" si="19"/>
        <v>0</v>
      </c>
      <c r="K295" s="406">
        <f t="shared" si="20"/>
        <v>7.2332007388960848</v>
      </c>
      <c r="L295" s="436"/>
    </row>
    <row r="296" spans="1:12" x14ac:dyDescent="0.25">
      <c r="A296" s="49">
        <f>'A) Base RI'!A297</f>
        <v>5919</v>
      </c>
      <c r="B296" s="286" t="str">
        <f>'A) Base RI'!B297</f>
        <v>Mathod</v>
      </c>
      <c r="C296" s="95">
        <f>'B) D RI'!U297</f>
        <v>18684.885972222222</v>
      </c>
      <c r="D296" s="405">
        <f>'E) PCS'!G302/C296</f>
        <v>14.750939339425756</v>
      </c>
      <c r="E296" s="136">
        <f>'H) Péréquation directe'!I306/C296</f>
        <v>-1.4428958066607244E-2</v>
      </c>
      <c r="F296" s="405"/>
      <c r="G296" s="136">
        <f t="shared" si="17"/>
        <v>14.736510381359148</v>
      </c>
      <c r="H296" s="406">
        <f>G296-'C) Prél. conj.'!I296</f>
        <v>12.178907671284035</v>
      </c>
      <c r="I296" s="410">
        <f t="shared" si="18"/>
        <v>0</v>
      </c>
      <c r="J296" s="55">
        <f t="shared" si="19"/>
        <v>0</v>
      </c>
      <c r="K296" s="406">
        <f t="shared" si="20"/>
        <v>12.178907671284035</v>
      </c>
      <c r="L296" s="436"/>
    </row>
    <row r="297" spans="1:12" x14ac:dyDescent="0.25">
      <c r="A297" s="49">
        <f>'A) Base RI'!A298</f>
        <v>5921</v>
      </c>
      <c r="B297" s="286" t="str">
        <f>'A) Base RI'!B298</f>
        <v>Molondin</v>
      </c>
      <c r="C297" s="95">
        <f>'B) D RI'!U298</f>
        <v>5874.9966666666678</v>
      </c>
      <c r="D297" s="405">
        <f>'E) PCS'!G303/C297</f>
        <v>12.967791536842789</v>
      </c>
      <c r="E297" s="136">
        <f>'H) Péréquation directe'!I307/C297</f>
        <v>-11.699910483824805</v>
      </c>
      <c r="F297" s="405"/>
      <c r="G297" s="136">
        <f t="shared" si="17"/>
        <v>1.2678810530179838</v>
      </c>
      <c r="H297" s="406">
        <f>G297-'C) Prél. conj.'!I297</f>
        <v>0.49342614552583786</v>
      </c>
      <c r="I297" s="410">
        <f t="shared" si="18"/>
        <v>0</v>
      </c>
      <c r="J297" s="55">
        <f t="shared" si="19"/>
        <v>0</v>
      </c>
      <c r="K297" s="406">
        <f t="shared" si="20"/>
        <v>0.49342614552583786</v>
      </c>
      <c r="L297" s="436"/>
    </row>
    <row r="298" spans="1:12" x14ac:dyDescent="0.25">
      <c r="A298" s="49">
        <f>'A) Base RI'!A299</f>
        <v>5922</v>
      </c>
      <c r="B298" s="286" t="str">
        <f>'A) Base RI'!B299</f>
        <v>Montagny-près-Yverdon</v>
      </c>
      <c r="C298" s="95">
        <f>'B) D RI'!U299</f>
        <v>39614.024961240313</v>
      </c>
      <c r="D298" s="405">
        <f>'E) PCS'!G304/C298</f>
        <v>19.846602586812597</v>
      </c>
      <c r="E298" s="136">
        <f>'H) Péréquation directe'!I308/C298</f>
        <v>16.371854718134589</v>
      </c>
      <c r="F298" s="405"/>
      <c r="G298" s="136">
        <f t="shared" si="17"/>
        <v>36.218457304947187</v>
      </c>
      <c r="H298" s="406">
        <f>G298-'C) Prél. conj.'!I298</f>
        <v>29.243943473789408</v>
      </c>
      <c r="I298" s="410">
        <f t="shared" si="18"/>
        <v>0</v>
      </c>
      <c r="J298" s="55">
        <f t="shared" si="19"/>
        <v>0</v>
      </c>
      <c r="K298" s="406">
        <f t="shared" si="20"/>
        <v>29.243943473789408</v>
      </c>
      <c r="L298" s="436"/>
    </row>
    <row r="299" spans="1:12" x14ac:dyDescent="0.25">
      <c r="A299" s="49">
        <f>'A) Base RI'!A300</f>
        <v>5923</v>
      </c>
      <c r="B299" s="286" t="str">
        <f>'A) Base RI'!B300</f>
        <v>Oppens</v>
      </c>
      <c r="C299" s="95">
        <f>'B) D RI'!U300</f>
        <v>5094.8359259259259</v>
      </c>
      <c r="D299" s="405">
        <f>'E) PCS'!G305/C299</f>
        <v>19.010119447275869</v>
      </c>
      <c r="E299" s="136">
        <f>'H) Péréquation directe'!I309/C299</f>
        <v>-9.9856218792076685</v>
      </c>
      <c r="F299" s="405"/>
      <c r="G299" s="136">
        <f t="shared" si="17"/>
        <v>9.0244975680682007</v>
      </c>
      <c r="H299" s="406">
        <f>G299-'C) Prél. conj.'!I299</f>
        <v>2.2077147501429772</v>
      </c>
      <c r="I299" s="410">
        <f t="shared" si="18"/>
        <v>0</v>
      </c>
      <c r="J299" s="55">
        <f t="shared" si="19"/>
        <v>0</v>
      </c>
      <c r="K299" s="406">
        <f t="shared" si="20"/>
        <v>2.2077147501429772</v>
      </c>
      <c r="L299" s="436"/>
    </row>
    <row r="300" spans="1:12" x14ac:dyDescent="0.25">
      <c r="A300" s="49">
        <f>'A) Base RI'!A301</f>
        <v>5924</v>
      </c>
      <c r="B300" s="286" t="str">
        <f>'A) Base RI'!B301</f>
        <v>Orges</v>
      </c>
      <c r="C300" s="95">
        <f>'B) D RI'!U301</f>
        <v>13110.169864864867</v>
      </c>
      <c r="D300" s="405">
        <f>'E) PCS'!G306/C300</f>
        <v>15.755261492364715</v>
      </c>
      <c r="E300" s="136">
        <f>'H) Péréquation directe'!I310/C300</f>
        <v>7.5370247571808626</v>
      </c>
      <c r="F300" s="405"/>
      <c r="G300" s="136">
        <f t="shared" si="17"/>
        <v>23.292286249545576</v>
      </c>
      <c r="H300" s="406">
        <f>G300-'C) Prél. conj.'!I300</f>
        <v>19.730361386531506</v>
      </c>
      <c r="I300" s="410">
        <f t="shared" si="18"/>
        <v>0</v>
      </c>
      <c r="J300" s="55">
        <f t="shared" si="19"/>
        <v>0</v>
      </c>
      <c r="K300" s="406">
        <f t="shared" si="20"/>
        <v>19.730361386531506</v>
      </c>
      <c r="L300" s="436"/>
    </row>
    <row r="301" spans="1:12" x14ac:dyDescent="0.25">
      <c r="A301" s="49">
        <f>'A) Base RI'!A302</f>
        <v>5925</v>
      </c>
      <c r="B301" s="286" t="str">
        <f>'A) Base RI'!B302</f>
        <v>Orzens</v>
      </c>
      <c r="C301" s="95">
        <f>'B) D RI'!U302</f>
        <v>5230.5868354430377</v>
      </c>
      <c r="D301" s="405">
        <f>'E) PCS'!G307/C301</f>
        <v>25.320415322459503</v>
      </c>
      <c r="E301" s="136">
        <f>'H) Péréquation directe'!I311/C301</f>
        <v>-7.7112937835500315</v>
      </c>
      <c r="F301" s="405"/>
      <c r="G301" s="136">
        <f t="shared" si="17"/>
        <v>17.60912153890947</v>
      </c>
      <c r="H301" s="406">
        <f>G301-'C) Prél. conj.'!I301</f>
        <v>4.4820428458006099</v>
      </c>
      <c r="I301" s="410">
        <f t="shared" si="18"/>
        <v>0</v>
      </c>
      <c r="J301" s="55">
        <f t="shared" si="19"/>
        <v>0</v>
      </c>
      <c r="K301" s="406">
        <f t="shared" si="20"/>
        <v>4.4820428458006099</v>
      </c>
      <c r="L301" s="436"/>
    </row>
    <row r="302" spans="1:12" x14ac:dyDescent="0.25">
      <c r="A302" s="49">
        <f>'A) Base RI'!A303</f>
        <v>5926</v>
      </c>
      <c r="B302" s="286" t="str">
        <f>'A) Base RI'!B303</f>
        <v>Pomy</v>
      </c>
      <c r="C302" s="95">
        <f>'B) D RI'!U303</f>
        <v>27875.103943661972</v>
      </c>
      <c r="D302" s="405">
        <f>'E) PCS'!G308/C302</f>
        <v>16.012427500371611</v>
      </c>
      <c r="E302" s="136">
        <f>'H) Péréquation directe'!I312/C302</f>
        <v>5.8782804859763473</v>
      </c>
      <c r="F302" s="405"/>
      <c r="G302" s="136">
        <f t="shared" si="17"/>
        <v>21.890707986347959</v>
      </c>
      <c r="H302" s="406">
        <f>G302-'C) Prél. conj.'!I302</f>
        <v>18.07161711532699</v>
      </c>
      <c r="I302" s="410">
        <f t="shared" si="18"/>
        <v>0</v>
      </c>
      <c r="J302" s="55">
        <f t="shared" si="19"/>
        <v>0</v>
      </c>
      <c r="K302" s="406">
        <f t="shared" si="20"/>
        <v>18.07161711532699</v>
      </c>
      <c r="L302" s="436"/>
    </row>
    <row r="303" spans="1:12" x14ac:dyDescent="0.25">
      <c r="A303" s="49">
        <f>'A) Base RI'!A304</f>
        <v>5928</v>
      </c>
      <c r="B303" s="286" t="str">
        <f>'A) Base RI'!B304</f>
        <v>Rovray</v>
      </c>
      <c r="C303" s="95">
        <f>'B) D RI'!U304</f>
        <v>5459.4606993006983</v>
      </c>
      <c r="D303" s="405">
        <f>'E) PCS'!G309/C303</f>
        <v>14.577222276089898</v>
      </c>
      <c r="E303" s="136">
        <f>'H) Péréquation directe'!I313/C303</f>
        <v>-2.7979255802040175</v>
      </c>
      <c r="F303" s="405"/>
      <c r="G303" s="136">
        <f t="shared" si="17"/>
        <v>11.779296695885881</v>
      </c>
      <c r="H303" s="406">
        <f>G303-'C) Prél. conj.'!I303</f>
        <v>9.3954110491466238</v>
      </c>
      <c r="I303" s="410">
        <f t="shared" si="18"/>
        <v>0</v>
      </c>
      <c r="J303" s="55">
        <f t="shared" si="19"/>
        <v>0</v>
      </c>
      <c r="K303" s="406">
        <f t="shared" si="20"/>
        <v>9.3954110491466238</v>
      </c>
      <c r="L303" s="436"/>
    </row>
    <row r="304" spans="1:12" x14ac:dyDescent="0.25">
      <c r="A304" s="49">
        <f>'A) Base RI'!A305</f>
        <v>5929</v>
      </c>
      <c r="B304" s="286" t="str">
        <f>'A) Base RI'!B305</f>
        <v>Suchy</v>
      </c>
      <c r="C304" s="95">
        <f>'B) D RI'!U305</f>
        <v>20266.988392857143</v>
      </c>
      <c r="D304" s="405">
        <f>'E) PCS'!G310/C304</f>
        <v>15.821652715322081</v>
      </c>
      <c r="E304" s="136">
        <f>'H) Péréquation directe'!I314/C304</f>
        <v>3.6612192740320491</v>
      </c>
      <c r="F304" s="405"/>
      <c r="G304" s="136">
        <f t="shared" si="17"/>
        <v>19.48287198935413</v>
      </c>
      <c r="H304" s="406">
        <f>G304-'C) Prél. conj.'!I304</f>
        <v>15.854555903382693</v>
      </c>
      <c r="I304" s="410">
        <f t="shared" si="18"/>
        <v>0</v>
      </c>
      <c r="J304" s="55">
        <f t="shared" si="19"/>
        <v>0</v>
      </c>
      <c r="K304" s="406">
        <f t="shared" si="20"/>
        <v>15.854555903382693</v>
      </c>
      <c r="L304" s="436"/>
    </row>
    <row r="305" spans="1:14" x14ac:dyDescent="0.25">
      <c r="A305" s="49">
        <f>'A) Base RI'!A306</f>
        <v>5930</v>
      </c>
      <c r="B305" s="286" t="str">
        <f>'A) Base RI'!B306</f>
        <v>Suscévaz</v>
      </c>
      <c r="C305" s="95">
        <f>'B) D RI'!U306</f>
        <v>6661.8138888888889</v>
      </c>
      <c r="D305" s="405">
        <f>'E) PCS'!G311/C305</f>
        <v>18.185833667819896</v>
      </c>
      <c r="E305" s="136">
        <f>'H) Péréquation directe'!I315/C305</f>
        <v>3.1236134080823974</v>
      </c>
      <c r="F305" s="405"/>
      <c r="G305" s="136">
        <f t="shared" si="17"/>
        <v>21.309447075902295</v>
      </c>
      <c r="H305" s="406">
        <f>G305-'C) Prél. conj.'!I305</f>
        <v>15.316950037433042</v>
      </c>
      <c r="I305" s="410">
        <f t="shared" si="18"/>
        <v>0</v>
      </c>
      <c r="J305" s="55">
        <f t="shared" si="19"/>
        <v>0</v>
      </c>
      <c r="K305" s="406">
        <f t="shared" si="20"/>
        <v>15.316950037433042</v>
      </c>
      <c r="L305" s="436"/>
    </row>
    <row r="306" spans="1:14" x14ac:dyDescent="0.25">
      <c r="A306" s="49">
        <f>'A) Base RI'!A307</f>
        <v>5931</v>
      </c>
      <c r="B306" s="286" t="str">
        <f>'A) Base RI'!B307</f>
        <v>Treycovagnes</v>
      </c>
      <c r="C306" s="95">
        <f>'B) D RI'!U307</f>
        <v>15271.093466666664</v>
      </c>
      <c r="D306" s="405">
        <f>'E) PCS'!G312/C306</f>
        <v>17.513952351947975</v>
      </c>
      <c r="E306" s="136">
        <f>'H) Péréquation directe'!I316/C306</f>
        <v>2.3580666884448522</v>
      </c>
      <c r="F306" s="405"/>
      <c r="G306" s="136">
        <f t="shared" si="17"/>
        <v>19.872019040392829</v>
      </c>
      <c r="H306" s="406">
        <f>G306-'C) Prél. conj.'!I306</f>
        <v>14.551403317795499</v>
      </c>
      <c r="I306" s="410">
        <f t="shared" si="18"/>
        <v>0</v>
      </c>
      <c r="J306" s="55">
        <f t="shared" si="19"/>
        <v>0</v>
      </c>
      <c r="K306" s="406">
        <f t="shared" si="20"/>
        <v>14.551403317795499</v>
      </c>
      <c r="L306" s="436"/>
    </row>
    <row r="307" spans="1:14" x14ac:dyDescent="0.25">
      <c r="A307" s="49">
        <f>'A) Base RI'!A308</f>
        <v>5932</v>
      </c>
      <c r="B307" s="286" t="str">
        <f>'A) Base RI'!B308</f>
        <v>Ursins</v>
      </c>
      <c r="C307" s="95">
        <f>'B) D RI'!U308</f>
        <v>7703.3244000000022</v>
      </c>
      <c r="D307" s="405">
        <f>'E) PCS'!G313/C307</f>
        <v>12.832586613422455</v>
      </c>
      <c r="E307" s="136">
        <f>'H) Péréquation directe'!I317/C307</f>
        <v>5.3786824511661839</v>
      </c>
      <c r="F307" s="405"/>
      <c r="G307" s="136">
        <f t="shared" si="17"/>
        <v>18.211269064588638</v>
      </c>
      <c r="H307" s="406">
        <f>G307-'C) Prél. conj.'!I307</f>
        <v>17.572019080516828</v>
      </c>
      <c r="I307" s="410">
        <f t="shared" si="18"/>
        <v>0</v>
      </c>
      <c r="J307" s="55">
        <f t="shared" si="19"/>
        <v>0</v>
      </c>
      <c r="K307" s="406">
        <f t="shared" si="20"/>
        <v>17.572019080516828</v>
      </c>
      <c r="L307" s="436"/>
    </row>
    <row r="308" spans="1:14" x14ac:dyDescent="0.25">
      <c r="A308" s="49">
        <f>'A) Base RI'!A309</f>
        <v>5933</v>
      </c>
      <c r="B308" s="286" t="str">
        <f>'A) Base RI'!B309</f>
        <v>Valeyres-sous-Montagny</v>
      </c>
      <c r="C308" s="95">
        <f>'B) D RI'!U309</f>
        <v>19607.073049645387</v>
      </c>
      <c r="D308" s="405">
        <f>'E) PCS'!G314/C308</f>
        <v>15.837812009182636</v>
      </c>
      <c r="E308" s="136">
        <f>'H) Péréquation directe'!I318/C308</f>
        <v>4.5402515421203639E-2</v>
      </c>
      <c r="F308" s="405"/>
      <c r="G308" s="136">
        <f t="shared" si="17"/>
        <v>15.88321452460384</v>
      </c>
      <c r="H308" s="406">
        <f>G308-'C) Prél. conj.'!I308</f>
        <v>12.238739144771849</v>
      </c>
      <c r="I308" s="410">
        <f t="shared" si="18"/>
        <v>0</v>
      </c>
      <c r="J308" s="55">
        <f t="shared" si="19"/>
        <v>0</v>
      </c>
      <c r="K308" s="406">
        <f t="shared" si="20"/>
        <v>12.238739144771849</v>
      </c>
      <c r="L308" s="436"/>
    </row>
    <row r="309" spans="1:14" x14ac:dyDescent="0.25">
      <c r="A309" s="49">
        <f>'A) Base RI'!A310</f>
        <v>5934</v>
      </c>
      <c r="B309" s="286" t="str">
        <f>'A) Base RI'!B310</f>
        <v>Valeyres-sous-Ursins</v>
      </c>
      <c r="C309" s="95">
        <f>'B) D RI'!U310</f>
        <v>7018.283636363637</v>
      </c>
      <c r="D309" s="405">
        <f>'E) PCS'!G315/C309</f>
        <v>13.051758048625389</v>
      </c>
      <c r="E309" s="136">
        <f>'H) Péréquation directe'!I319/C309</f>
        <v>-2.2681001642347276</v>
      </c>
      <c r="F309" s="405"/>
      <c r="G309" s="136">
        <f t="shared" si="17"/>
        <v>10.783657884390662</v>
      </c>
      <c r="H309" s="406">
        <f>G309-'C) Prél. conj.'!I309</f>
        <v>9.9252364651159155</v>
      </c>
      <c r="I309" s="410">
        <f t="shared" si="18"/>
        <v>0</v>
      </c>
      <c r="J309" s="55">
        <f t="shared" si="19"/>
        <v>0</v>
      </c>
      <c r="K309" s="406">
        <f t="shared" si="20"/>
        <v>9.9252364651159155</v>
      </c>
      <c r="L309" s="436"/>
    </row>
    <row r="310" spans="1:14" x14ac:dyDescent="0.25">
      <c r="A310" s="49">
        <f>'A) Base RI'!A311</f>
        <v>5935</v>
      </c>
      <c r="B310" s="286" t="str">
        <f>'A) Base RI'!B311</f>
        <v>Villars-Epeney</v>
      </c>
      <c r="C310" s="95">
        <f>'B) D RI'!U311</f>
        <v>3448.2304999999997</v>
      </c>
      <c r="D310" s="405">
        <f>'E) PCS'!G316/C310</f>
        <v>13.660755933251586</v>
      </c>
      <c r="E310" s="136">
        <f>'H) Péréquation directe'!I320/C310</f>
        <v>10.567540513647556</v>
      </c>
      <c r="F310" s="405"/>
      <c r="G310" s="136">
        <f t="shared" si="17"/>
        <v>24.228296446899144</v>
      </c>
      <c r="H310" s="406">
        <f>G310-'C) Prél. conj.'!I310</f>
        <v>22.760877142998201</v>
      </c>
      <c r="I310" s="410">
        <f t="shared" si="18"/>
        <v>0</v>
      </c>
      <c r="J310" s="55">
        <f t="shared" si="19"/>
        <v>0</v>
      </c>
      <c r="K310" s="406">
        <f t="shared" si="20"/>
        <v>22.760877142998201</v>
      </c>
      <c r="L310" s="436"/>
    </row>
    <row r="311" spans="1:14" x14ac:dyDescent="0.25">
      <c r="A311" s="49">
        <f>'A) Base RI'!A312</f>
        <v>5937</v>
      </c>
      <c r="B311" s="286" t="str">
        <f>'A) Base RI'!B312</f>
        <v>Vugelles-La Mothe</v>
      </c>
      <c r="C311" s="95">
        <f>'B) D RI'!U312</f>
        <v>3471.6885918367348</v>
      </c>
      <c r="D311" s="405">
        <f>'E) PCS'!G317/C311</f>
        <v>13.666683061408898</v>
      </c>
      <c r="E311" s="136">
        <f>'H) Péréquation directe'!I321/C311</f>
        <v>-4.8794692052739643</v>
      </c>
      <c r="F311" s="405"/>
      <c r="G311" s="136">
        <f t="shared" si="17"/>
        <v>8.7872138561349331</v>
      </c>
      <c r="H311" s="406">
        <f>G311-'C) Prél. conj.'!I311</f>
        <v>7.3138674240766779</v>
      </c>
      <c r="I311" s="410">
        <f t="shared" si="18"/>
        <v>0</v>
      </c>
      <c r="J311" s="55">
        <f t="shared" si="19"/>
        <v>0</v>
      </c>
      <c r="K311" s="406">
        <f t="shared" si="20"/>
        <v>7.3138674240766779</v>
      </c>
      <c r="L311" s="436"/>
    </row>
    <row r="312" spans="1:14" x14ac:dyDescent="0.25">
      <c r="A312" s="49">
        <f>'A) Base RI'!A313</f>
        <v>5938</v>
      </c>
      <c r="B312" s="286" t="str">
        <f>'A) Base RI'!B313</f>
        <v>Yverdon-les-Bains</v>
      </c>
      <c r="C312" s="95">
        <f>'B) D RI'!U313</f>
        <v>762770.29813333345</v>
      </c>
      <c r="D312" s="405">
        <f>'E) PCS'!G318/C312</f>
        <v>18.203368733666618</v>
      </c>
      <c r="E312" s="136">
        <f>'H) Péréquation directe'!I322/C312</f>
        <v>-34.109542481015488</v>
      </c>
      <c r="F312" s="405"/>
      <c r="G312" s="136">
        <f t="shared" si="17"/>
        <v>-15.90617374734887</v>
      </c>
      <c r="H312" s="406">
        <f>G312-'C) Prél. conj.'!I312</f>
        <v>-21.916205851664841</v>
      </c>
      <c r="I312" s="410">
        <f t="shared" si="18"/>
        <v>0</v>
      </c>
      <c r="J312" s="55">
        <f t="shared" si="19"/>
        <v>0</v>
      </c>
      <c r="K312" s="406">
        <f t="shared" si="20"/>
        <v>-21.916205851664841</v>
      </c>
      <c r="L312" s="436"/>
    </row>
    <row r="313" spans="1:14" x14ac:dyDescent="0.25">
      <c r="A313" s="49">
        <f>'A) Base RI'!A314</f>
        <v>5939</v>
      </c>
      <c r="B313" s="286" t="str">
        <f>'A) Base RI'!B314</f>
        <v>Yvonand</v>
      </c>
      <c r="C313" s="95">
        <f>'B) D RI'!U314</f>
        <v>105336.86867132869</v>
      </c>
      <c r="D313" s="405">
        <f>'E) PCS'!G319/C313</f>
        <v>15.549652603609616</v>
      </c>
      <c r="E313" s="136">
        <f>'H) Péréquation directe'!I323/C313</f>
        <v>-3.986534568144271</v>
      </c>
      <c r="F313" s="405"/>
      <c r="G313" s="455">
        <f t="shared" si="17"/>
        <v>11.563118035465344</v>
      </c>
      <c r="H313" s="406">
        <f>G313-'C) Prél. conj.'!I313</f>
        <v>8.2068020612063712</v>
      </c>
      <c r="I313" s="410">
        <f t="shared" si="18"/>
        <v>0</v>
      </c>
      <c r="J313" s="55">
        <f t="shared" si="19"/>
        <v>0</v>
      </c>
      <c r="K313" s="406">
        <f t="shared" si="20"/>
        <v>8.2068020612063712</v>
      </c>
      <c r="L313" s="436"/>
    </row>
    <row r="314" spans="1:14" x14ac:dyDescent="0.25">
      <c r="A314" s="30"/>
      <c r="B314" s="292">
        <f>COUNTA(B6:B313)</f>
        <v>308</v>
      </c>
      <c r="C314" s="97">
        <f>SUM(C6:C313)</f>
        <v>39896757.238841556</v>
      </c>
      <c r="D314" s="109">
        <f>('E) PCS'!G320-'E) PCS'!D320)/C314</f>
        <v>15.269776448445219</v>
      </c>
      <c r="E314" s="109">
        <f>'H) Péréquation directe'!I324/C314</f>
        <v>4.3310226296309748</v>
      </c>
      <c r="F314" s="299">
        <f>'I) Dépenses thématiques'!T314</f>
        <v>-4.5</v>
      </c>
      <c r="G314" s="109">
        <f>SUM(D314:F314)</f>
        <v>15.100799078076193</v>
      </c>
      <c r="H314" s="398">
        <f>G314-('C) Prél. conj.'!H314/'J) Plafonnement effort'!C314)</f>
        <v>10.435570803237974</v>
      </c>
      <c r="I314" s="300"/>
      <c r="J314" s="37">
        <f>SUM(J6:J313)</f>
        <v>-1520585.9288719806</v>
      </c>
      <c r="K314" s="19">
        <f>G314+I314</f>
        <v>15.100799078076193</v>
      </c>
      <c r="M314" s="12"/>
      <c r="N314" s="12"/>
    </row>
    <row r="315" spans="1:14" x14ac:dyDescent="0.25">
      <c r="J315" s="6"/>
    </row>
    <row r="318" spans="1:14" x14ac:dyDescent="0.25">
      <c r="G318" s="28"/>
      <c r="H318" s="401"/>
      <c r="I318" s="28"/>
      <c r="J318" s="28"/>
    </row>
    <row r="320" spans="1:14" x14ac:dyDescent="0.25">
      <c r="J320" s="28"/>
    </row>
  </sheetData>
  <mergeCells count="10">
    <mergeCell ref="C4:C5"/>
    <mergeCell ref="B4:B5"/>
    <mergeCell ref="A4:A5"/>
    <mergeCell ref="K4:K5"/>
    <mergeCell ref="J4:J5"/>
    <mergeCell ref="G4:G5"/>
    <mergeCell ref="F4:F5"/>
    <mergeCell ref="E4:E5"/>
    <mergeCell ref="D4:D5"/>
    <mergeCell ref="H4:H5"/>
  </mergeCells>
  <phoneticPr fontId="0" type="noConversion"/>
  <printOptions horizontalCentered="1"/>
  <pageMargins left="0" right="0" top="0" bottom="0" header="0.51181102362204722" footer="0.51181102362204722"/>
  <pageSetup paperSize="9" scale="64" orientation="portrait" horizontalDpi="4294967292" verticalDpi="4294967292"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Feuil14">
    <tabColor rgb="FF00B050"/>
  </sheetPr>
  <dimension ref="A1:Y316"/>
  <sheetViews>
    <sheetView workbookViewId="0">
      <pane ySplit="5" topLeftCell="A287" activePane="bottomLeft" state="frozen"/>
      <selection pane="bottomLeft" activeCell="J314" sqref="J314"/>
    </sheetView>
  </sheetViews>
  <sheetFormatPr baseColWidth="10" defaultColWidth="10.75" defaultRowHeight="15" x14ac:dyDescent="0.25"/>
  <cols>
    <col min="1" max="1" width="7.25" style="13" customWidth="1"/>
    <col min="2" max="2" width="18" style="13" customWidth="1"/>
    <col min="3" max="3" width="12.125" style="13" customWidth="1"/>
    <col min="4" max="4" width="9.25" style="13" customWidth="1"/>
    <col min="5" max="5" width="14.25" style="13" customWidth="1"/>
    <col min="6" max="6" width="11" style="13" customWidth="1"/>
    <col min="7" max="7" width="10.375" style="13" customWidth="1"/>
    <col min="8" max="8" width="13.875" style="13" customWidth="1"/>
    <col min="9" max="9" width="10" style="13" customWidth="1"/>
    <col min="10" max="10" width="12.875" style="13" customWidth="1"/>
    <col min="11" max="14" width="12.125" style="13" customWidth="1"/>
    <col min="15" max="17" width="8.125" style="13" customWidth="1"/>
    <col min="18" max="16384" width="10.75" style="13"/>
  </cols>
  <sheetData>
    <row r="1" spans="1:25" s="43" customFormat="1" ht="20.25" customHeight="1" x14ac:dyDescent="0.25">
      <c r="A1" s="51" t="s">
        <v>0</v>
      </c>
      <c r="B1" s="42"/>
      <c r="C1" s="68"/>
      <c r="D1" s="68"/>
      <c r="E1" s="68"/>
      <c r="F1" s="68"/>
      <c r="G1" s="68"/>
      <c r="H1" s="68"/>
      <c r="I1" s="68"/>
      <c r="J1" s="68"/>
      <c r="L1" s="56"/>
      <c r="N1" s="13"/>
      <c r="O1" s="13"/>
      <c r="P1" s="13"/>
      <c r="Q1" s="13"/>
      <c r="R1" s="13"/>
      <c r="Y1" s="13"/>
    </row>
    <row r="2" spans="1:25" s="43" customFormat="1" ht="20.25" customHeight="1" x14ac:dyDescent="0.25">
      <c r="A2" s="200" t="str">
        <f>Paramètres!B5</f>
        <v>décompte provisoire 2021</v>
      </c>
      <c r="B2" s="42"/>
      <c r="C2" s="404"/>
      <c r="D2" s="404"/>
      <c r="E2" s="404"/>
      <c r="F2" s="404"/>
      <c r="G2" s="404"/>
      <c r="H2" s="404"/>
      <c r="I2" s="404"/>
      <c r="J2" s="404"/>
      <c r="L2" s="56"/>
      <c r="N2" s="400"/>
      <c r="O2" s="400"/>
      <c r="P2" s="400"/>
      <c r="Q2" s="400"/>
      <c r="R2" s="400"/>
      <c r="Y2" s="400"/>
    </row>
    <row r="4" spans="1:25" ht="30" x14ac:dyDescent="0.25">
      <c r="A4" s="581" t="s">
        <v>46</v>
      </c>
      <c r="B4" s="581" t="s">
        <v>94</v>
      </c>
      <c r="C4" s="581" t="s">
        <v>511</v>
      </c>
      <c r="D4" s="581" t="s">
        <v>562</v>
      </c>
      <c r="E4" s="581" t="s">
        <v>565</v>
      </c>
      <c r="F4" s="581" t="s">
        <v>568</v>
      </c>
      <c r="G4" s="581" t="s">
        <v>358</v>
      </c>
      <c r="H4" s="581" t="s">
        <v>567</v>
      </c>
      <c r="I4" s="112" t="s">
        <v>566</v>
      </c>
      <c r="J4" s="581" t="s">
        <v>441</v>
      </c>
    </row>
    <row r="5" spans="1:25" x14ac:dyDescent="0.25">
      <c r="A5" s="582"/>
      <c r="B5" s="583"/>
      <c r="C5" s="582"/>
      <c r="D5" s="583"/>
      <c r="E5" s="582"/>
      <c r="F5" s="583"/>
      <c r="G5" s="582"/>
      <c r="H5" s="583"/>
      <c r="I5" s="375">
        <f>Paramètres!B43</f>
        <v>-8</v>
      </c>
      <c r="J5" s="582"/>
    </row>
    <row r="6" spans="1:25" x14ac:dyDescent="0.25">
      <c r="A6" s="46">
        <f>'A) Base RI'!A7</f>
        <v>5401</v>
      </c>
      <c r="B6" s="286" t="str">
        <f>'A) Base RI'!B7</f>
        <v>Aigle</v>
      </c>
      <c r="C6" s="94">
        <f>'B) D RI'!U7</f>
        <v>280991.46517676767</v>
      </c>
      <c r="D6" s="110">
        <f>'E) PCS'!G12/C6</f>
        <v>17.394578574833179</v>
      </c>
      <c r="E6" s="135">
        <f>'H) Péréquation directe'!I16/C6</f>
        <v>-16.791183445164751</v>
      </c>
      <c r="F6" s="110"/>
      <c r="G6" s="135">
        <f>SUM(D6:F6)</f>
        <v>0.6033951296684279</v>
      </c>
      <c r="H6" s="110">
        <f>G6-F6</f>
        <v>0.6033951296684279</v>
      </c>
      <c r="I6" s="135">
        <f>IF(H6&lt;I$5,H6-I$5,0)</f>
        <v>0</v>
      </c>
      <c r="J6" s="100">
        <f t="shared" ref="J6" si="0">-I6*C6</f>
        <v>0</v>
      </c>
      <c r="K6" s="36"/>
    </row>
    <row r="7" spans="1:25" x14ac:dyDescent="0.25">
      <c r="A7" s="49">
        <f>'A) Base RI'!A8</f>
        <v>5402</v>
      </c>
      <c r="B7" s="286" t="str">
        <f>'A) Base RI'!B8</f>
        <v>Bex</v>
      </c>
      <c r="C7" s="95">
        <f>'B) D RI'!U8</f>
        <v>192706.98084507044</v>
      </c>
      <c r="D7" s="110">
        <f>'E) PCS'!G13/C7</f>
        <v>16.869943911805784</v>
      </c>
      <c r="E7" s="136">
        <f>'H) Péréquation directe'!I17/C7</f>
        <v>-20.83243815838108</v>
      </c>
      <c r="F7" s="405"/>
      <c r="G7" s="136">
        <f t="shared" ref="G7:G69" si="1">SUM(D7:F7)</f>
        <v>-3.9624942465752966</v>
      </c>
      <c r="H7" s="110">
        <f t="shared" ref="H7:H69" si="2">G7-F7</f>
        <v>-3.9624942465752966</v>
      </c>
      <c r="I7" s="136">
        <f t="shared" ref="I7:I69" si="3">IF(H7&lt;I$5,H7-I$5,0)</f>
        <v>0</v>
      </c>
      <c r="J7" s="55">
        <f t="shared" ref="J7:J69" si="4">-I7*C7</f>
        <v>0</v>
      </c>
      <c r="K7" s="36"/>
    </row>
    <row r="8" spans="1:25" x14ac:dyDescent="0.25">
      <c r="A8" s="49">
        <f>'A) Base RI'!A9</f>
        <v>5403</v>
      </c>
      <c r="B8" s="286" t="str">
        <f>'A) Base RI'!B9</f>
        <v>Chessel</v>
      </c>
      <c r="C8" s="95">
        <f>'B) D RI'!U9</f>
        <v>12090.332702702703</v>
      </c>
      <c r="D8" s="110">
        <f>'E) PCS'!G14/C8</f>
        <v>15.547592959363335</v>
      </c>
      <c r="E8" s="136">
        <f>'H) Péréquation directe'!I18/C8</f>
        <v>-7.9983750176023252</v>
      </c>
      <c r="F8" s="405"/>
      <c r="G8" s="136">
        <f t="shared" si="1"/>
        <v>7.5492179417610101</v>
      </c>
      <c r="H8" s="110">
        <f t="shared" si="2"/>
        <v>7.5492179417610101</v>
      </c>
      <c r="I8" s="136">
        <f t="shared" si="3"/>
        <v>0</v>
      </c>
      <c r="J8" s="55">
        <f t="shared" si="4"/>
        <v>0</v>
      </c>
      <c r="K8" s="36"/>
    </row>
    <row r="9" spans="1:25" x14ac:dyDescent="0.25">
      <c r="A9" s="49">
        <f>'A) Base RI'!A10</f>
        <v>5404</v>
      </c>
      <c r="B9" s="286" t="str">
        <f>'A) Base RI'!B10</f>
        <v>Corbeyrier</v>
      </c>
      <c r="C9" s="95">
        <f>'B) D RI'!U10</f>
        <v>11581.118783783784</v>
      </c>
      <c r="D9" s="110">
        <f>'E) PCS'!G15/C9</f>
        <v>16.920753817805771</v>
      </c>
      <c r="E9" s="136">
        <f>'H) Péréquation directe'!I19/C9</f>
        <v>-4.2066057741928242</v>
      </c>
      <c r="F9" s="405"/>
      <c r="G9" s="136">
        <f t="shared" si="1"/>
        <v>12.714148043612948</v>
      </c>
      <c r="H9" s="110">
        <f t="shared" si="2"/>
        <v>12.714148043612948</v>
      </c>
      <c r="I9" s="136">
        <f t="shared" si="3"/>
        <v>0</v>
      </c>
      <c r="J9" s="55">
        <f t="shared" si="4"/>
        <v>0</v>
      </c>
      <c r="K9" s="36"/>
    </row>
    <row r="10" spans="1:25" x14ac:dyDescent="0.25">
      <c r="A10" s="49">
        <f>'A) Base RI'!A11</f>
        <v>5405</v>
      </c>
      <c r="B10" s="286" t="str">
        <f>'A) Base RI'!B11</f>
        <v>Gryon</v>
      </c>
      <c r="C10" s="95">
        <f>'B) D RI'!U11</f>
        <v>78111.135102040818</v>
      </c>
      <c r="D10" s="110">
        <f>'E) PCS'!G16/C10</f>
        <v>23.618326853974068</v>
      </c>
      <c r="E10" s="136">
        <f>'H) Péréquation directe'!I20/C10</f>
        <v>15.507122637383848</v>
      </c>
      <c r="F10" s="405"/>
      <c r="G10" s="136">
        <f t="shared" si="1"/>
        <v>39.125449491357912</v>
      </c>
      <c r="H10" s="110">
        <f t="shared" si="2"/>
        <v>39.125449491357912</v>
      </c>
      <c r="I10" s="136">
        <f t="shared" si="3"/>
        <v>0</v>
      </c>
      <c r="J10" s="55">
        <f t="shared" si="4"/>
        <v>0</v>
      </c>
      <c r="K10" s="36"/>
    </row>
    <row r="11" spans="1:25" x14ac:dyDescent="0.25">
      <c r="A11" s="49">
        <f>'A) Base RI'!A12</f>
        <v>5406</v>
      </c>
      <c r="B11" s="286" t="str">
        <f>'A) Base RI'!B12</f>
        <v>Lavey-Morcles</v>
      </c>
      <c r="C11" s="95">
        <f>'B) D RI'!U12</f>
        <v>21513.822183969878</v>
      </c>
      <c r="D11" s="110">
        <f>'E) PCS'!G17/C11</f>
        <v>14.544509264666445</v>
      </c>
      <c r="E11" s="136">
        <f>'H) Péréquation directe'!I21/C11</f>
        <v>-10.785750737237924</v>
      </c>
      <c r="F11" s="405"/>
      <c r="G11" s="136">
        <f t="shared" si="1"/>
        <v>3.7587585274285207</v>
      </c>
      <c r="H11" s="110">
        <f t="shared" si="2"/>
        <v>3.7587585274285207</v>
      </c>
      <c r="I11" s="136">
        <f t="shared" si="3"/>
        <v>0</v>
      </c>
      <c r="J11" s="55">
        <f t="shared" si="4"/>
        <v>0</v>
      </c>
      <c r="K11" s="36"/>
    </row>
    <row r="12" spans="1:25" x14ac:dyDescent="0.25">
      <c r="A12" s="49">
        <f>'A) Base RI'!A13</f>
        <v>5407</v>
      </c>
      <c r="B12" s="286" t="str">
        <f>'A) Base RI'!B13</f>
        <v>Leysin</v>
      </c>
      <c r="C12" s="95">
        <f>'B) D RI'!U13</f>
        <v>90687.443803418792</v>
      </c>
      <c r="D12" s="110">
        <f>'E) PCS'!G18/C12</f>
        <v>18.554180543425694</v>
      </c>
      <c r="E12" s="136">
        <f>'H) Péréquation directe'!I22/C12</f>
        <v>-16.681132565006916</v>
      </c>
      <c r="F12" s="405"/>
      <c r="G12" s="136">
        <f t="shared" si="1"/>
        <v>1.8730479784187786</v>
      </c>
      <c r="H12" s="110">
        <f t="shared" si="2"/>
        <v>1.8730479784187786</v>
      </c>
      <c r="I12" s="136">
        <f t="shared" si="3"/>
        <v>0</v>
      </c>
      <c r="J12" s="55">
        <f t="shared" si="4"/>
        <v>0</v>
      </c>
      <c r="K12" s="36"/>
      <c r="L12" s="28"/>
    </row>
    <row r="13" spans="1:25" x14ac:dyDescent="0.25">
      <c r="A13" s="49">
        <f>'A) Base RI'!A14</f>
        <v>5408</v>
      </c>
      <c r="B13" s="286" t="str">
        <f>'A) Base RI'!B14</f>
        <v>Noville</v>
      </c>
      <c r="C13" s="95">
        <f>'B) D RI'!U14</f>
        <v>41389.442632696395</v>
      </c>
      <c r="D13" s="110">
        <f>'E) PCS'!G19/C13</f>
        <v>18.578638851111506</v>
      </c>
      <c r="E13" s="136">
        <f>'H) Péréquation directe'!I23/C13</f>
        <v>5.3148909536974882</v>
      </c>
      <c r="F13" s="405"/>
      <c r="G13" s="136">
        <f t="shared" si="1"/>
        <v>23.893529804808995</v>
      </c>
      <c r="H13" s="110">
        <f t="shared" si="2"/>
        <v>23.893529804808995</v>
      </c>
      <c r="I13" s="136">
        <f t="shared" si="3"/>
        <v>0</v>
      </c>
      <c r="J13" s="55">
        <f t="shared" si="4"/>
        <v>0</v>
      </c>
      <c r="K13" s="36"/>
    </row>
    <row r="14" spans="1:25" x14ac:dyDescent="0.25">
      <c r="A14" s="49">
        <f>'A) Base RI'!A15</f>
        <v>5409</v>
      </c>
      <c r="B14" s="286" t="str">
        <f>'A) Base RI'!B15</f>
        <v>Ollon</v>
      </c>
      <c r="C14" s="95">
        <f>'B) D RI'!U15</f>
        <v>428262.96074660635</v>
      </c>
      <c r="D14" s="110">
        <f>'E) PCS'!G20/C14</f>
        <v>22.822199387127469</v>
      </c>
      <c r="E14" s="136">
        <f>'H) Péréquation directe'!I24/C14</f>
        <v>10.49923808406721</v>
      </c>
      <c r="F14" s="405"/>
      <c r="G14" s="136">
        <f t="shared" si="1"/>
        <v>33.321437471194677</v>
      </c>
      <c r="H14" s="110">
        <f t="shared" si="2"/>
        <v>33.321437471194677</v>
      </c>
      <c r="I14" s="136">
        <f t="shared" si="3"/>
        <v>0</v>
      </c>
      <c r="J14" s="55">
        <f t="shared" si="4"/>
        <v>0</v>
      </c>
      <c r="K14" s="36"/>
    </row>
    <row r="15" spans="1:25" x14ac:dyDescent="0.25">
      <c r="A15" s="49">
        <f>'A) Base RI'!A16</f>
        <v>5410</v>
      </c>
      <c r="B15" s="286" t="str">
        <f>'A) Base RI'!B16</f>
        <v>Ormont-Dessous</v>
      </c>
      <c r="C15" s="95">
        <f>'B) D RI'!U16</f>
        <v>38607.205194805196</v>
      </c>
      <c r="D15" s="110">
        <f>'E) PCS'!G21/C15</f>
        <v>20.717377629974042</v>
      </c>
      <c r="E15" s="136">
        <f>'H) Péréquation directe'!I25/C15</f>
        <v>3.2733036295468727</v>
      </c>
      <c r="F15" s="405"/>
      <c r="G15" s="136">
        <f t="shared" si="1"/>
        <v>23.990681259520915</v>
      </c>
      <c r="H15" s="110">
        <f t="shared" si="2"/>
        <v>23.990681259520915</v>
      </c>
      <c r="I15" s="136">
        <f t="shared" si="3"/>
        <v>0</v>
      </c>
      <c r="J15" s="55">
        <f t="shared" si="4"/>
        <v>0</v>
      </c>
      <c r="K15" s="36"/>
    </row>
    <row r="16" spans="1:25" x14ac:dyDescent="0.25">
      <c r="A16" s="49">
        <f>'A) Base RI'!A17</f>
        <v>5411</v>
      </c>
      <c r="B16" s="286" t="str">
        <f>'A) Base RI'!B17</f>
        <v>Ormont-Dessus</v>
      </c>
      <c r="C16" s="95">
        <f>'B) D RI'!U17</f>
        <v>77411.411228070181</v>
      </c>
      <c r="D16" s="110">
        <f>'E) PCS'!G22/C16</f>
        <v>20.254399002290373</v>
      </c>
      <c r="E16" s="136">
        <f>'H) Péréquation directe'!I26/C16</f>
        <v>15.165904281031199</v>
      </c>
      <c r="F16" s="405"/>
      <c r="G16" s="136">
        <f t="shared" si="1"/>
        <v>35.420303283321573</v>
      </c>
      <c r="H16" s="110">
        <f t="shared" si="2"/>
        <v>35.420303283321573</v>
      </c>
      <c r="I16" s="136">
        <f t="shared" si="3"/>
        <v>0</v>
      </c>
      <c r="J16" s="55">
        <f t="shared" si="4"/>
        <v>0</v>
      </c>
      <c r="K16" s="36"/>
    </row>
    <row r="17" spans="1:11" x14ac:dyDescent="0.25">
      <c r="A17" s="49">
        <f>'A) Base RI'!A18</f>
        <v>5412</v>
      </c>
      <c r="B17" s="286" t="str">
        <f>'A) Base RI'!B18</f>
        <v>Rennaz</v>
      </c>
      <c r="C17" s="95">
        <f>'B) D RI'!U18</f>
        <v>28875.999420289856</v>
      </c>
      <c r="D17" s="110">
        <f>'E) PCS'!G23/C17</f>
        <v>24.0795115459089</v>
      </c>
      <c r="E17" s="136">
        <f>'H) Péréquation directe'!I27/C17</f>
        <v>5.8481378626618747</v>
      </c>
      <c r="F17" s="405"/>
      <c r="G17" s="136">
        <f t="shared" si="1"/>
        <v>29.927649408570776</v>
      </c>
      <c r="H17" s="110">
        <f t="shared" si="2"/>
        <v>29.927649408570776</v>
      </c>
      <c r="I17" s="136">
        <f t="shared" si="3"/>
        <v>0</v>
      </c>
      <c r="J17" s="55">
        <f t="shared" si="4"/>
        <v>0</v>
      </c>
      <c r="K17" s="36"/>
    </row>
    <row r="18" spans="1:11" x14ac:dyDescent="0.25">
      <c r="A18" s="49">
        <f>'A) Base RI'!A19</f>
        <v>5413</v>
      </c>
      <c r="B18" s="286" t="str">
        <f>'A) Base RI'!B19</f>
        <v>Roche</v>
      </c>
      <c r="C18" s="95">
        <f>'B) D RI'!U19</f>
        <v>43148.541249999987</v>
      </c>
      <c r="D18" s="110">
        <f>'E) PCS'!G24/C18</f>
        <v>23.809115992459478</v>
      </c>
      <c r="E18" s="136">
        <f>'H) Péréquation directe'!I28/C18</f>
        <v>-11.543210784212732</v>
      </c>
      <c r="F18" s="405"/>
      <c r="G18" s="136">
        <f t="shared" si="1"/>
        <v>12.265905208246746</v>
      </c>
      <c r="H18" s="110">
        <f t="shared" si="2"/>
        <v>12.265905208246746</v>
      </c>
      <c r="I18" s="136">
        <f t="shared" si="3"/>
        <v>0</v>
      </c>
      <c r="J18" s="55">
        <f t="shared" si="4"/>
        <v>0</v>
      </c>
      <c r="K18" s="36"/>
    </row>
    <row r="19" spans="1:11" x14ac:dyDescent="0.25">
      <c r="A19" s="49">
        <f>'A) Base RI'!A20</f>
        <v>5414</v>
      </c>
      <c r="B19" s="286" t="str">
        <f>'A) Base RI'!B20</f>
        <v>Villeneuve</v>
      </c>
      <c r="C19" s="95">
        <f>'B) D RI'!U20</f>
        <v>185712.20711111111</v>
      </c>
      <c r="D19" s="110">
        <f>'E) PCS'!G25/C19</f>
        <v>19.148604110648694</v>
      </c>
      <c r="E19" s="136">
        <f>'H) Péréquation directe'!I29/C19</f>
        <v>-3.8702091671405499</v>
      </c>
      <c r="F19" s="405"/>
      <c r="G19" s="136">
        <f t="shared" si="1"/>
        <v>15.278394943508145</v>
      </c>
      <c r="H19" s="110">
        <f t="shared" si="2"/>
        <v>15.278394943508145</v>
      </c>
      <c r="I19" s="136">
        <f t="shared" si="3"/>
        <v>0</v>
      </c>
      <c r="J19" s="55">
        <f t="shared" si="4"/>
        <v>0</v>
      </c>
      <c r="K19" s="36"/>
    </row>
    <row r="20" spans="1:11" x14ac:dyDescent="0.25">
      <c r="A20" s="49">
        <f>'A) Base RI'!A21</f>
        <v>5415</v>
      </c>
      <c r="B20" s="286" t="str">
        <f>'A) Base RI'!B21</f>
        <v>Yvorne</v>
      </c>
      <c r="C20" s="95">
        <f>'B) D RI'!U21</f>
        <v>35910.274638694631</v>
      </c>
      <c r="D20" s="110">
        <f>'E) PCS'!G26/C20</f>
        <v>20.097684559180848</v>
      </c>
      <c r="E20" s="136">
        <f>'H) Péréquation directe'!I30/C20</f>
        <v>6.8003892644572623</v>
      </c>
      <c r="F20" s="405"/>
      <c r="G20" s="136">
        <f t="shared" si="1"/>
        <v>26.898073823638111</v>
      </c>
      <c r="H20" s="110">
        <f t="shared" si="2"/>
        <v>26.898073823638111</v>
      </c>
      <c r="I20" s="136">
        <f t="shared" si="3"/>
        <v>0</v>
      </c>
      <c r="J20" s="55">
        <f t="shared" si="4"/>
        <v>0</v>
      </c>
      <c r="K20" s="36"/>
    </row>
    <row r="21" spans="1:11" x14ac:dyDescent="0.25">
      <c r="A21" s="49">
        <f>'A) Base RI'!A22</f>
        <v>5421</v>
      </c>
      <c r="B21" s="286" t="str">
        <f>'A) Base RI'!B22</f>
        <v>Apples</v>
      </c>
      <c r="C21" s="95">
        <f>'B) D RI'!U22</f>
        <v>68531.648243243253</v>
      </c>
      <c r="D21" s="110">
        <f>'E) PCS'!G27/C21</f>
        <v>18.414131779159877</v>
      </c>
      <c r="E21" s="136">
        <f>'H) Péréquation directe'!I31/C21</f>
        <v>13.769609893994348</v>
      </c>
      <c r="F21" s="405"/>
      <c r="G21" s="136">
        <f t="shared" si="1"/>
        <v>32.183741673154223</v>
      </c>
      <c r="H21" s="110">
        <f t="shared" si="2"/>
        <v>32.183741673154223</v>
      </c>
      <c r="I21" s="136">
        <f t="shared" si="3"/>
        <v>0</v>
      </c>
      <c r="J21" s="55">
        <f t="shared" si="4"/>
        <v>0</v>
      </c>
      <c r="K21" s="36"/>
    </row>
    <row r="22" spans="1:11" x14ac:dyDescent="0.25">
      <c r="A22" s="49">
        <f>'A) Base RI'!A23</f>
        <v>5422</v>
      </c>
      <c r="B22" s="286" t="str">
        <f>'A) Base RI'!B23</f>
        <v>Aubonne</v>
      </c>
      <c r="C22" s="95">
        <f>'B) D RI'!U23</f>
        <v>364706.48499999999</v>
      </c>
      <c r="D22" s="110">
        <f>'E) PCS'!G28/C22</f>
        <v>26.474434359024279</v>
      </c>
      <c r="E22" s="136">
        <f>'H) Péréquation directe'!I32/C22</f>
        <v>15.486295328162392</v>
      </c>
      <c r="F22" s="405"/>
      <c r="G22" s="136">
        <f t="shared" si="1"/>
        <v>41.960729687186671</v>
      </c>
      <c r="H22" s="110">
        <f t="shared" si="2"/>
        <v>41.960729687186671</v>
      </c>
      <c r="I22" s="136">
        <f t="shared" si="3"/>
        <v>0</v>
      </c>
      <c r="J22" s="55">
        <f t="shared" si="4"/>
        <v>0</v>
      </c>
      <c r="K22" s="36"/>
    </row>
    <row r="23" spans="1:11" x14ac:dyDescent="0.25">
      <c r="A23" s="49">
        <f>'A) Base RI'!A24</f>
        <v>5423</v>
      </c>
      <c r="B23" s="286" t="str">
        <f>'A) Base RI'!B24</f>
        <v>Ballens</v>
      </c>
      <c r="C23" s="95">
        <f>'B) D RI'!U24</f>
        <v>16194.440273972601</v>
      </c>
      <c r="D23" s="110">
        <f>'E) PCS'!G29/C23</f>
        <v>17.136454677626539</v>
      </c>
      <c r="E23" s="136">
        <f>'H) Péréquation directe'!I33/C23</f>
        <v>-0.36892985393094885</v>
      </c>
      <c r="F23" s="405"/>
      <c r="G23" s="136">
        <f t="shared" si="1"/>
        <v>16.767524823695588</v>
      </c>
      <c r="H23" s="110">
        <f t="shared" si="2"/>
        <v>16.767524823695588</v>
      </c>
      <c r="I23" s="136">
        <f t="shared" si="3"/>
        <v>0</v>
      </c>
      <c r="J23" s="55">
        <f t="shared" si="4"/>
        <v>0</v>
      </c>
      <c r="K23" s="36"/>
    </row>
    <row r="24" spans="1:11" x14ac:dyDescent="0.25">
      <c r="A24" s="49">
        <f>'A) Base RI'!A25</f>
        <v>5424</v>
      </c>
      <c r="B24" s="286" t="str">
        <f>'A) Base RI'!B25</f>
        <v>Berolle</v>
      </c>
      <c r="C24" s="95">
        <f>'B) D RI'!U25</f>
        <v>8301.8684768211915</v>
      </c>
      <c r="D24" s="110">
        <f>'E) PCS'!G30/C24</f>
        <v>14.094652585399603</v>
      </c>
      <c r="E24" s="136">
        <f>'H) Péréquation directe'!I34/C24</f>
        <v>-3.9652400537208745</v>
      </c>
      <c r="F24" s="405"/>
      <c r="G24" s="136">
        <f t="shared" si="1"/>
        <v>10.129412531678728</v>
      </c>
      <c r="H24" s="110">
        <f t="shared" si="2"/>
        <v>10.129412531678728</v>
      </c>
      <c r="I24" s="136">
        <f t="shared" si="3"/>
        <v>0</v>
      </c>
      <c r="J24" s="55">
        <f t="shared" si="4"/>
        <v>0</v>
      </c>
      <c r="K24" s="36"/>
    </row>
    <row r="25" spans="1:11" x14ac:dyDescent="0.25">
      <c r="A25" s="49">
        <f>'A) Base RI'!A26</f>
        <v>5425</v>
      </c>
      <c r="B25" s="286" t="str">
        <f>'A) Base RI'!B26</f>
        <v>Bière</v>
      </c>
      <c r="C25" s="95">
        <f>'B) D RI'!U26</f>
        <v>44230.498130934531</v>
      </c>
      <c r="D25" s="110">
        <f>'E) PCS'!G31/C25</f>
        <v>15.880612872932804</v>
      </c>
      <c r="E25" s="136">
        <f>'H) Péréquation directe'!I35/C25</f>
        <v>-4.0288266186283517</v>
      </c>
      <c r="F25" s="405"/>
      <c r="G25" s="136">
        <f t="shared" si="1"/>
        <v>11.851786254304454</v>
      </c>
      <c r="H25" s="110">
        <f t="shared" si="2"/>
        <v>11.851786254304454</v>
      </c>
      <c r="I25" s="136">
        <f t="shared" si="3"/>
        <v>0</v>
      </c>
      <c r="J25" s="55">
        <f t="shared" si="4"/>
        <v>0</v>
      </c>
      <c r="K25" s="36"/>
    </row>
    <row r="26" spans="1:11" x14ac:dyDescent="0.25">
      <c r="A26" s="49">
        <f>'A) Base RI'!A27</f>
        <v>5426</v>
      </c>
      <c r="B26" s="286" t="str">
        <f>'A) Base RI'!B27</f>
        <v>Bougy-Villars</v>
      </c>
      <c r="C26" s="95">
        <f>'B) D RI'!U27</f>
        <v>53043.718423772611</v>
      </c>
      <c r="D26" s="110">
        <f>'E) PCS'!G32/C26</f>
        <v>45.719735633239729</v>
      </c>
      <c r="E26" s="136">
        <f>'H) Péréquation directe'!I36/C26</f>
        <v>17.643559365360741</v>
      </c>
      <c r="F26" s="405"/>
      <c r="G26" s="136">
        <f t="shared" si="1"/>
        <v>63.363294998600466</v>
      </c>
      <c r="H26" s="110">
        <f t="shared" si="2"/>
        <v>63.363294998600466</v>
      </c>
      <c r="I26" s="136">
        <f t="shared" si="3"/>
        <v>0</v>
      </c>
      <c r="J26" s="55">
        <f t="shared" si="4"/>
        <v>0</v>
      </c>
      <c r="K26" s="36"/>
    </row>
    <row r="27" spans="1:11" x14ac:dyDescent="0.25">
      <c r="A27" s="49">
        <f>'A) Base RI'!A28</f>
        <v>5427</v>
      </c>
      <c r="B27" s="286" t="str">
        <f>'A) Base RI'!B28</f>
        <v>Féchy</v>
      </c>
      <c r="C27" s="95">
        <f>'B) D RI'!U28</f>
        <v>88218.508882211536</v>
      </c>
      <c r="D27" s="110">
        <f>'E) PCS'!G33/C27</f>
        <v>25.630020474236883</v>
      </c>
      <c r="E27" s="136">
        <f>'H) Péréquation directe'!I37/C27</f>
        <v>17.549628416551833</v>
      </c>
      <c r="F27" s="405"/>
      <c r="G27" s="136">
        <f t="shared" si="1"/>
        <v>43.179648890788712</v>
      </c>
      <c r="H27" s="110">
        <f t="shared" si="2"/>
        <v>43.179648890788712</v>
      </c>
      <c r="I27" s="136">
        <f t="shared" si="3"/>
        <v>0</v>
      </c>
      <c r="J27" s="55">
        <f t="shared" si="4"/>
        <v>0</v>
      </c>
      <c r="K27" s="36"/>
    </row>
    <row r="28" spans="1:11" x14ac:dyDescent="0.25">
      <c r="A28" s="49">
        <f>'A) Base RI'!A29</f>
        <v>5428</v>
      </c>
      <c r="B28" s="286" t="str">
        <f>'A) Base RI'!B29</f>
        <v>Gimel</v>
      </c>
      <c r="C28" s="95">
        <f>'B) D RI'!U29</f>
        <v>70558.698881431759</v>
      </c>
      <c r="D28" s="110">
        <f>'E) PCS'!G34/C28</f>
        <v>18.148055418964955</v>
      </c>
      <c r="E28" s="136">
        <f>'H) Péréquation directe'!I38/C28</f>
        <v>-4.2833172968439088</v>
      </c>
      <c r="F28" s="405"/>
      <c r="G28" s="136">
        <f t="shared" si="1"/>
        <v>13.864738122121047</v>
      </c>
      <c r="H28" s="110">
        <f t="shared" si="2"/>
        <v>13.864738122121047</v>
      </c>
      <c r="I28" s="136">
        <f t="shared" si="3"/>
        <v>0</v>
      </c>
      <c r="J28" s="55">
        <f t="shared" si="4"/>
        <v>0</v>
      </c>
      <c r="K28" s="36"/>
    </row>
    <row r="29" spans="1:11" x14ac:dyDescent="0.25">
      <c r="A29" s="49">
        <f>'A) Base RI'!A30</f>
        <v>5429</v>
      </c>
      <c r="B29" s="286" t="str">
        <f>'A) Base RI'!B30</f>
        <v>Longirod</v>
      </c>
      <c r="C29" s="95">
        <f>'B) D RI'!U30</f>
        <v>18574.452387096771</v>
      </c>
      <c r="D29" s="110">
        <f>'E) PCS'!G35/C29</f>
        <v>16.570762854657985</v>
      </c>
      <c r="E29" s="136">
        <f>'H) Péréquation directe'!I39/C29</f>
        <v>6.7809073902226542</v>
      </c>
      <c r="F29" s="405"/>
      <c r="G29" s="136">
        <f t="shared" si="1"/>
        <v>23.351670244880641</v>
      </c>
      <c r="H29" s="110">
        <f t="shared" si="2"/>
        <v>23.351670244880641</v>
      </c>
      <c r="I29" s="136">
        <f t="shared" si="3"/>
        <v>0</v>
      </c>
      <c r="J29" s="55">
        <f t="shared" si="4"/>
        <v>0</v>
      </c>
      <c r="K29" s="36"/>
    </row>
    <row r="30" spans="1:11" x14ac:dyDescent="0.25">
      <c r="A30" s="49">
        <f>'A) Base RI'!A31</f>
        <v>5430</v>
      </c>
      <c r="B30" s="286" t="str">
        <f>'A) Base RI'!B31</f>
        <v>Marchissy</v>
      </c>
      <c r="C30" s="95">
        <f>'B) D RI'!U31</f>
        <v>15580.981548387101</v>
      </c>
      <c r="D30" s="110">
        <f>'E) PCS'!G36/C30</f>
        <v>15.260250921726955</v>
      </c>
      <c r="E30" s="136">
        <f>'H) Péréquation directe'!I40/C30</f>
        <v>2.7487469911969722</v>
      </c>
      <c r="F30" s="405"/>
      <c r="G30" s="136">
        <f t="shared" si="1"/>
        <v>18.008997912923927</v>
      </c>
      <c r="H30" s="110">
        <f t="shared" si="2"/>
        <v>18.008997912923927</v>
      </c>
      <c r="I30" s="136">
        <f t="shared" si="3"/>
        <v>0</v>
      </c>
      <c r="J30" s="55">
        <f t="shared" si="4"/>
        <v>0</v>
      </c>
      <c r="K30" s="36"/>
    </row>
    <row r="31" spans="1:11" x14ac:dyDescent="0.25">
      <c r="A31" s="49">
        <f>'A) Base RI'!A32</f>
        <v>5431</v>
      </c>
      <c r="B31" s="286" t="str">
        <f>'A) Base RI'!B32</f>
        <v>Mollens</v>
      </c>
      <c r="C31" s="95">
        <f>'B) D RI'!U32</f>
        <v>10464.972567567567</v>
      </c>
      <c r="D31" s="110">
        <f>'E) PCS'!G37/C31</f>
        <v>13.833791001223908</v>
      </c>
      <c r="E31" s="136">
        <f>'H) Péréquation directe'!I41/C31</f>
        <v>4.5882544589489287</v>
      </c>
      <c r="F31" s="405"/>
      <c r="G31" s="136">
        <f t="shared" si="1"/>
        <v>18.422045460172836</v>
      </c>
      <c r="H31" s="110">
        <f t="shared" si="2"/>
        <v>18.422045460172836</v>
      </c>
      <c r="I31" s="136">
        <f t="shared" si="3"/>
        <v>0</v>
      </c>
      <c r="J31" s="55">
        <f t="shared" si="4"/>
        <v>0</v>
      </c>
      <c r="K31" s="36"/>
    </row>
    <row r="32" spans="1:11" x14ac:dyDescent="0.25">
      <c r="A32" s="49">
        <f>'A) Base RI'!A33</f>
        <v>5434</v>
      </c>
      <c r="B32" s="286" t="str">
        <f>'A) Base RI'!B33</f>
        <v>Saint-George</v>
      </c>
      <c r="C32" s="95">
        <f>'B) D RI'!U33</f>
        <v>43544.748513189443</v>
      </c>
      <c r="D32" s="110">
        <f>'E) PCS'!G38/C32</f>
        <v>15.469707715907418</v>
      </c>
      <c r="E32" s="136">
        <f>'H) Péréquation directe'!I42/C32</f>
        <v>11.660184256403992</v>
      </c>
      <c r="F32" s="405"/>
      <c r="G32" s="136">
        <f t="shared" si="1"/>
        <v>27.129891972311412</v>
      </c>
      <c r="H32" s="110">
        <f t="shared" si="2"/>
        <v>27.129891972311412</v>
      </c>
      <c r="I32" s="136">
        <f t="shared" si="3"/>
        <v>0</v>
      </c>
      <c r="J32" s="55">
        <f t="shared" si="4"/>
        <v>0</v>
      </c>
      <c r="K32" s="36"/>
    </row>
    <row r="33" spans="1:11" x14ac:dyDescent="0.25">
      <c r="A33" s="49">
        <f>'A) Base RI'!A34</f>
        <v>5435</v>
      </c>
      <c r="B33" s="286" t="str">
        <f>'A) Base RI'!B34</f>
        <v>Saint-Livres</v>
      </c>
      <c r="C33" s="95">
        <f>'B) D RI'!U34</f>
        <v>25854.309855072468</v>
      </c>
      <c r="D33" s="110">
        <f>'E) PCS'!G39/C33</f>
        <v>17.491591572834459</v>
      </c>
      <c r="E33" s="136">
        <f>'H) Péréquation directe'!I43/C33</f>
        <v>10.566713950877515</v>
      </c>
      <c r="F33" s="405"/>
      <c r="G33" s="136">
        <f t="shared" si="1"/>
        <v>28.058305523711972</v>
      </c>
      <c r="H33" s="110">
        <f t="shared" si="2"/>
        <v>28.058305523711972</v>
      </c>
      <c r="I33" s="136">
        <f t="shared" si="3"/>
        <v>0</v>
      </c>
      <c r="J33" s="55">
        <f t="shared" si="4"/>
        <v>0</v>
      </c>
      <c r="K33" s="36"/>
    </row>
    <row r="34" spans="1:11" x14ac:dyDescent="0.25">
      <c r="A34" s="49">
        <f>'A) Base RI'!A35</f>
        <v>5436</v>
      </c>
      <c r="B34" s="286" t="str">
        <f>'A) Base RI'!B35</f>
        <v>Saint-Oyens</v>
      </c>
      <c r="C34" s="95">
        <f>'B) D RI'!U35</f>
        <v>16868.339629629631</v>
      </c>
      <c r="D34" s="110">
        <f>'E) PCS'!G40/C34</f>
        <v>16.688206999805995</v>
      </c>
      <c r="E34" s="136">
        <f>'H) Péréquation directe'!I44/C34</f>
        <v>7.1693061475187836</v>
      </c>
      <c r="F34" s="405"/>
      <c r="G34" s="136">
        <f t="shared" si="1"/>
        <v>23.857513147324781</v>
      </c>
      <c r="H34" s="110">
        <f t="shared" si="2"/>
        <v>23.857513147324781</v>
      </c>
      <c r="I34" s="136">
        <f t="shared" si="3"/>
        <v>0</v>
      </c>
      <c r="J34" s="55">
        <f t="shared" si="4"/>
        <v>0</v>
      </c>
      <c r="K34" s="36"/>
    </row>
    <row r="35" spans="1:11" x14ac:dyDescent="0.25">
      <c r="A35" s="49">
        <f>'A) Base RI'!A36</f>
        <v>5437</v>
      </c>
      <c r="B35" s="286" t="str">
        <f>'A) Base RI'!B36</f>
        <v>Saubraz</v>
      </c>
      <c r="C35" s="95">
        <f>'B) D RI'!U36</f>
        <v>13551.757374999997</v>
      </c>
      <c r="D35" s="110">
        <f>'E) PCS'!G41/C35</f>
        <v>23.89145781121692</v>
      </c>
      <c r="E35" s="136">
        <f>'H) Péréquation directe'!I45/C35</f>
        <v>-0.27991918944979233</v>
      </c>
      <c r="F35" s="405"/>
      <c r="G35" s="136">
        <f t="shared" si="1"/>
        <v>23.611538621767128</v>
      </c>
      <c r="H35" s="110">
        <f t="shared" si="2"/>
        <v>23.611538621767128</v>
      </c>
      <c r="I35" s="136">
        <f t="shared" si="3"/>
        <v>0</v>
      </c>
      <c r="J35" s="55">
        <f t="shared" si="4"/>
        <v>0</v>
      </c>
      <c r="K35" s="36"/>
    </row>
    <row r="36" spans="1:11" x14ac:dyDescent="0.25">
      <c r="A36" s="49">
        <f>'A) Base RI'!A37</f>
        <v>5451</v>
      </c>
      <c r="B36" s="286" t="str">
        <f>'A) Base RI'!B37</f>
        <v>Avenches</v>
      </c>
      <c r="C36" s="95">
        <f>'B) D RI'!U37</f>
        <v>137890.8513283208</v>
      </c>
      <c r="D36" s="110">
        <f>'E) PCS'!G42/C36</f>
        <v>16.29679410712594</v>
      </c>
      <c r="E36" s="136">
        <f>'H) Péréquation directe'!I46/C36</f>
        <v>-3.984526129133914</v>
      </c>
      <c r="F36" s="405"/>
      <c r="G36" s="136">
        <f t="shared" si="1"/>
        <v>12.312267977992025</v>
      </c>
      <c r="H36" s="110">
        <f t="shared" si="2"/>
        <v>12.312267977992025</v>
      </c>
      <c r="I36" s="136">
        <f t="shared" si="3"/>
        <v>0</v>
      </c>
      <c r="J36" s="55">
        <f t="shared" si="4"/>
        <v>0</v>
      </c>
      <c r="K36" s="36"/>
    </row>
    <row r="37" spans="1:11" x14ac:dyDescent="0.25">
      <c r="A37" s="49">
        <f>'A) Base RI'!A38</f>
        <v>5456</v>
      </c>
      <c r="B37" s="286" t="str">
        <f>'A) Base RI'!B38</f>
        <v>Cudrefin</v>
      </c>
      <c r="C37" s="95">
        <f>'B) D RI'!U38</f>
        <v>64144.951694915253</v>
      </c>
      <c r="D37" s="110">
        <f>'E) PCS'!G43/C37</f>
        <v>15.303031464709168</v>
      </c>
      <c r="E37" s="136">
        <f>'H) Péréquation directe'!I47/C37</f>
        <v>6.943686068252739</v>
      </c>
      <c r="F37" s="405"/>
      <c r="G37" s="136">
        <f t="shared" si="1"/>
        <v>22.246717532961906</v>
      </c>
      <c r="H37" s="110">
        <f t="shared" si="2"/>
        <v>22.246717532961906</v>
      </c>
      <c r="I37" s="136">
        <f t="shared" si="3"/>
        <v>0</v>
      </c>
      <c r="J37" s="55">
        <f t="shared" si="4"/>
        <v>0</v>
      </c>
      <c r="K37" s="36"/>
    </row>
    <row r="38" spans="1:11" x14ac:dyDescent="0.25">
      <c r="A38" s="49">
        <f>'A) Base RI'!A39</f>
        <v>5458</v>
      </c>
      <c r="B38" s="286" t="str">
        <f>'A) Base RI'!B39</f>
        <v>Faoug</v>
      </c>
      <c r="C38" s="95">
        <f>'B) D RI'!U39</f>
        <v>34721.352769230762</v>
      </c>
      <c r="D38" s="110">
        <f>'E) PCS'!G44/C38</f>
        <v>15.768679180808217</v>
      </c>
      <c r="E38" s="136">
        <f>'H) Péréquation directe'!I48/C38</f>
        <v>12.191820157174421</v>
      </c>
      <c r="F38" s="405"/>
      <c r="G38" s="136">
        <f t="shared" si="1"/>
        <v>27.96049933798264</v>
      </c>
      <c r="H38" s="110">
        <f t="shared" si="2"/>
        <v>27.96049933798264</v>
      </c>
      <c r="I38" s="136">
        <f t="shared" si="3"/>
        <v>0</v>
      </c>
      <c r="J38" s="55">
        <f t="shared" si="4"/>
        <v>0</v>
      </c>
      <c r="K38" s="36"/>
    </row>
    <row r="39" spans="1:11" x14ac:dyDescent="0.25">
      <c r="A39" s="49">
        <f>'A) Base RI'!A40</f>
        <v>5464</v>
      </c>
      <c r="B39" s="286" t="str">
        <f>'A) Base RI'!B40</f>
        <v>Vully-les-Lacs</v>
      </c>
      <c r="C39" s="95">
        <f>'B) D RI'!U40</f>
        <v>119169.3065671642</v>
      </c>
      <c r="D39" s="110">
        <f>'E) PCS'!G45/C39</f>
        <v>18.406357467755097</v>
      </c>
      <c r="E39" s="136">
        <f>'H) Péréquation directe'!I49/C39</f>
        <v>2.6351842229241234</v>
      </c>
      <c r="F39" s="405"/>
      <c r="G39" s="136">
        <f t="shared" si="1"/>
        <v>21.041541690679221</v>
      </c>
      <c r="H39" s="110">
        <f t="shared" si="2"/>
        <v>21.041541690679221</v>
      </c>
      <c r="I39" s="136">
        <f t="shared" si="3"/>
        <v>0</v>
      </c>
      <c r="J39" s="55">
        <f t="shared" si="4"/>
        <v>0</v>
      </c>
      <c r="K39" s="36"/>
    </row>
    <row r="40" spans="1:11" x14ac:dyDescent="0.25">
      <c r="A40" s="49">
        <f>'A) Base RI'!A41</f>
        <v>5471</v>
      </c>
      <c r="B40" s="286" t="str">
        <f>'A) Base RI'!B41</f>
        <v>Bettens</v>
      </c>
      <c r="C40" s="95">
        <f>'B) D RI'!U41</f>
        <v>22893.023698412693</v>
      </c>
      <c r="D40" s="110">
        <f>'E) PCS'!G46/C40</f>
        <v>13.960246738424814</v>
      </c>
      <c r="E40" s="136">
        <f>'H) Péréquation directe'!I50/C40</f>
        <v>9.0521657176808947</v>
      </c>
      <c r="F40" s="405"/>
      <c r="G40" s="136">
        <f t="shared" si="1"/>
        <v>23.012412456105707</v>
      </c>
      <c r="H40" s="110">
        <f t="shared" si="2"/>
        <v>23.012412456105707</v>
      </c>
      <c r="I40" s="136">
        <f t="shared" si="3"/>
        <v>0</v>
      </c>
      <c r="J40" s="55">
        <f t="shared" si="4"/>
        <v>0</v>
      </c>
      <c r="K40" s="36"/>
    </row>
    <row r="41" spans="1:11" x14ac:dyDescent="0.25">
      <c r="A41" s="49">
        <f>'A) Base RI'!A42</f>
        <v>5472</v>
      </c>
      <c r="B41" s="286" t="str">
        <f>'A) Base RI'!B42</f>
        <v>Bournens</v>
      </c>
      <c r="C41" s="95">
        <f>'B) D RI'!U42</f>
        <v>22178.441944444447</v>
      </c>
      <c r="D41" s="110">
        <f>'E) PCS'!G47/C41</f>
        <v>16.629002139417842</v>
      </c>
      <c r="E41" s="136">
        <f>'H) Péréquation directe'!I51/C41</f>
        <v>13.743419375768267</v>
      </c>
      <c r="F41" s="405"/>
      <c r="G41" s="136">
        <f t="shared" si="1"/>
        <v>30.372421515186112</v>
      </c>
      <c r="H41" s="110">
        <f t="shared" si="2"/>
        <v>30.372421515186112</v>
      </c>
      <c r="I41" s="136">
        <f t="shared" si="3"/>
        <v>0</v>
      </c>
      <c r="J41" s="55">
        <f t="shared" si="4"/>
        <v>0</v>
      </c>
      <c r="K41" s="36"/>
    </row>
    <row r="42" spans="1:11" x14ac:dyDescent="0.25">
      <c r="A42" s="49">
        <f>'A) Base RI'!A43</f>
        <v>5473</v>
      </c>
      <c r="B42" s="286" t="str">
        <f>'A) Base RI'!B43</f>
        <v>Boussens</v>
      </c>
      <c r="C42" s="95">
        <f>'B) D RI'!U43</f>
        <v>37059.012888888894</v>
      </c>
      <c r="D42" s="110">
        <f>'E) PCS'!G48/C42</f>
        <v>15.653099990679726</v>
      </c>
      <c r="E42" s="136">
        <f>'H) Péréquation directe'!I52/C42</f>
        <v>9.827330395567639</v>
      </c>
      <c r="F42" s="405"/>
      <c r="G42" s="136">
        <f t="shared" si="1"/>
        <v>25.480430386247363</v>
      </c>
      <c r="H42" s="110">
        <f t="shared" si="2"/>
        <v>25.480430386247363</v>
      </c>
      <c r="I42" s="136">
        <f t="shared" si="3"/>
        <v>0</v>
      </c>
      <c r="J42" s="55">
        <f t="shared" si="4"/>
        <v>0</v>
      </c>
      <c r="K42" s="36"/>
    </row>
    <row r="43" spans="1:11" x14ac:dyDescent="0.25">
      <c r="A43" s="49">
        <f>'A) Base RI'!A44</f>
        <v>5474</v>
      </c>
      <c r="B43" s="286" t="str">
        <f>'A) Base RI'!B44</f>
        <v>La Chaux (Cossonay)</v>
      </c>
      <c r="C43" s="95">
        <f>'B) D RI'!U44</f>
        <v>12905.016929824562</v>
      </c>
      <c r="D43" s="110">
        <f>'E) PCS'!G49/C43</f>
        <v>15.859695244553423</v>
      </c>
      <c r="E43" s="136">
        <f>'H) Péréquation directe'!I53/C43</f>
        <v>3.5723210325563799</v>
      </c>
      <c r="F43" s="405"/>
      <c r="G43" s="136">
        <f t="shared" si="1"/>
        <v>19.432016277109803</v>
      </c>
      <c r="H43" s="110">
        <f t="shared" si="2"/>
        <v>19.432016277109803</v>
      </c>
      <c r="I43" s="136">
        <f t="shared" si="3"/>
        <v>0</v>
      </c>
      <c r="J43" s="55">
        <f t="shared" si="4"/>
        <v>0</v>
      </c>
      <c r="K43" s="36"/>
    </row>
    <row r="44" spans="1:11" x14ac:dyDescent="0.25">
      <c r="A44" s="49">
        <f>'A) Base RI'!A45</f>
        <v>5475</v>
      </c>
      <c r="B44" s="286" t="str">
        <f>'A) Base RI'!B45</f>
        <v>Chavannes-le-Veyron</v>
      </c>
      <c r="C44" s="95">
        <f>'B) D RI'!U45</f>
        <v>4277.2722666666668</v>
      </c>
      <c r="D44" s="110">
        <f>'E) PCS'!G50/C44</f>
        <v>13.292232071810513</v>
      </c>
      <c r="E44" s="136">
        <f>'H) Péréquation directe'!I54/C44</f>
        <v>-2.6795591345737724</v>
      </c>
      <c r="F44" s="405"/>
      <c r="G44" s="136">
        <f t="shared" si="1"/>
        <v>10.612672937236741</v>
      </c>
      <c r="H44" s="110">
        <f t="shared" si="2"/>
        <v>10.612672937236741</v>
      </c>
      <c r="I44" s="136">
        <f t="shared" si="3"/>
        <v>0</v>
      </c>
      <c r="J44" s="55">
        <f t="shared" si="4"/>
        <v>0</v>
      </c>
      <c r="K44" s="36"/>
    </row>
    <row r="45" spans="1:11" x14ac:dyDescent="0.25">
      <c r="A45" s="49">
        <f>'A) Base RI'!A46</f>
        <v>5476</v>
      </c>
      <c r="B45" s="286" t="str">
        <f>'A) Base RI'!B46</f>
        <v>Chevilly</v>
      </c>
      <c r="C45" s="95">
        <f>'B) D RI'!U46</f>
        <v>12075.307586206898</v>
      </c>
      <c r="D45" s="110">
        <f>'E) PCS'!G51/C45</f>
        <v>15.887737345979778</v>
      </c>
      <c r="E45" s="136">
        <f>'H) Péréquation directe'!I55/C45</f>
        <v>9.365603450805736</v>
      </c>
      <c r="F45" s="405"/>
      <c r="G45" s="136">
        <f t="shared" si="1"/>
        <v>25.253340796785515</v>
      </c>
      <c r="H45" s="110">
        <f t="shared" si="2"/>
        <v>25.253340796785515</v>
      </c>
      <c r="I45" s="136">
        <f t="shared" si="3"/>
        <v>0</v>
      </c>
      <c r="J45" s="55">
        <f t="shared" si="4"/>
        <v>0</v>
      </c>
      <c r="K45" s="36"/>
    </row>
    <row r="46" spans="1:11" x14ac:dyDescent="0.25">
      <c r="A46" s="49">
        <f>'A) Base RI'!A47</f>
        <v>5477</v>
      </c>
      <c r="B46" s="286" t="str">
        <f>'A) Base RI'!B47</f>
        <v>Cossonay</v>
      </c>
      <c r="C46" s="95">
        <f>'B) D RI'!U47</f>
        <v>142597.98359712231</v>
      </c>
      <c r="D46" s="110">
        <f>'E) PCS'!G52/C46</f>
        <v>16.178871948038481</v>
      </c>
      <c r="E46" s="136">
        <f>'H) Péréquation directe'!I56/C46</f>
        <v>-0.65794457534030681</v>
      </c>
      <c r="F46" s="405"/>
      <c r="G46" s="136">
        <f t="shared" si="1"/>
        <v>15.520927372698173</v>
      </c>
      <c r="H46" s="110">
        <f t="shared" si="2"/>
        <v>15.520927372698173</v>
      </c>
      <c r="I46" s="136">
        <f t="shared" si="3"/>
        <v>0</v>
      </c>
      <c r="J46" s="55">
        <f t="shared" si="4"/>
        <v>0</v>
      </c>
      <c r="K46" s="36"/>
    </row>
    <row r="47" spans="1:11" x14ac:dyDescent="0.25">
      <c r="A47" s="49">
        <f>'A) Base RI'!A48</f>
        <v>5478</v>
      </c>
      <c r="B47" s="286" t="str">
        <f>'A) Base RI'!B48</f>
        <v>Cottens</v>
      </c>
      <c r="C47" s="95">
        <f>'B) D RI'!U48</f>
        <v>15741.229189189189</v>
      </c>
      <c r="D47" s="110">
        <f>'E) PCS'!G53/C47</f>
        <v>13.817020186258215</v>
      </c>
      <c r="E47" s="136">
        <f>'H) Péréquation directe'!I57/C47</f>
        <v>4.274742818731661</v>
      </c>
      <c r="F47" s="405"/>
      <c r="G47" s="136">
        <f t="shared" si="1"/>
        <v>18.091763004989875</v>
      </c>
      <c r="H47" s="110">
        <f t="shared" si="2"/>
        <v>18.091763004989875</v>
      </c>
      <c r="I47" s="136">
        <f t="shared" si="3"/>
        <v>0</v>
      </c>
      <c r="J47" s="55">
        <f t="shared" si="4"/>
        <v>0</v>
      </c>
      <c r="K47" s="36"/>
    </row>
    <row r="48" spans="1:11" x14ac:dyDescent="0.25">
      <c r="A48" s="49">
        <f>'A) Base RI'!A49</f>
        <v>5479</v>
      </c>
      <c r="B48" s="286" t="str">
        <f>'A) Base RI'!B49</f>
        <v>Cuarnens</v>
      </c>
      <c r="C48" s="95">
        <f>'B) D RI'!U49</f>
        <v>17984.87649350649</v>
      </c>
      <c r="D48" s="110">
        <f>'E) PCS'!G54/C48</f>
        <v>15.53383607741144</v>
      </c>
      <c r="E48" s="136">
        <f>'H) Péréquation directe'!I58/C48</f>
        <v>4.9448433106181451</v>
      </c>
      <c r="F48" s="405"/>
      <c r="G48" s="136">
        <f t="shared" si="1"/>
        <v>20.478679388029583</v>
      </c>
      <c r="H48" s="110">
        <f t="shared" si="2"/>
        <v>20.478679388029583</v>
      </c>
      <c r="I48" s="136">
        <f t="shared" si="3"/>
        <v>0</v>
      </c>
      <c r="J48" s="55">
        <f t="shared" si="4"/>
        <v>0</v>
      </c>
      <c r="K48" s="36"/>
    </row>
    <row r="49" spans="1:11" x14ac:dyDescent="0.25">
      <c r="A49" s="49">
        <f>'A) Base RI'!A50</f>
        <v>5480</v>
      </c>
      <c r="B49" s="286" t="str">
        <f>'A) Base RI'!B50</f>
        <v>Daillens</v>
      </c>
      <c r="C49" s="95">
        <f>'B) D RI'!U50</f>
        <v>41284.66095959596</v>
      </c>
      <c r="D49" s="110">
        <f>'E) PCS'!G55/C49</f>
        <v>17.481866677197662</v>
      </c>
      <c r="E49" s="136">
        <f>'H) Péréquation directe'!I59/C49</f>
        <v>11.306223374474573</v>
      </c>
      <c r="F49" s="405"/>
      <c r="G49" s="136">
        <f t="shared" si="1"/>
        <v>28.788090051672235</v>
      </c>
      <c r="H49" s="110">
        <f t="shared" si="2"/>
        <v>28.788090051672235</v>
      </c>
      <c r="I49" s="136">
        <f t="shared" si="3"/>
        <v>0</v>
      </c>
      <c r="J49" s="55">
        <f t="shared" si="4"/>
        <v>0</v>
      </c>
      <c r="K49" s="36"/>
    </row>
    <row r="50" spans="1:11" x14ac:dyDescent="0.25">
      <c r="A50" s="49">
        <f>'A) Base RI'!A51</f>
        <v>5481</v>
      </c>
      <c r="B50" s="286" t="str">
        <f>'A) Base RI'!B51</f>
        <v>Dizy</v>
      </c>
      <c r="C50" s="95">
        <f>'B) D RI'!U51</f>
        <v>8120.887333333334</v>
      </c>
      <c r="D50" s="110">
        <f>'E) PCS'!G56/C50</f>
        <v>13.29784339466225</v>
      </c>
      <c r="E50" s="136">
        <f>'H) Péréquation directe'!I60/C50</f>
        <v>7.6737699269655959</v>
      </c>
      <c r="F50" s="405"/>
      <c r="G50" s="136">
        <f t="shared" si="1"/>
        <v>20.971613321627846</v>
      </c>
      <c r="H50" s="110">
        <f t="shared" si="2"/>
        <v>20.971613321627846</v>
      </c>
      <c r="I50" s="136">
        <f t="shared" si="3"/>
        <v>0</v>
      </c>
      <c r="J50" s="55">
        <f t="shared" si="4"/>
        <v>0</v>
      </c>
      <c r="K50" s="36"/>
    </row>
    <row r="51" spans="1:11" x14ac:dyDescent="0.25">
      <c r="A51" s="49">
        <f>'A) Base RI'!A52</f>
        <v>5482</v>
      </c>
      <c r="B51" s="286" t="str">
        <f>'A) Base RI'!B52</f>
        <v>Eclépens</v>
      </c>
      <c r="C51" s="95">
        <f>'B) D RI'!U52</f>
        <v>54196.336086956522</v>
      </c>
      <c r="D51" s="110">
        <f>'E) PCS'!G57/C51</f>
        <v>15.815755212869037</v>
      </c>
      <c r="E51" s="136">
        <f>'H) Péréquation directe'!I61/C51</f>
        <v>14.638793918461396</v>
      </c>
      <c r="F51" s="405"/>
      <c r="G51" s="136">
        <f t="shared" si="1"/>
        <v>30.454549131330431</v>
      </c>
      <c r="H51" s="110">
        <f t="shared" si="2"/>
        <v>30.454549131330431</v>
      </c>
      <c r="I51" s="136">
        <f t="shared" si="3"/>
        <v>0</v>
      </c>
      <c r="J51" s="55">
        <f t="shared" si="4"/>
        <v>0</v>
      </c>
      <c r="K51" s="36"/>
    </row>
    <row r="52" spans="1:11" x14ac:dyDescent="0.25">
      <c r="A52" s="49">
        <f>'A) Base RI'!A53</f>
        <v>5483</v>
      </c>
      <c r="B52" s="286" t="str">
        <f>'A) Base RI'!B53</f>
        <v>Ferreyres</v>
      </c>
      <c r="C52" s="95">
        <f>'B) D RI'!U53</f>
        <v>10537.122500000001</v>
      </c>
      <c r="D52" s="110">
        <f>'E) PCS'!G58/C52</f>
        <v>12.814789497531686</v>
      </c>
      <c r="E52" s="136">
        <f>'H) Péréquation directe'!I62/C52</f>
        <v>4.2767039630560024</v>
      </c>
      <c r="F52" s="405"/>
      <c r="G52" s="136">
        <f t="shared" si="1"/>
        <v>17.091493460587689</v>
      </c>
      <c r="H52" s="110">
        <f t="shared" si="2"/>
        <v>17.091493460587689</v>
      </c>
      <c r="I52" s="136">
        <f t="shared" si="3"/>
        <v>0</v>
      </c>
      <c r="J52" s="55">
        <f t="shared" si="4"/>
        <v>0</v>
      </c>
      <c r="K52" s="36"/>
    </row>
    <row r="53" spans="1:11" x14ac:dyDescent="0.25">
      <c r="A53" s="49">
        <f>'A) Base RI'!A54</f>
        <v>5484</v>
      </c>
      <c r="B53" s="286" t="str">
        <f>'A) Base RI'!B54</f>
        <v>Gollion</v>
      </c>
      <c r="C53" s="95">
        <f>'B) D RI'!U54</f>
        <v>35950.666081081094</v>
      </c>
      <c r="D53" s="110">
        <f>'E) PCS'!G59/C53</f>
        <v>15.784578018559349</v>
      </c>
      <c r="E53" s="136">
        <f>'H) Péréquation directe'!I63/C53</f>
        <v>7.0418923425238136</v>
      </c>
      <c r="F53" s="405"/>
      <c r="G53" s="136">
        <f t="shared" si="1"/>
        <v>22.826470361083164</v>
      </c>
      <c r="H53" s="110">
        <f t="shared" si="2"/>
        <v>22.826470361083164</v>
      </c>
      <c r="I53" s="136">
        <f t="shared" si="3"/>
        <v>0</v>
      </c>
      <c r="J53" s="55">
        <f t="shared" si="4"/>
        <v>0</v>
      </c>
      <c r="K53" s="36"/>
    </row>
    <row r="54" spans="1:11" x14ac:dyDescent="0.25">
      <c r="A54" s="49">
        <f>'A) Base RI'!A55</f>
        <v>5485</v>
      </c>
      <c r="B54" s="286" t="str">
        <f>'A) Base RI'!B55</f>
        <v>Grancy</v>
      </c>
      <c r="C54" s="95">
        <f>'B) D RI'!U55</f>
        <v>24488.659571428572</v>
      </c>
      <c r="D54" s="110">
        <f>'E) PCS'!G60/C54</f>
        <v>16.941489352924652</v>
      </c>
      <c r="E54" s="136">
        <f>'H) Péréquation directe'!I64/C54</f>
        <v>16.545517309125355</v>
      </c>
      <c r="F54" s="405"/>
      <c r="G54" s="136">
        <f t="shared" si="1"/>
        <v>33.487006662050007</v>
      </c>
      <c r="H54" s="110">
        <f t="shared" si="2"/>
        <v>33.487006662050007</v>
      </c>
      <c r="I54" s="136">
        <f t="shared" si="3"/>
        <v>0</v>
      </c>
      <c r="J54" s="55">
        <f t="shared" si="4"/>
        <v>0</v>
      </c>
      <c r="K54" s="36"/>
    </row>
    <row r="55" spans="1:11" x14ac:dyDescent="0.25">
      <c r="A55" s="49">
        <f>'A) Base RI'!A56</f>
        <v>5486</v>
      </c>
      <c r="B55" s="286" t="str">
        <f>'A) Base RI'!B56</f>
        <v>L'Isle</v>
      </c>
      <c r="C55" s="95">
        <f>'B) D RI'!U56</f>
        <v>29230.387866666671</v>
      </c>
      <c r="D55" s="110">
        <f>'E) PCS'!G61/C55</f>
        <v>18.254784250510959</v>
      </c>
      <c r="E55" s="136">
        <f>'H) Péréquation directe'!I65/C55</f>
        <v>-4.1062724633860253</v>
      </c>
      <c r="F55" s="405"/>
      <c r="G55" s="136">
        <f t="shared" si="1"/>
        <v>14.148511787124933</v>
      </c>
      <c r="H55" s="110">
        <f t="shared" si="2"/>
        <v>14.148511787124933</v>
      </c>
      <c r="I55" s="136">
        <f t="shared" si="3"/>
        <v>0</v>
      </c>
      <c r="J55" s="55">
        <f t="shared" si="4"/>
        <v>0</v>
      </c>
      <c r="K55" s="36"/>
    </row>
    <row r="56" spans="1:11" x14ac:dyDescent="0.25">
      <c r="A56" s="49">
        <f>'A) Base RI'!A57</f>
        <v>5487</v>
      </c>
      <c r="B56" s="286" t="str">
        <f>'A) Base RI'!B57</f>
        <v>Lussery-Villars</v>
      </c>
      <c r="C56" s="95">
        <f>'B) D RI'!U57</f>
        <v>16622.441866666668</v>
      </c>
      <c r="D56" s="110">
        <f>'E) PCS'!G62/C56</f>
        <v>13.248792268222923</v>
      </c>
      <c r="E56" s="136">
        <f>'H) Péréquation directe'!I66/C56</f>
        <v>6.6186300726501797</v>
      </c>
      <c r="F56" s="405"/>
      <c r="G56" s="136">
        <f t="shared" si="1"/>
        <v>19.867422340873102</v>
      </c>
      <c r="H56" s="110">
        <f t="shared" si="2"/>
        <v>19.867422340873102</v>
      </c>
      <c r="I56" s="136">
        <f t="shared" si="3"/>
        <v>0</v>
      </c>
      <c r="J56" s="55">
        <f t="shared" si="4"/>
        <v>0</v>
      </c>
      <c r="K56" s="36"/>
    </row>
    <row r="57" spans="1:11" x14ac:dyDescent="0.25">
      <c r="A57" s="49">
        <f>'A) Base RI'!A58</f>
        <v>5488</v>
      </c>
      <c r="B57" s="286" t="str">
        <f>'A) Base RI'!B58</f>
        <v>Mauraz</v>
      </c>
      <c r="C57" s="95">
        <f>'B) D RI'!U58</f>
        <v>1729.1857142857141</v>
      </c>
      <c r="D57" s="110">
        <f>'E) PCS'!G63/C57</f>
        <v>12.193336629350643</v>
      </c>
      <c r="E57" s="136">
        <f>'H) Péréquation directe'!I67/C57</f>
        <v>-1.6378061777816695</v>
      </c>
      <c r="F57" s="405"/>
      <c r="G57" s="136">
        <f t="shared" si="1"/>
        <v>10.555530451568973</v>
      </c>
      <c r="H57" s="110">
        <f t="shared" si="2"/>
        <v>10.555530451568973</v>
      </c>
      <c r="I57" s="136">
        <f t="shared" si="3"/>
        <v>0</v>
      </c>
      <c r="J57" s="55">
        <f t="shared" si="4"/>
        <v>0</v>
      </c>
      <c r="K57" s="36"/>
    </row>
    <row r="58" spans="1:11" x14ac:dyDescent="0.25">
      <c r="A58" s="49">
        <f>'A) Base RI'!A59</f>
        <v>5489</v>
      </c>
      <c r="B58" s="286" t="str">
        <f>'A) Base RI'!B59</f>
        <v>Mex</v>
      </c>
      <c r="C58" s="95">
        <f>'B) D RI'!U59</f>
        <v>50879.929915966379</v>
      </c>
      <c r="D58" s="110">
        <f>'E) PCS'!G64/C58</f>
        <v>19.403794639181498</v>
      </c>
      <c r="E58" s="136">
        <f>'H) Péréquation directe'!I68/C58</f>
        <v>16.863208676308165</v>
      </c>
      <c r="F58" s="405"/>
      <c r="G58" s="136">
        <f t="shared" si="1"/>
        <v>36.26700331548966</v>
      </c>
      <c r="H58" s="110">
        <f t="shared" si="2"/>
        <v>36.26700331548966</v>
      </c>
      <c r="I58" s="136">
        <f t="shared" si="3"/>
        <v>0</v>
      </c>
      <c r="J58" s="55">
        <f t="shared" si="4"/>
        <v>0</v>
      </c>
      <c r="K58" s="36"/>
    </row>
    <row r="59" spans="1:11" x14ac:dyDescent="0.25">
      <c r="A59" s="49">
        <f>'A) Base RI'!A60</f>
        <v>5490</v>
      </c>
      <c r="B59" s="286" t="str">
        <f>'A) Base RI'!B60</f>
        <v>Moiry</v>
      </c>
      <c r="C59" s="95">
        <f>'B) D RI'!U60</f>
        <v>9056.9</v>
      </c>
      <c r="D59" s="110">
        <f>'E) PCS'!G65/C59</f>
        <v>14.331722832135259</v>
      </c>
      <c r="E59" s="136">
        <f>'H) Péréquation directe'!I69/C59</f>
        <v>3.6863244806788729E-2</v>
      </c>
      <c r="F59" s="405"/>
      <c r="G59" s="136">
        <f t="shared" si="1"/>
        <v>14.368586076942048</v>
      </c>
      <c r="H59" s="110">
        <f t="shared" si="2"/>
        <v>14.368586076942048</v>
      </c>
      <c r="I59" s="136">
        <f t="shared" si="3"/>
        <v>0</v>
      </c>
      <c r="J59" s="55">
        <f t="shared" si="4"/>
        <v>0</v>
      </c>
      <c r="K59" s="36"/>
    </row>
    <row r="60" spans="1:11" x14ac:dyDescent="0.25">
      <c r="A60" s="49">
        <f>'A) Base RI'!A61</f>
        <v>5491</v>
      </c>
      <c r="B60" s="286" t="str">
        <f>'A) Base RI'!B61</f>
        <v>Mont-la-Ville</v>
      </c>
      <c r="C60" s="95">
        <f>'B) D RI'!U61</f>
        <v>13648.930789473685</v>
      </c>
      <c r="D60" s="110">
        <f>'E) PCS'!G66/C60</f>
        <v>13.937499990363479</v>
      </c>
      <c r="E60" s="136">
        <f>'H) Péréquation directe'!I70/C60</f>
        <v>-4.3542509456529546</v>
      </c>
      <c r="F60" s="405"/>
      <c r="G60" s="136">
        <f t="shared" si="1"/>
        <v>9.5832490447105236</v>
      </c>
      <c r="H60" s="110">
        <f t="shared" si="2"/>
        <v>9.5832490447105236</v>
      </c>
      <c r="I60" s="136">
        <f t="shared" si="3"/>
        <v>0</v>
      </c>
      <c r="J60" s="55">
        <f t="shared" si="4"/>
        <v>0</v>
      </c>
      <c r="K60" s="36"/>
    </row>
    <row r="61" spans="1:11" x14ac:dyDescent="0.25">
      <c r="A61" s="49">
        <f>'A) Base RI'!A62</f>
        <v>5492</v>
      </c>
      <c r="B61" s="286" t="str">
        <f>'A) Base RI'!B62</f>
        <v>Montricher</v>
      </c>
      <c r="C61" s="95">
        <f>'B) D RI'!U62</f>
        <v>175268.45531250001</v>
      </c>
      <c r="D61" s="110">
        <f>'E) PCS'!G67/C61</f>
        <v>34.975399337402401</v>
      </c>
      <c r="E61" s="136">
        <f>'H) Péréquation directe'!I71/C61</f>
        <v>18.114173245475854</v>
      </c>
      <c r="F61" s="405"/>
      <c r="G61" s="136">
        <f t="shared" si="1"/>
        <v>53.089572582878255</v>
      </c>
      <c r="H61" s="110">
        <f t="shared" si="2"/>
        <v>53.089572582878255</v>
      </c>
      <c r="I61" s="136">
        <f t="shared" si="3"/>
        <v>0</v>
      </c>
      <c r="J61" s="55">
        <f t="shared" si="4"/>
        <v>0</v>
      </c>
      <c r="K61" s="36"/>
    </row>
    <row r="62" spans="1:11" x14ac:dyDescent="0.25">
      <c r="A62" s="49">
        <f>'A) Base RI'!A63</f>
        <v>5493</v>
      </c>
      <c r="B62" s="286" t="str">
        <f>'A) Base RI'!B63</f>
        <v>Orny</v>
      </c>
      <c r="C62" s="95">
        <f>'B) D RI'!U63</f>
        <v>13489.946448893574</v>
      </c>
      <c r="D62" s="110">
        <f>'E) PCS'!G68/C62</f>
        <v>19.296014194676232</v>
      </c>
      <c r="E62" s="136">
        <f>'H) Péréquation directe'!I72/C62</f>
        <v>-1.0280176929564222</v>
      </c>
      <c r="F62" s="405"/>
      <c r="G62" s="136">
        <f t="shared" si="1"/>
        <v>18.267996501719811</v>
      </c>
      <c r="H62" s="110">
        <f t="shared" si="2"/>
        <v>18.267996501719811</v>
      </c>
      <c r="I62" s="136">
        <f t="shared" si="3"/>
        <v>0</v>
      </c>
      <c r="J62" s="55">
        <f t="shared" si="4"/>
        <v>0</v>
      </c>
      <c r="K62" s="36"/>
    </row>
    <row r="63" spans="1:11" x14ac:dyDescent="0.25">
      <c r="A63" s="49">
        <f>'A) Base RI'!A64</f>
        <v>5494</v>
      </c>
      <c r="B63" s="286" t="str">
        <f>'A) Base RI'!B64</f>
        <v>Pampigny</v>
      </c>
      <c r="C63" s="95">
        <f>'B) D RI'!U64</f>
        <v>43210.558962818002</v>
      </c>
      <c r="D63" s="110">
        <f>'E) PCS'!G69/C63</f>
        <v>18.025885340809477</v>
      </c>
      <c r="E63" s="136">
        <f>'H) Péréquation directe'!I73/C63</f>
        <v>7.4432699189773546</v>
      </c>
      <c r="F63" s="405"/>
      <c r="G63" s="136">
        <f t="shared" si="1"/>
        <v>25.469155259786831</v>
      </c>
      <c r="H63" s="110">
        <f t="shared" si="2"/>
        <v>25.469155259786831</v>
      </c>
      <c r="I63" s="136">
        <f t="shared" si="3"/>
        <v>0</v>
      </c>
      <c r="J63" s="55">
        <f t="shared" si="4"/>
        <v>0</v>
      </c>
      <c r="K63" s="36"/>
    </row>
    <row r="64" spans="1:11" x14ac:dyDescent="0.25">
      <c r="A64" s="49">
        <f>'A) Base RI'!A65</f>
        <v>5495</v>
      </c>
      <c r="B64" s="286" t="str">
        <f>'A) Base RI'!B65</f>
        <v>Penthalaz</v>
      </c>
      <c r="C64" s="95">
        <f>'B) D RI'!U65</f>
        <v>95314.520135135113</v>
      </c>
      <c r="D64" s="110">
        <f>'E) PCS'!G70/C64</f>
        <v>15.68027408157505</v>
      </c>
      <c r="E64" s="136">
        <f>'H) Péréquation directe'!I74/C64</f>
        <v>-4.7334251355010242</v>
      </c>
      <c r="F64" s="405"/>
      <c r="G64" s="136">
        <f t="shared" si="1"/>
        <v>10.946848946074025</v>
      </c>
      <c r="H64" s="110">
        <f t="shared" si="2"/>
        <v>10.946848946074025</v>
      </c>
      <c r="I64" s="136">
        <f t="shared" si="3"/>
        <v>0</v>
      </c>
      <c r="J64" s="55">
        <f t="shared" si="4"/>
        <v>0</v>
      </c>
      <c r="K64" s="36"/>
    </row>
    <row r="65" spans="1:11" x14ac:dyDescent="0.25">
      <c r="A65" s="49">
        <f>'A) Base RI'!A66</f>
        <v>5496</v>
      </c>
      <c r="B65" s="286" t="str">
        <f>'A) Base RI'!B66</f>
        <v>Penthaz</v>
      </c>
      <c r="C65" s="95">
        <f>'B) D RI'!U66</f>
        <v>56267.911654676267</v>
      </c>
      <c r="D65" s="110">
        <f>'E) PCS'!G71/C65</f>
        <v>16.54661423992361</v>
      </c>
      <c r="E65" s="136">
        <f>'H) Péréquation directe'!I75/C65</f>
        <v>-1.0265825270454216</v>
      </c>
      <c r="F65" s="405"/>
      <c r="G65" s="136">
        <f t="shared" si="1"/>
        <v>15.520031712878188</v>
      </c>
      <c r="H65" s="110">
        <f t="shared" si="2"/>
        <v>15.520031712878188</v>
      </c>
      <c r="I65" s="136">
        <f t="shared" si="3"/>
        <v>0</v>
      </c>
      <c r="J65" s="55">
        <f t="shared" si="4"/>
        <v>0</v>
      </c>
      <c r="K65" s="36"/>
    </row>
    <row r="66" spans="1:11" x14ac:dyDescent="0.25">
      <c r="A66" s="49">
        <f>'A) Base RI'!A67</f>
        <v>5497</v>
      </c>
      <c r="B66" s="286" t="str">
        <f>'A) Base RI'!B67</f>
        <v>Pompaples</v>
      </c>
      <c r="C66" s="95">
        <f>'B) D RI'!U67</f>
        <v>22253.499393939397</v>
      </c>
      <c r="D66" s="110">
        <f>'E) PCS'!G72/C66</f>
        <v>16.189926712806091</v>
      </c>
      <c r="E66" s="136">
        <f>'H) Péréquation directe'!I76/C66</f>
        <v>-0.70264061339531592</v>
      </c>
      <c r="F66" s="405"/>
      <c r="G66" s="136">
        <f t="shared" si="1"/>
        <v>15.487286099410776</v>
      </c>
      <c r="H66" s="110">
        <f t="shared" si="2"/>
        <v>15.487286099410776</v>
      </c>
      <c r="I66" s="136">
        <f t="shared" si="3"/>
        <v>0</v>
      </c>
      <c r="J66" s="55">
        <f t="shared" si="4"/>
        <v>0</v>
      </c>
      <c r="K66" s="36"/>
    </row>
    <row r="67" spans="1:11" x14ac:dyDescent="0.25">
      <c r="A67" s="49">
        <f>'A) Base RI'!A68</f>
        <v>5498</v>
      </c>
      <c r="B67" s="286" t="str">
        <f>'A) Base RI'!B68</f>
        <v>La Sarraz</v>
      </c>
      <c r="C67" s="95">
        <f>'B) D RI'!U68</f>
        <v>74682.149090909108</v>
      </c>
      <c r="D67" s="110">
        <f>'E) PCS'!G73/C67</f>
        <v>14.160189375127885</v>
      </c>
      <c r="E67" s="136">
        <f>'H) Péréquation directe'!I77/C67</f>
        <v>-2.6027804586490668</v>
      </c>
      <c r="F67" s="405"/>
      <c r="G67" s="136">
        <f t="shared" si="1"/>
        <v>11.557408916478819</v>
      </c>
      <c r="H67" s="110">
        <f t="shared" si="2"/>
        <v>11.557408916478819</v>
      </c>
      <c r="I67" s="136">
        <f t="shared" si="3"/>
        <v>0</v>
      </c>
      <c r="J67" s="55">
        <f t="shared" si="4"/>
        <v>0</v>
      </c>
      <c r="K67" s="36"/>
    </row>
    <row r="68" spans="1:11" x14ac:dyDescent="0.25">
      <c r="A68" s="49">
        <f>'A) Base RI'!A69</f>
        <v>5499</v>
      </c>
      <c r="B68" s="286" t="str">
        <f>'A) Base RI'!B69</f>
        <v>Senarclens</v>
      </c>
      <c r="C68" s="95">
        <f>'B) D RI'!U69</f>
        <v>18238.904233576643</v>
      </c>
      <c r="D68" s="110">
        <f>'E) PCS'!G74/C68</f>
        <v>24.511817889117708</v>
      </c>
      <c r="E68" s="136">
        <f>'H) Péréquation directe'!I78/C68</f>
        <v>9.7594326607994279</v>
      </c>
      <c r="F68" s="405"/>
      <c r="G68" s="136">
        <f t="shared" si="1"/>
        <v>34.271250549917134</v>
      </c>
      <c r="H68" s="110">
        <f t="shared" si="2"/>
        <v>34.271250549917134</v>
      </c>
      <c r="I68" s="136">
        <f t="shared" si="3"/>
        <v>0</v>
      </c>
      <c r="J68" s="55">
        <f t="shared" si="4"/>
        <v>0</v>
      </c>
      <c r="K68" s="36"/>
    </row>
    <row r="69" spans="1:11" x14ac:dyDescent="0.25">
      <c r="A69" s="49">
        <f>'A) Base RI'!A70</f>
        <v>5500</v>
      </c>
      <c r="B69" s="286" t="str">
        <f>'A) Base RI'!B70</f>
        <v>Sévery</v>
      </c>
      <c r="C69" s="95">
        <f>'B) D RI'!U70</f>
        <v>7230.3632420091335</v>
      </c>
      <c r="D69" s="110">
        <f>'E) PCS'!G75/C69</f>
        <v>19.697344821465133</v>
      </c>
      <c r="E69" s="136">
        <f>'H) Péréquation directe'!I79/C69</f>
        <v>4.9320682230019957</v>
      </c>
      <c r="F69" s="405"/>
      <c r="G69" s="136">
        <f t="shared" si="1"/>
        <v>24.629413044467128</v>
      </c>
      <c r="H69" s="110">
        <f t="shared" si="2"/>
        <v>24.629413044467128</v>
      </c>
      <c r="I69" s="136">
        <f t="shared" si="3"/>
        <v>0</v>
      </c>
      <c r="J69" s="55">
        <f t="shared" si="4"/>
        <v>0</v>
      </c>
      <c r="K69" s="36"/>
    </row>
    <row r="70" spans="1:11" x14ac:dyDescent="0.25">
      <c r="A70" s="49">
        <f>'A) Base RI'!A71</f>
        <v>5501</v>
      </c>
      <c r="B70" s="286" t="str">
        <f>'A) Base RI'!B71</f>
        <v>Sullens</v>
      </c>
      <c r="C70" s="95">
        <f>'B) D RI'!U71</f>
        <v>43195.598978102193</v>
      </c>
      <c r="D70" s="110">
        <f>'E) PCS'!G76/C70</f>
        <v>-18.741512096266177</v>
      </c>
      <c r="E70" s="136">
        <f>'H) Péréquation directe'!I80/C70</f>
        <v>9.4906595246568894</v>
      </c>
      <c r="F70" s="405"/>
      <c r="G70" s="136">
        <f t="shared" ref="G70:G133" si="5">SUM(D70:F70)</f>
        <v>-9.250852571609288</v>
      </c>
      <c r="H70" s="110">
        <f t="shared" ref="H70:H133" si="6">G70-F70</f>
        <v>-9.250852571609288</v>
      </c>
      <c r="I70" s="136">
        <f t="shared" ref="I70:I133" si="7">IF(H70&lt;I$5,H70-I$5,0)</f>
        <v>-1.250852571609288</v>
      </c>
      <c r="J70" s="55">
        <f t="shared" ref="J70:J133" si="8">-I70*C70</f>
        <v>54031.326063962661</v>
      </c>
      <c r="K70" s="36"/>
    </row>
    <row r="71" spans="1:11" x14ac:dyDescent="0.25">
      <c r="A71" s="49">
        <f>'A) Base RI'!A72</f>
        <v>5503</v>
      </c>
      <c r="B71" s="286" t="str">
        <f>'A) Base RI'!B72</f>
        <v>Vufflens-la-Ville</v>
      </c>
      <c r="C71" s="95">
        <f>'B) D RI'!U72</f>
        <v>79029.714875621881</v>
      </c>
      <c r="D71" s="110">
        <f>'E) PCS'!G77/C71</f>
        <v>17.253627501559524</v>
      </c>
      <c r="E71" s="136">
        <f>'H) Péréquation directe'!I81/C71</f>
        <v>15.704653589426938</v>
      </c>
      <c r="F71" s="405"/>
      <c r="G71" s="136">
        <f t="shared" si="5"/>
        <v>32.958281090986461</v>
      </c>
      <c r="H71" s="110">
        <f t="shared" si="6"/>
        <v>32.958281090986461</v>
      </c>
      <c r="I71" s="136">
        <f t="shared" si="7"/>
        <v>0</v>
      </c>
      <c r="J71" s="55">
        <f t="shared" si="8"/>
        <v>0</v>
      </c>
      <c r="K71" s="36"/>
    </row>
    <row r="72" spans="1:11" x14ac:dyDescent="0.25">
      <c r="A72" s="49">
        <f>'A) Base RI'!A73</f>
        <v>5511</v>
      </c>
      <c r="B72" s="286" t="str">
        <f>'A) Base RI'!B73</f>
        <v>Assens</v>
      </c>
      <c r="C72" s="95">
        <f>'B) D RI'!U73</f>
        <v>47333.455142857143</v>
      </c>
      <c r="D72" s="110">
        <f>'E) PCS'!G78/C72</f>
        <v>21.600228724089096</v>
      </c>
      <c r="E72" s="136">
        <f>'H) Péréquation directe'!I82/C72</f>
        <v>11.585139818616394</v>
      </c>
      <c r="F72" s="405"/>
      <c r="G72" s="136">
        <f t="shared" si="5"/>
        <v>33.18536854270549</v>
      </c>
      <c r="H72" s="110">
        <f t="shared" si="6"/>
        <v>33.18536854270549</v>
      </c>
      <c r="I72" s="136">
        <f t="shared" si="7"/>
        <v>0</v>
      </c>
      <c r="J72" s="55">
        <f t="shared" si="8"/>
        <v>0</v>
      </c>
      <c r="K72" s="36"/>
    </row>
    <row r="73" spans="1:11" x14ac:dyDescent="0.25">
      <c r="A73" s="49">
        <f>'A) Base RI'!A74</f>
        <v>5512</v>
      </c>
      <c r="B73" s="286" t="str">
        <f>'A) Base RI'!B74</f>
        <v>Bercher</v>
      </c>
      <c r="C73" s="95">
        <f>'B) D RI'!U74</f>
        <v>40764.12544303797</v>
      </c>
      <c r="D73" s="110">
        <f>'E) PCS'!G79/C73</f>
        <v>17.760374497417008</v>
      </c>
      <c r="E73" s="136">
        <f>'H) Péréquation directe'!I83/C73</f>
        <v>-1.1609123481023822</v>
      </c>
      <c r="F73" s="405"/>
      <c r="G73" s="136">
        <f t="shared" si="5"/>
        <v>16.599462149314625</v>
      </c>
      <c r="H73" s="110">
        <f t="shared" si="6"/>
        <v>16.599462149314625</v>
      </c>
      <c r="I73" s="136">
        <f t="shared" si="7"/>
        <v>0</v>
      </c>
      <c r="J73" s="55">
        <f t="shared" si="8"/>
        <v>0</v>
      </c>
      <c r="K73" s="36"/>
    </row>
    <row r="74" spans="1:11" x14ac:dyDescent="0.25">
      <c r="A74" s="49">
        <f>'A) Base RI'!A75</f>
        <v>5513</v>
      </c>
      <c r="B74" s="286" t="str">
        <f>'A) Base RI'!B75</f>
        <v>Bioley-Orjulaz</v>
      </c>
      <c r="C74" s="95">
        <f>'B) D RI'!U75</f>
        <v>22739.022647058824</v>
      </c>
      <c r="D74" s="110">
        <f>'E) PCS'!G80/C74</f>
        <v>18.623134966303841</v>
      </c>
      <c r="E74" s="136">
        <f>'H) Péréquation directe'!I84/C74</f>
        <v>14.064326401726699</v>
      </c>
      <c r="F74" s="405"/>
      <c r="G74" s="136">
        <f t="shared" si="5"/>
        <v>32.68746136803054</v>
      </c>
      <c r="H74" s="110">
        <f t="shared" si="6"/>
        <v>32.68746136803054</v>
      </c>
      <c r="I74" s="136">
        <f t="shared" si="7"/>
        <v>0</v>
      </c>
      <c r="J74" s="55">
        <f t="shared" si="8"/>
        <v>0</v>
      </c>
      <c r="K74" s="36"/>
    </row>
    <row r="75" spans="1:11" x14ac:dyDescent="0.25">
      <c r="A75" s="49">
        <f>'A) Base RI'!A76</f>
        <v>5514</v>
      </c>
      <c r="B75" s="286" t="str">
        <f>'A) Base RI'!B76</f>
        <v>Bottens</v>
      </c>
      <c r="C75" s="95">
        <f>'B) D RI'!U76</f>
        <v>44223.41544827586</v>
      </c>
      <c r="D75" s="110">
        <f>'E) PCS'!G81/C75</f>
        <v>14.004434758885152</v>
      </c>
      <c r="E75" s="136">
        <f>'H) Péréquation directe'!I85/C75</f>
        <v>2.9625364826655769</v>
      </c>
      <c r="F75" s="405"/>
      <c r="G75" s="136">
        <f t="shared" si="5"/>
        <v>16.966971241550731</v>
      </c>
      <c r="H75" s="110">
        <f t="shared" si="6"/>
        <v>16.966971241550731</v>
      </c>
      <c r="I75" s="136">
        <f t="shared" si="7"/>
        <v>0</v>
      </c>
      <c r="J75" s="55">
        <f t="shared" si="8"/>
        <v>0</v>
      </c>
      <c r="K75" s="36"/>
    </row>
    <row r="76" spans="1:11" x14ac:dyDescent="0.25">
      <c r="A76" s="49">
        <f>'A) Base RI'!A77</f>
        <v>5515</v>
      </c>
      <c r="B76" s="286" t="str">
        <f>'A) Base RI'!B77</f>
        <v>Bretigny-sur-Morrens</v>
      </c>
      <c r="C76" s="95">
        <f>'B) D RI'!U77</f>
        <v>32348.775256410252</v>
      </c>
      <c r="D76" s="110">
        <f>'E) PCS'!G82/C76</f>
        <v>15.362687375626074</v>
      </c>
      <c r="E76" s="136">
        <f>'H) Péréquation directe'!I86/C76</f>
        <v>7.6212349228885108</v>
      </c>
      <c r="F76" s="405"/>
      <c r="G76" s="136">
        <f t="shared" si="5"/>
        <v>22.983922298514585</v>
      </c>
      <c r="H76" s="110">
        <f t="shared" si="6"/>
        <v>22.983922298514585</v>
      </c>
      <c r="I76" s="136">
        <f t="shared" si="7"/>
        <v>0</v>
      </c>
      <c r="J76" s="55">
        <f t="shared" si="8"/>
        <v>0</v>
      </c>
      <c r="K76" s="36"/>
    </row>
    <row r="77" spans="1:11" x14ac:dyDescent="0.25">
      <c r="A77" s="49">
        <f>'A) Base RI'!A78</f>
        <v>5516</v>
      </c>
      <c r="B77" s="286" t="str">
        <f>'A) Base RI'!B78</f>
        <v>Cugy</v>
      </c>
      <c r="C77" s="95">
        <f>'B) D RI'!U78</f>
        <v>111604.91621794872</v>
      </c>
      <c r="D77" s="110">
        <f>'E) PCS'!G83/C77</f>
        <v>15.013656250265145</v>
      </c>
      <c r="E77" s="136">
        <f>'H) Péréquation directe'!I87/C77</f>
        <v>7.7513120413177976</v>
      </c>
      <c r="F77" s="405"/>
      <c r="G77" s="136">
        <f t="shared" si="5"/>
        <v>22.764968291582942</v>
      </c>
      <c r="H77" s="110">
        <f t="shared" si="6"/>
        <v>22.764968291582942</v>
      </c>
      <c r="I77" s="136">
        <f t="shared" si="7"/>
        <v>0</v>
      </c>
      <c r="J77" s="55">
        <f t="shared" si="8"/>
        <v>0</v>
      </c>
      <c r="K77" s="36"/>
    </row>
    <row r="78" spans="1:11" x14ac:dyDescent="0.25">
      <c r="A78" s="49">
        <f>'A) Base RI'!A79</f>
        <v>5518</v>
      </c>
      <c r="B78" s="286" t="str">
        <f>'A) Base RI'!B79</f>
        <v>Echallens</v>
      </c>
      <c r="C78" s="95">
        <f>'B) D RI'!U79</f>
        <v>183030.51158620688</v>
      </c>
      <c r="D78" s="110">
        <f>'E) PCS'!G84/C78</f>
        <v>15.162245503017095</v>
      </c>
      <c r="E78" s="136">
        <f>'H) Péréquation directe'!I88/C78</f>
        <v>-4.447459467058561</v>
      </c>
      <c r="F78" s="405"/>
      <c r="G78" s="136">
        <f t="shared" si="5"/>
        <v>10.714786035958534</v>
      </c>
      <c r="H78" s="110">
        <f t="shared" si="6"/>
        <v>10.714786035958534</v>
      </c>
      <c r="I78" s="136">
        <f t="shared" si="7"/>
        <v>0</v>
      </c>
      <c r="J78" s="55">
        <f t="shared" si="8"/>
        <v>0</v>
      </c>
      <c r="K78" s="36"/>
    </row>
    <row r="79" spans="1:11" x14ac:dyDescent="0.25">
      <c r="A79" s="49">
        <f>'A) Base RI'!A80</f>
        <v>5520</v>
      </c>
      <c r="B79" s="286" t="str">
        <f>'A) Base RI'!B80</f>
        <v>Essertines-sur-Yverdon</v>
      </c>
      <c r="C79" s="95">
        <f>'B) D RI'!U80</f>
        <v>31696.699178082192</v>
      </c>
      <c r="D79" s="110">
        <f>'E) PCS'!G85/C79</f>
        <v>14.025389855894641</v>
      </c>
      <c r="E79" s="136">
        <f>'H) Péréquation directe'!I89/C79</f>
        <v>1.0648939794155199</v>
      </c>
      <c r="F79" s="405"/>
      <c r="G79" s="136">
        <f t="shared" si="5"/>
        <v>15.09028383531016</v>
      </c>
      <c r="H79" s="110">
        <f t="shared" si="6"/>
        <v>15.09028383531016</v>
      </c>
      <c r="I79" s="136">
        <f t="shared" si="7"/>
        <v>0</v>
      </c>
      <c r="J79" s="55">
        <f t="shared" si="8"/>
        <v>0</v>
      </c>
      <c r="K79" s="36"/>
    </row>
    <row r="80" spans="1:11" x14ac:dyDescent="0.25">
      <c r="A80" s="49">
        <f>'A) Base RI'!A81</f>
        <v>5521</v>
      </c>
      <c r="B80" s="286" t="str">
        <f>'A) Base RI'!B81</f>
        <v>Etagnières</v>
      </c>
      <c r="C80" s="95">
        <f>'B) D RI'!U81</f>
        <v>42645.35479452055</v>
      </c>
      <c r="D80" s="110">
        <f>'E) PCS'!G86/C80</f>
        <v>15.132402926346359</v>
      </c>
      <c r="E80" s="136">
        <f>'H) Péréquation directe'!I90/C80</f>
        <v>8.2082646226470484</v>
      </c>
      <c r="F80" s="405"/>
      <c r="G80" s="136">
        <f t="shared" si="5"/>
        <v>23.340667548993409</v>
      </c>
      <c r="H80" s="110">
        <f t="shared" si="6"/>
        <v>23.340667548993409</v>
      </c>
      <c r="I80" s="136">
        <f t="shared" si="7"/>
        <v>0</v>
      </c>
      <c r="J80" s="55">
        <f t="shared" si="8"/>
        <v>0</v>
      </c>
      <c r="K80" s="36"/>
    </row>
    <row r="81" spans="1:11" x14ac:dyDescent="0.25">
      <c r="A81" s="49">
        <f>'A) Base RI'!A82</f>
        <v>5522</v>
      </c>
      <c r="B81" s="286" t="str">
        <f>'A) Base RI'!B82</f>
        <v>Fey</v>
      </c>
      <c r="C81" s="95">
        <f>'B) D RI'!U82</f>
        <v>23924.3328</v>
      </c>
      <c r="D81" s="110">
        <f>'E) PCS'!G87/C81</f>
        <v>13.962622542310354</v>
      </c>
      <c r="E81" s="136">
        <f>'H) Péréquation directe'!I91/C81</f>
        <v>3.0506602058621408</v>
      </c>
      <c r="F81" s="405"/>
      <c r="G81" s="136">
        <f t="shared" si="5"/>
        <v>17.013282748172497</v>
      </c>
      <c r="H81" s="110">
        <f t="shared" si="6"/>
        <v>17.013282748172497</v>
      </c>
      <c r="I81" s="136">
        <f t="shared" si="7"/>
        <v>0</v>
      </c>
      <c r="J81" s="55">
        <f t="shared" si="8"/>
        <v>0</v>
      </c>
      <c r="K81" s="36"/>
    </row>
    <row r="82" spans="1:11" x14ac:dyDescent="0.25">
      <c r="A82" s="49">
        <f>'A) Base RI'!A83</f>
        <v>5523</v>
      </c>
      <c r="B82" s="286" t="str">
        <f>'A) Base RI'!B83</f>
        <v>Froideville</v>
      </c>
      <c r="C82" s="95">
        <f>'B) D RI'!U83</f>
        <v>93523.863333333327</v>
      </c>
      <c r="D82" s="110">
        <f>'E) PCS'!G88/C82</f>
        <v>16.635057065122492</v>
      </c>
      <c r="E82" s="136">
        <f>'H) Péréquation directe'!I92/C82</f>
        <v>3.2725616562690409</v>
      </c>
      <c r="F82" s="405"/>
      <c r="G82" s="136">
        <f t="shared" si="5"/>
        <v>19.907618721391533</v>
      </c>
      <c r="H82" s="110">
        <f t="shared" si="6"/>
        <v>19.907618721391533</v>
      </c>
      <c r="I82" s="136">
        <f t="shared" si="7"/>
        <v>0</v>
      </c>
      <c r="J82" s="55">
        <f t="shared" si="8"/>
        <v>0</v>
      </c>
      <c r="K82" s="36"/>
    </row>
    <row r="83" spans="1:11" x14ac:dyDescent="0.25">
      <c r="A83" s="49">
        <f>'A) Base RI'!A84</f>
        <v>5527</v>
      </c>
      <c r="B83" s="286" t="str">
        <f>'A) Base RI'!B84</f>
        <v>Morrens</v>
      </c>
      <c r="C83" s="95">
        <f>'B) D RI'!U84</f>
        <v>39310.302027027028</v>
      </c>
      <c r="D83" s="110">
        <f>'E) PCS'!G89/C83</f>
        <v>15.572633356927748</v>
      </c>
      <c r="E83" s="136">
        <f>'H) Péréquation directe'!I93/C83</f>
        <v>4.9713766234482861</v>
      </c>
      <c r="F83" s="405"/>
      <c r="G83" s="136">
        <f t="shared" si="5"/>
        <v>20.544009980376032</v>
      </c>
      <c r="H83" s="110">
        <f t="shared" si="6"/>
        <v>20.544009980376032</v>
      </c>
      <c r="I83" s="136">
        <f t="shared" si="7"/>
        <v>0</v>
      </c>
      <c r="J83" s="55">
        <f t="shared" si="8"/>
        <v>0</v>
      </c>
      <c r="K83" s="36"/>
    </row>
    <row r="84" spans="1:11" x14ac:dyDescent="0.25">
      <c r="A84" s="49">
        <f>'A) Base RI'!A85</f>
        <v>5529</v>
      </c>
      <c r="B84" s="286" t="str">
        <f>'A) Base RI'!B85</f>
        <v>Oulens-sous-Echallens</v>
      </c>
      <c r="C84" s="95">
        <f>'B) D RI'!U85</f>
        <v>21162.231857142859</v>
      </c>
      <c r="D84" s="110">
        <f>'E) PCS'!G90/C84</f>
        <v>18.946824445039649</v>
      </c>
      <c r="E84" s="136">
        <f>'H) Péréquation directe'!I94/C84</f>
        <v>7.0070597784243631</v>
      </c>
      <c r="F84" s="405"/>
      <c r="G84" s="136">
        <f t="shared" si="5"/>
        <v>25.953884223464012</v>
      </c>
      <c r="H84" s="110">
        <f t="shared" si="6"/>
        <v>25.953884223464012</v>
      </c>
      <c r="I84" s="136">
        <f t="shared" si="7"/>
        <v>0</v>
      </c>
      <c r="J84" s="55">
        <f t="shared" si="8"/>
        <v>0</v>
      </c>
      <c r="K84" s="36"/>
    </row>
    <row r="85" spans="1:11" x14ac:dyDescent="0.25">
      <c r="A85" s="49">
        <f>'A) Base RI'!A86</f>
        <v>5530</v>
      </c>
      <c r="B85" s="286" t="str">
        <f>'A) Base RI'!B86</f>
        <v>Pailly</v>
      </c>
      <c r="C85" s="95">
        <f>'B) D RI'!U86</f>
        <v>19062.750131578941</v>
      </c>
      <c r="D85" s="110">
        <f>'E) PCS'!G91/C85</f>
        <v>15.452242326125591</v>
      </c>
      <c r="E85" s="136">
        <f>'H) Péréquation directe'!I95/C85</f>
        <v>4.413878647627274</v>
      </c>
      <c r="F85" s="405"/>
      <c r="G85" s="136">
        <f t="shared" si="5"/>
        <v>19.866120973752864</v>
      </c>
      <c r="H85" s="110">
        <f t="shared" si="6"/>
        <v>19.866120973752864</v>
      </c>
      <c r="I85" s="136">
        <f t="shared" si="7"/>
        <v>0</v>
      </c>
      <c r="J85" s="55">
        <f t="shared" si="8"/>
        <v>0</v>
      </c>
      <c r="K85" s="36"/>
    </row>
    <row r="86" spans="1:11" x14ac:dyDescent="0.25">
      <c r="A86" s="49">
        <f>'A) Base RI'!A87</f>
        <v>5531</v>
      </c>
      <c r="B86" s="286" t="str">
        <f>'A) Base RI'!B87</f>
        <v>Penthéréaz</v>
      </c>
      <c r="C86" s="95">
        <f>'B) D RI'!U87</f>
        <v>14300.817432432432</v>
      </c>
      <c r="D86" s="110">
        <f>'E) PCS'!G92/C86</f>
        <v>16.52622531160694</v>
      </c>
      <c r="E86" s="136">
        <f>'H) Péréquation directe'!I96/C86</f>
        <v>6.1561286185994808</v>
      </c>
      <c r="F86" s="405"/>
      <c r="G86" s="136">
        <f t="shared" si="5"/>
        <v>22.682353930206421</v>
      </c>
      <c r="H86" s="110">
        <f t="shared" si="6"/>
        <v>22.682353930206421</v>
      </c>
      <c r="I86" s="136">
        <f t="shared" si="7"/>
        <v>0</v>
      </c>
      <c r="J86" s="55">
        <f t="shared" si="8"/>
        <v>0</v>
      </c>
      <c r="K86" s="36"/>
    </row>
    <row r="87" spans="1:11" x14ac:dyDescent="0.25">
      <c r="A87" s="49">
        <f>'A) Base RI'!A88</f>
        <v>5533</v>
      </c>
      <c r="B87" s="286" t="str">
        <f>'A) Base RI'!B88</f>
        <v>Poliez-Pittet</v>
      </c>
      <c r="C87" s="95">
        <f>'B) D RI'!U88</f>
        <v>27502.031917808214</v>
      </c>
      <c r="D87" s="110">
        <f>'E) PCS'!G93/C87</f>
        <v>12.788053596041717</v>
      </c>
      <c r="E87" s="136">
        <f>'H) Péréquation directe'!I97/C87</f>
        <v>5.0922843684603842</v>
      </c>
      <c r="F87" s="405"/>
      <c r="G87" s="136">
        <f t="shared" si="5"/>
        <v>17.8803379645021</v>
      </c>
      <c r="H87" s="110">
        <f t="shared" si="6"/>
        <v>17.8803379645021</v>
      </c>
      <c r="I87" s="136">
        <f t="shared" si="7"/>
        <v>0</v>
      </c>
      <c r="J87" s="55">
        <f t="shared" si="8"/>
        <v>0</v>
      </c>
      <c r="K87" s="36"/>
    </row>
    <row r="88" spans="1:11" x14ac:dyDescent="0.25">
      <c r="A88" s="49">
        <f>'A) Base RI'!A89</f>
        <v>5534</v>
      </c>
      <c r="B88" s="286" t="str">
        <f>'A) Base RI'!B89</f>
        <v>Rueyres</v>
      </c>
      <c r="C88" s="95">
        <f>'B) D RI'!U89</f>
        <v>13106.991872146118</v>
      </c>
      <c r="D88" s="110">
        <f>'E) PCS'!G94/C88</f>
        <v>16.860589084889362</v>
      </c>
      <c r="E88" s="136">
        <f>'H) Péréquation directe'!I98/C88</f>
        <v>13.295582696852973</v>
      </c>
      <c r="F88" s="405"/>
      <c r="G88" s="136">
        <f t="shared" si="5"/>
        <v>30.156171781742337</v>
      </c>
      <c r="H88" s="110">
        <f t="shared" si="6"/>
        <v>30.156171781742337</v>
      </c>
      <c r="I88" s="136">
        <f t="shared" si="7"/>
        <v>0</v>
      </c>
      <c r="J88" s="55">
        <f t="shared" si="8"/>
        <v>0</v>
      </c>
      <c r="K88" s="36"/>
    </row>
    <row r="89" spans="1:11" x14ac:dyDescent="0.25">
      <c r="A89" s="49">
        <f>'A) Base RI'!A90</f>
        <v>5535</v>
      </c>
      <c r="B89" s="286" t="str">
        <f>'A) Base RI'!B90</f>
        <v>Saint-Barthélemy</v>
      </c>
      <c r="C89" s="95">
        <f>'B) D RI'!U90</f>
        <v>25080.318533333328</v>
      </c>
      <c r="D89" s="110">
        <f>'E) PCS'!G95/C89</f>
        <v>14.636676809362925</v>
      </c>
      <c r="E89" s="136">
        <f>'H) Péréquation directe'!I99/C89</f>
        <v>2.1522518783831086</v>
      </c>
      <c r="F89" s="405"/>
      <c r="G89" s="136">
        <f t="shared" si="5"/>
        <v>16.788928687746033</v>
      </c>
      <c r="H89" s="110">
        <f t="shared" si="6"/>
        <v>16.788928687746033</v>
      </c>
      <c r="I89" s="136">
        <f t="shared" si="7"/>
        <v>0</v>
      </c>
      <c r="J89" s="55">
        <f t="shared" si="8"/>
        <v>0</v>
      </c>
      <c r="K89" s="36"/>
    </row>
    <row r="90" spans="1:11" x14ac:dyDescent="0.25">
      <c r="A90" s="49">
        <f>'A) Base RI'!A91</f>
        <v>5537</v>
      </c>
      <c r="B90" s="286" t="str">
        <f>'A) Base RI'!B91</f>
        <v>Villars-le-Terroir</v>
      </c>
      <c r="C90" s="95">
        <f>'B) D RI'!U91</f>
        <v>42917.816052631584</v>
      </c>
      <c r="D90" s="110">
        <f>'E) PCS'!G96/C90</f>
        <v>13.532422707950769</v>
      </c>
      <c r="E90" s="136">
        <f>'H) Péréquation directe'!I100/C90</f>
        <v>2.1395390311153784</v>
      </c>
      <c r="F90" s="405"/>
      <c r="G90" s="136">
        <f t="shared" si="5"/>
        <v>15.671961739066147</v>
      </c>
      <c r="H90" s="110">
        <f t="shared" si="6"/>
        <v>15.671961739066147</v>
      </c>
      <c r="I90" s="136">
        <f t="shared" si="7"/>
        <v>0</v>
      </c>
      <c r="J90" s="55">
        <f t="shared" si="8"/>
        <v>0</v>
      </c>
      <c r="K90" s="36"/>
    </row>
    <row r="91" spans="1:11" x14ac:dyDescent="0.25">
      <c r="A91" s="49">
        <f>'A) Base RI'!A92</f>
        <v>5539</v>
      </c>
      <c r="B91" s="286" t="str">
        <f>'A) Base RI'!B92</f>
        <v>Vuarrens</v>
      </c>
      <c r="C91" s="95">
        <f>'B) D RI'!U92</f>
        <v>34558.047482993185</v>
      </c>
      <c r="D91" s="110">
        <f>'E) PCS'!G97/C91</f>
        <v>15.820261011050228</v>
      </c>
      <c r="E91" s="136">
        <f>'H) Péréquation directe'!I101/C91</f>
        <v>2.6224058995774815</v>
      </c>
      <c r="F91" s="405"/>
      <c r="G91" s="136">
        <f t="shared" si="5"/>
        <v>18.442666910627707</v>
      </c>
      <c r="H91" s="110">
        <f t="shared" si="6"/>
        <v>18.442666910627707</v>
      </c>
      <c r="I91" s="136">
        <f t="shared" si="7"/>
        <v>0</v>
      </c>
      <c r="J91" s="55">
        <f t="shared" si="8"/>
        <v>0</v>
      </c>
      <c r="K91" s="36"/>
    </row>
    <row r="92" spans="1:11" x14ac:dyDescent="0.25">
      <c r="A92" s="49">
        <f>'A) Base RI'!A93</f>
        <v>5540</v>
      </c>
      <c r="B92" s="286" t="str">
        <f>'A) Base RI'!B93</f>
        <v>Montilliez</v>
      </c>
      <c r="C92" s="95">
        <f>'B) D RI'!U93</f>
        <v>63315.990655172413</v>
      </c>
      <c r="D92" s="110">
        <f>'E) PCS'!G98/C92</f>
        <v>14.542722123611215</v>
      </c>
      <c r="E92" s="136">
        <f>'H) Péréquation directe'!I102/C92</f>
        <v>2.7234596473598529</v>
      </c>
      <c r="F92" s="405"/>
      <c r="G92" s="136">
        <f t="shared" si="5"/>
        <v>17.266181770971066</v>
      </c>
      <c r="H92" s="110">
        <f t="shared" si="6"/>
        <v>17.266181770971066</v>
      </c>
      <c r="I92" s="136">
        <f t="shared" si="7"/>
        <v>0</v>
      </c>
      <c r="J92" s="55">
        <f t="shared" si="8"/>
        <v>0</v>
      </c>
      <c r="K92" s="36"/>
    </row>
    <row r="93" spans="1:11" x14ac:dyDescent="0.25">
      <c r="A93" s="49">
        <f>'A) Base RI'!A94</f>
        <v>5541</v>
      </c>
      <c r="B93" s="286" t="str">
        <f>'A) Base RI'!B94</f>
        <v>Goumoëns</v>
      </c>
      <c r="C93" s="95">
        <f>'B) D RI'!U94</f>
        <v>41279.032715231784</v>
      </c>
      <c r="D93" s="110">
        <f>'E) PCS'!G99/C93</f>
        <v>14.109515492980195</v>
      </c>
      <c r="E93" s="136">
        <f>'H) Péréquation directe'!I103/C93</f>
        <v>6.0042819793805551</v>
      </c>
      <c r="F93" s="405"/>
      <c r="G93" s="136">
        <f t="shared" si="5"/>
        <v>20.113797472360751</v>
      </c>
      <c r="H93" s="110">
        <f t="shared" si="6"/>
        <v>20.113797472360751</v>
      </c>
      <c r="I93" s="136">
        <f t="shared" si="7"/>
        <v>0</v>
      </c>
      <c r="J93" s="55">
        <f t="shared" si="8"/>
        <v>0</v>
      </c>
      <c r="K93" s="36"/>
    </row>
    <row r="94" spans="1:11" x14ac:dyDescent="0.25">
      <c r="A94" s="49">
        <f>'A) Base RI'!A95</f>
        <v>5551</v>
      </c>
      <c r="B94" s="286" t="str">
        <f>'A) Base RI'!B95</f>
        <v>Bonvillars</v>
      </c>
      <c r="C94" s="95">
        <f>'B) D RI'!U95</f>
        <v>18707.412</v>
      </c>
      <c r="D94" s="110">
        <f>'E) PCS'!G100/C94</f>
        <v>15.112309333859423</v>
      </c>
      <c r="E94" s="136">
        <f>'H) Péréquation directe'!I104/C94</f>
        <v>12.641390295955617</v>
      </c>
      <c r="F94" s="405"/>
      <c r="G94" s="136">
        <f t="shared" si="5"/>
        <v>27.753699629815038</v>
      </c>
      <c r="H94" s="110">
        <f t="shared" si="6"/>
        <v>27.753699629815038</v>
      </c>
      <c r="I94" s="136">
        <f t="shared" si="7"/>
        <v>0</v>
      </c>
      <c r="J94" s="55">
        <f t="shared" si="8"/>
        <v>0</v>
      </c>
      <c r="K94" s="36"/>
    </row>
    <row r="95" spans="1:11" x14ac:dyDescent="0.25">
      <c r="A95" s="49">
        <f>'A) Base RI'!A96</f>
        <v>5552</v>
      </c>
      <c r="B95" s="286" t="str">
        <f>'A) Base RI'!B96</f>
        <v>Bullet</v>
      </c>
      <c r="C95" s="95">
        <f>'B) D RI'!U96</f>
        <v>19599.59230769231</v>
      </c>
      <c r="D95" s="110">
        <f>'E) PCS'!G101/C95</f>
        <v>22.446457808872822</v>
      </c>
      <c r="E95" s="136">
        <f>'H) Péréquation directe'!I105/C95</f>
        <v>1.8948630533894684</v>
      </c>
      <c r="F95" s="405"/>
      <c r="G95" s="136">
        <f t="shared" si="5"/>
        <v>24.34132086226229</v>
      </c>
      <c r="H95" s="110">
        <f t="shared" si="6"/>
        <v>24.34132086226229</v>
      </c>
      <c r="I95" s="136">
        <f t="shared" si="7"/>
        <v>0</v>
      </c>
      <c r="J95" s="55">
        <f t="shared" si="8"/>
        <v>0</v>
      </c>
      <c r="K95" s="36"/>
    </row>
    <row r="96" spans="1:11" x14ac:dyDescent="0.25">
      <c r="A96" s="49">
        <f>'A) Base RI'!A97</f>
        <v>5553</v>
      </c>
      <c r="B96" s="286" t="str">
        <f>'A) Base RI'!B97</f>
        <v>Champagne</v>
      </c>
      <c r="C96" s="95">
        <f>'B) D RI'!U97</f>
        <v>40087.525538461538</v>
      </c>
      <c r="D96" s="110">
        <f>'E) PCS'!G102/C96</f>
        <v>15.276615488291746</v>
      </c>
      <c r="E96" s="136">
        <f>'H) Péréquation directe'!I106/C96</f>
        <v>9.7134340111485322</v>
      </c>
      <c r="F96" s="405"/>
      <c r="G96" s="136">
        <f t="shared" si="5"/>
        <v>24.990049499440278</v>
      </c>
      <c r="H96" s="110">
        <f t="shared" si="6"/>
        <v>24.990049499440278</v>
      </c>
      <c r="I96" s="136">
        <f t="shared" si="7"/>
        <v>0</v>
      </c>
      <c r="J96" s="55">
        <f t="shared" si="8"/>
        <v>0</v>
      </c>
      <c r="K96" s="36"/>
    </row>
    <row r="97" spans="1:11" x14ac:dyDescent="0.25">
      <c r="A97" s="49">
        <f>'A) Base RI'!A98</f>
        <v>5554</v>
      </c>
      <c r="B97" s="286" t="str">
        <f>'A) Base RI'!B98</f>
        <v>Concise</v>
      </c>
      <c r="C97" s="95">
        <f>'B) D RI'!U98</f>
        <v>31501.78373333333</v>
      </c>
      <c r="D97" s="110">
        <f>'E) PCS'!G103/C97</f>
        <v>33.632392452890087</v>
      </c>
      <c r="E97" s="136">
        <f>'H) Péréquation directe'!I107/C97</f>
        <v>2.5911322990452943</v>
      </c>
      <c r="F97" s="405"/>
      <c r="G97" s="136">
        <f t="shared" si="5"/>
        <v>36.223524751935379</v>
      </c>
      <c r="H97" s="110">
        <f t="shared" si="6"/>
        <v>36.223524751935379</v>
      </c>
      <c r="I97" s="136">
        <f t="shared" si="7"/>
        <v>0</v>
      </c>
      <c r="J97" s="55">
        <f t="shared" si="8"/>
        <v>0</v>
      </c>
      <c r="K97" s="36"/>
    </row>
    <row r="98" spans="1:11" x14ac:dyDescent="0.25">
      <c r="A98" s="49">
        <f>'A) Base RI'!A99</f>
        <v>5555</v>
      </c>
      <c r="B98" s="286" t="str">
        <f>'A) Base RI'!B99</f>
        <v>Corcelles-près-Concise</v>
      </c>
      <c r="C98" s="95">
        <f>'B) D RI'!U99</f>
        <v>13878.246956521738</v>
      </c>
      <c r="D98" s="110">
        <f>'E) PCS'!G104/C98</f>
        <v>15.997688516545516</v>
      </c>
      <c r="E98" s="136">
        <f>'H) Péréquation directe'!I108/C98</f>
        <v>6.4047629504303201</v>
      </c>
      <c r="F98" s="405"/>
      <c r="G98" s="136">
        <f t="shared" si="5"/>
        <v>22.402451466975837</v>
      </c>
      <c r="H98" s="110">
        <f t="shared" si="6"/>
        <v>22.402451466975837</v>
      </c>
      <c r="I98" s="136">
        <f t="shared" si="7"/>
        <v>0</v>
      </c>
      <c r="J98" s="55">
        <f t="shared" si="8"/>
        <v>0</v>
      </c>
      <c r="K98" s="36"/>
    </row>
    <row r="99" spans="1:11" x14ac:dyDescent="0.25">
      <c r="A99" s="49">
        <f>'A) Base RI'!A100</f>
        <v>5556</v>
      </c>
      <c r="B99" s="286" t="str">
        <f>'A) Base RI'!B100</f>
        <v>Fiez</v>
      </c>
      <c r="C99" s="95">
        <f>'B) D RI'!U100</f>
        <v>14577.66780193237</v>
      </c>
      <c r="D99" s="110">
        <f>'E) PCS'!G105/C99</f>
        <v>14.177081587248962</v>
      </c>
      <c r="E99" s="136">
        <f>'H) Péréquation directe'!I109/C99</f>
        <v>6.1187861168128954</v>
      </c>
      <c r="F99" s="405"/>
      <c r="G99" s="136">
        <f t="shared" si="5"/>
        <v>20.295867704061855</v>
      </c>
      <c r="H99" s="110">
        <f t="shared" si="6"/>
        <v>20.295867704061855</v>
      </c>
      <c r="I99" s="136">
        <f t="shared" si="7"/>
        <v>0</v>
      </c>
      <c r="J99" s="55">
        <f t="shared" si="8"/>
        <v>0</v>
      </c>
      <c r="K99" s="36"/>
    </row>
    <row r="100" spans="1:11" x14ac:dyDescent="0.25">
      <c r="A100" s="49">
        <f>'A) Base RI'!A101</f>
        <v>5557</v>
      </c>
      <c r="B100" s="286" t="str">
        <f>'A) Base RI'!B101</f>
        <v>Fontaines-sur-Grandson</v>
      </c>
      <c r="C100" s="95">
        <f>'B) D RI'!U101</f>
        <v>4232.7450724637674</v>
      </c>
      <c r="D100" s="110">
        <f>'E) PCS'!G106/C100</f>
        <v>13.760026776399835</v>
      </c>
      <c r="E100" s="136">
        <f>'H) Péréquation directe'!I110/C100</f>
        <v>-16.538730951816724</v>
      </c>
      <c r="F100" s="405"/>
      <c r="G100" s="136">
        <f t="shared" si="5"/>
        <v>-2.7787041754168893</v>
      </c>
      <c r="H100" s="110">
        <f t="shared" si="6"/>
        <v>-2.7787041754168893</v>
      </c>
      <c r="I100" s="136">
        <f t="shared" si="7"/>
        <v>0</v>
      </c>
      <c r="J100" s="55">
        <f t="shared" si="8"/>
        <v>0</v>
      </c>
      <c r="K100" s="36"/>
    </row>
    <row r="101" spans="1:11" x14ac:dyDescent="0.25">
      <c r="A101" s="49">
        <f>'A) Base RI'!A102</f>
        <v>5559</v>
      </c>
      <c r="B101" s="286" t="str">
        <f>'A) Base RI'!B102</f>
        <v>Giez</v>
      </c>
      <c r="C101" s="95">
        <f>'B) D RI'!U102</f>
        <v>23436.990303030303</v>
      </c>
      <c r="D101" s="110">
        <f>'E) PCS'!G107/C101</f>
        <v>17.339151451190698</v>
      </c>
      <c r="E101" s="136">
        <f>'H) Péréquation directe'!I111/C101</f>
        <v>16.454442443226799</v>
      </c>
      <c r="F101" s="405"/>
      <c r="G101" s="136">
        <f t="shared" si="5"/>
        <v>33.793593894417498</v>
      </c>
      <c r="H101" s="110">
        <f t="shared" si="6"/>
        <v>33.793593894417498</v>
      </c>
      <c r="I101" s="136">
        <f t="shared" si="7"/>
        <v>0</v>
      </c>
      <c r="J101" s="55">
        <f t="shared" si="8"/>
        <v>0</v>
      </c>
      <c r="K101" s="36"/>
    </row>
    <row r="102" spans="1:11" x14ac:dyDescent="0.25">
      <c r="A102" s="49">
        <f>'A) Base RI'!A103</f>
        <v>5560</v>
      </c>
      <c r="B102" s="286" t="str">
        <f>'A) Base RI'!B103</f>
        <v>Grandevent</v>
      </c>
      <c r="C102" s="95">
        <f>'B) D RI'!U103</f>
        <v>7003.7466176470589</v>
      </c>
      <c r="D102" s="110">
        <f>'E) PCS'!G108/C102</f>
        <v>18.455142259139926</v>
      </c>
      <c r="E102" s="136">
        <f>'H) Péréquation directe'!I112/C102</f>
        <v>2.6414007252451599</v>
      </c>
      <c r="F102" s="405"/>
      <c r="G102" s="136">
        <f t="shared" si="5"/>
        <v>21.096542984385085</v>
      </c>
      <c r="H102" s="110">
        <f t="shared" si="6"/>
        <v>21.096542984385085</v>
      </c>
      <c r="I102" s="136">
        <f t="shared" si="7"/>
        <v>0</v>
      </c>
      <c r="J102" s="55">
        <f t="shared" si="8"/>
        <v>0</v>
      </c>
      <c r="K102" s="36"/>
    </row>
    <row r="103" spans="1:11" x14ac:dyDescent="0.25">
      <c r="A103" s="49">
        <f>'A) Base RI'!A104</f>
        <v>5561</v>
      </c>
      <c r="B103" s="286" t="str">
        <f>'A) Base RI'!B104</f>
        <v>Grandson</v>
      </c>
      <c r="C103" s="95">
        <f>'B) D RI'!U104</f>
        <v>114506.05043478261</v>
      </c>
      <c r="D103" s="110">
        <f>'E) PCS'!G109/C103</f>
        <v>17.764666682021943</v>
      </c>
      <c r="E103" s="136">
        <f>'H) Péréquation directe'!I113/C103</f>
        <v>1.9678633026019035</v>
      </c>
      <c r="F103" s="405"/>
      <c r="G103" s="136">
        <f t="shared" si="5"/>
        <v>19.732529984623845</v>
      </c>
      <c r="H103" s="110">
        <f t="shared" si="6"/>
        <v>19.732529984623845</v>
      </c>
      <c r="I103" s="136">
        <f t="shared" si="7"/>
        <v>0</v>
      </c>
      <c r="J103" s="55">
        <f t="shared" si="8"/>
        <v>0</v>
      </c>
      <c r="K103" s="36"/>
    </row>
    <row r="104" spans="1:11" x14ac:dyDescent="0.25">
      <c r="A104" s="49">
        <f>'A) Base RI'!A105</f>
        <v>5562</v>
      </c>
      <c r="B104" s="286" t="str">
        <f>'A) Base RI'!B105</f>
        <v>Mauborget</v>
      </c>
      <c r="C104" s="95">
        <f>'B) D RI'!U105</f>
        <v>6099.4916904761894</v>
      </c>
      <c r="D104" s="110">
        <f>'E) PCS'!G110/C104</f>
        <v>15.802443111842035</v>
      </c>
      <c r="E104" s="136">
        <f>'H) Péréquation directe'!I114/C104</f>
        <v>14.293247138969079</v>
      </c>
      <c r="F104" s="405"/>
      <c r="G104" s="136">
        <f t="shared" si="5"/>
        <v>30.095690250811113</v>
      </c>
      <c r="H104" s="110">
        <f t="shared" si="6"/>
        <v>30.095690250811113</v>
      </c>
      <c r="I104" s="136">
        <f t="shared" si="7"/>
        <v>0</v>
      </c>
      <c r="J104" s="55">
        <f t="shared" si="8"/>
        <v>0</v>
      </c>
      <c r="K104" s="36"/>
    </row>
    <row r="105" spans="1:11" x14ac:dyDescent="0.25">
      <c r="A105" s="49">
        <f>'A) Base RI'!A106</f>
        <v>5563</v>
      </c>
      <c r="B105" s="286" t="str">
        <f>'A) Base RI'!B106</f>
        <v>Mutrux</v>
      </c>
      <c r="C105" s="95">
        <f>'B) D RI'!U106</f>
        <v>4282.2314999999999</v>
      </c>
      <c r="D105" s="110">
        <f>'E) PCS'!G111/C105</f>
        <v>21.408140873352863</v>
      </c>
      <c r="E105" s="136">
        <f>'H) Péréquation directe'!I115/C105</f>
        <v>-3.6869557559072428</v>
      </c>
      <c r="F105" s="405"/>
      <c r="G105" s="136">
        <f t="shared" si="5"/>
        <v>17.721185117445621</v>
      </c>
      <c r="H105" s="110">
        <f t="shared" si="6"/>
        <v>17.721185117445621</v>
      </c>
      <c r="I105" s="136">
        <f t="shared" si="7"/>
        <v>0</v>
      </c>
      <c r="J105" s="55">
        <f t="shared" si="8"/>
        <v>0</v>
      </c>
      <c r="K105" s="36"/>
    </row>
    <row r="106" spans="1:11" x14ac:dyDescent="0.25">
      <c r="A106" s="49">
        <f>'A) Base RI'!A107</f>
        <v>5564</v>
      </c>
      <c r="B106" s="286" t="str">
        <f>'A) Base RI'!B107</f>
        <v>Novalles</v>
      </c>
      <c r="C106" s="95">
        <f>'B) D RI'!U107</f>
        <v>2099.5480592105264</v>
      </c>
      <c r="D106" s="110">
        <f>'E) PCS'!G112/C106</f>
        <v>13.062940443366946</v>
      </c>
      <c r="E106" s="136">
        <f>'H) Péréquation directe'!I116/C106</f>
        <v>-19.067203936439569</v>
      </c>
      <c r="F106" s="405"/>
      <c r="G106" s="136">
        <f t="shared" si="5"/>
        <v>-6.0042634930726226</v>
      </c>
      <c r="H106" s="110">
        <f t="shared" si="6"/>
        <v>-6.0042634930726226</v>
      </c>
      <c r="I106" s="136">
        <f t="shared" si="7"/>
        <v>0</v>
      </c>
      <c r="J106" s="55">
        <f t="shared" si="8"/>
        <v>0</v>
      </c>
      <c r="K106" s="36"/>
    </row>
    <row r="107" spans="1:11" x14ac:dyDescent="0.25">
      <c r="A107" s="49">
        <f>'A) Base RI'!A108</f>
        <v>5565</v>
      </c>
      <c r="B107" s="286" t="str">
        <f>'A) Base RI'!B108</f>
        <v>Onnens</v>
      </c>
      <c r="C107" s="95">
        <f>'B) D RI'!U108</f>
        <v>22703.427716535429</v>
      </c>
      <c r="D107" s="110">
        <f>'E) PCS'!G113/C107</f>
        <v>14.684071319549632</v>
      </c>
      <c r="E107" s="136">
        <f>'H) Péréquation directe'!I117/C107</f>
        <v>15.192996287753717</v>
      </c>
      <c r="F107" s="405"/>
      <c r="G107" s="136">
        <f t="shared" si="5"/>
        <v>29.877067607303349</v>
      </c>
      <c r="H107" s="110">
        <f t="shared" si="6"/>
        <v>29.877067607303349</v>
      </c>
      <c r="I107" s="136">
        <f t="shared" si="7"/>
        <v>0</v>
      </c>
      <c r="J107" s="55">
        <f t="shared" si="8"/>
        <v>0</v>
      </c>
      <c r="K107" s="36"/>
    </row>
    <row r="108" spans="1:11" x14ac:dyDescent="0.25">
      <c r="A108" s="49">
        <f>'A) Base RI'!A109</f>
        <v>5566</v>
      </c>
      <c r="B108" s="286" t="str">
        <f>'A) Base RI'!B109</f>
        <v>Provence</v>
      </c>
      <c r="C108" s="95">
        <f>'B) D RI'!U109</f>
        <v>9377.8413580246925</v>
      </c>
      <c r="D108" s="110">
        <f>'E) PCS'!G114/C108</f>
        <v>15.129082068938564</v>
      </c>
      <c r="E108" s="136">
        <f>'H) Péréquation directe'!I118/C108</f>
        <v>-14.897589937363632</v>
      </c>
      <c r="F108" s="405"/>
      <c r="G108" s="136">
        <f t="shared" si="5"/>
        <v>0.23149213157493165</v>
      </c>
      <c r="H108" s="110">
        <f t="shared" si="6"/>
        <v>0.23149213157493165</v>
      </c>
      <c r="I108" s="136">
        <f t="shared" si="7"/>
        <v>0</v>
      </c>
      <c r="J108" s="55">
        <f t="shared" si="8"/>
        <v>0</v>
      </c>
      <c r="K108" s="36"/>
    </row>
    <row r="109" spans="1:11" x14ac:dyDescent="0.25">
      <c r="A109" s="49">
        <f>'A) Base RI'!A110</f>
        <v>5568</v>
      </c>
      <c r="B109" s="286" t="str">
        <f>'A) Base RI'!B110</f>
        <v>Sainte-Croix</v>
      </c>
      <c r="C109" s="95">
        <f>'B) D RI'!U110</f>
        <v>109171.87199999999</v>
      </c>
      <c r="D109" s="110">
        <f>'E) PCS'!G115/C109</f>
        <v>23.65378758690132</v>
      </c>
      <c r="E109" s="136">
        <f>'H) Péréquation directe'!I119/C109</f>
        <v>-21.033443991305848</v>
      </c>
      <c r="F109" s="405"/>
      <c r="G109" s="136">
        <f t="shared" si="5"/>
        <v>2.6203435955954717</v>
      </c>
      <c r="H109" s="110">
        <f t="shared" si="6"/>
        <v>2.6203435955954717</v>
      </c>
      <c r="I109" s="136">
        <f t="shared" si="7"/>
        <v>0</v>
      </c>
      <c r="J109" s="55">
        <f t="shared" si="8"/>
        <v>0</v>
      </c>
      <c r="K109" s="36"/>
    </row>
    <row r="110" spans="1:11" x14ac:dyDescent="0.25">
      <c r="A110" s="49">
        <f>'A) Base RI'!A111</f>
        <v>5571</v>
      </c>
      <c r="B110" s="286" t="str">
        <f>'A) Base RI'!B111</f>
        <v>Tévenon</v>
      </c>
      <c r="C110" s="95">
        <f>'B) D RI'!U111</f>
        <v>25325.239790209791</v>
      </c>
      <c r="D110" s="110">
        <f>'E) PCS'!G116/C110</f>
        <v>16.979303554206993</v>
      </c>
      <c r="E110" s="136">
        <f>'H) Péréquation directe'!I120/C110</f>
        <v>0.39584720460241979</v>
      </c>
      <c r="F110" s="405"/>
      <c r="G110" s="136">
        <f t="shared" si="5"/>
        <v>17.375150758809411</v>
      </c>
      <c r="H110" s="110">
        <f t="shared" si="6"/>
        <v>17.375150758809411</v>
      </c>
      <c r="I110" s="136">
        <f t="shared" si="7"/>
        <v>0</v>
      </c>
      <c r="J110" s="55">
        <f t="shared" si="8"/>
        <v>0</v>
      </c>
      <c r="K110" s="36"/>
    </row>
    <row r="111" spans="1:11" x14ac:dyDescent="0.25">
      <c r="A111" s="49">
        <f>'A) Base RI'!A112</f>
        <v>5581</v>
      </c>
      <c r="B111" s="286" t="str">
        <f>'A) Base RI'!B112</f>
        <v>Belmont-sur-Lausanne</v>
      </c>
      <c r="C111" s="95">
        <f>'B) D RI'!U112</f>
        <v>215435.94296296299</v>
      </c>
      <c r="D111" s="110">
        <f>'E) PCS'!G117/C111</f>
        <v>17.806542666232872</v>
      </c>
      <c r="E111" s="136">
        <f>'H) Péréquation directe'!I121/C111</f>
        <v>12.973251907452365</v>
      </c>
      <c r="F111" s="405"/>
      <c r="G111" s="136">
        <f t="shared" si="5"/>
        <v>30.779794573685237</v>
      </c>
      <c r="H111" s="110">
        <f t="shared" si="6"/>
        <v>30.779794573685237</v>
      </c>
      <c r="I111" s="136">
        <f t="shared" si="7"/>
        <v>0</v>
      </c>
      <c r="J111" s="55">
        <f t="shared" si="8"/>
        <v>0</v>
      </c>
      <c r="K111" s="36"/>
    </row>
    <row r="112" spans="1:11" x14ac:dyDescent="0.25">
      <c r="A112" s="49">
        <f>'A) Base RI'!A113</f>
        <v>5582</v>
      </c>
      <c r="B112" s="286" t="str">
        <f>'A) Base RI'!B113</f>
        <v>Cheseaux-sur-Lausanne</v>
      </c>
      <c r="C112" s="95">
        <f>'B) D RI'!U113</f>
        <v>167506.84698630136</v>
      </c>
      <c r="D112" s="110">
        <f>'E) PCS'!G118/C112</f>
        <v>18.318304584146567</v>
      </c>
      <c r="E112" s="136">
        <f>'H) Péréquation directe'!I122/C112</f>
        <v>3.4848919247126244</v>
      </c>
      <c r="F112" s="405"/>
      <c r="G112" s="136">
        <f t="shared" si="5"/>
        <v>21.803196508859191</v>
      </c>
      <c r="H112" s="110">
        <f t="shared" si="6"/>
        <v>21.803196508859191</v>
      </c>
      <c r="I112" s="136">
        <f t="shared" si="7"/>
        <v>0</v>
      </c>
      <c r="J112" s="55">
        <f t="shared" si="8"/>
        <v>0</v>
      </c>
      <c r="K112" s="36"/>
    </row>
    <row r="113" spans="1:11" x14ac:dyDescent="0.25">
      <c r="A113" s="49">
        <f>'A) Base RI'!A114</f>
        <v>5583</v>
      </c>
      <c r="B113" s="286" t="str">
        <f>'A) Base RI'!B114</f>
        <v>Crissier</v>
      </c>
      <c r="C113" s="95">
        <f>'B) D RI'!U114</f>
        <v>337550.36173228343</v>
      </c>
      <c r="D113" s="110">
        <f>'E) PCS'!G119/C113</f>
        <v>18.438141653946762</v>
      </c>
      <c r="E113" s="136">
        <f>'H) Péréquation directe'!I123/C113</f>
        <v>1.7346910765635051</v>
      </c>
      <c r="F113" s="405"/>
      <c r="G113" s="136">
        <f t="shared" si="5"/>
        <v>20.172832730510265</v>
      </c>
      <c r="H113" s="110">
        <f t="shared" si="6"/>
        <v>20.172832730510265</v>
      </c>
      <c r="I113" s="136">
        <f t="shared" si="7"/>
        <v>0</v>
      </c>
      <c r="J113" s="55">
        <f t="shared" si="8"/>
        <v>0</v>
      </c>
      <c r="K113" s="36"/>
    </row>
    <row r="114" spans="1:11" x14ac:dyDescent="0.25">
      <c r="A114" s="49">
        <f>'A) Base RI'!A115</f>
        <v>5584</v>
      </c>
      <c r="B114" s="286" t="str">
        <f>'A) Base RI'!B115</f>
        <v>Epalinges</v>
      </c>
      <c r="C114" s="95">
        <f>'B) D RI'!U115</f>
        <v>516766.84201550385</v>
      </c>
      <c r="D114" s="110">
        <f>'E) PCS'!G120/C114</f>
        <v>16.867771827841832</v>
      </c>
      <c r="E114" s="136">
        <f>'H) Péréquation directe'!I124/C114</f>
        <v>9.3184565485755364</v>
      </c>
      <c r="F114" s="405"/>
      <c r="G114" s="136">
        <f t="shared" si="5"/>
        <v>26.186228376417368</v>
      </c>
      <c r="H114" s="110">
        <f t="shared" si="6"/>
        <v>26.186228376417368</v>
      </c>
      <c r="I114" s="136">
        <f t="shared" si="7"/>
        <v>0</v>
      </c>
      <c r="J114" s="55">
        <f t="shared" si="8"/>
        <v>0</v>
      </c>
      <c r="K114" s="36"/>
    </row>
    <row r="115" spans="1:11" x14ac:dyDescent="0.25">
      <c r="A115" s="49">
        <f>'A) Base RI'!A116</f>
        <v>5585</v>
      </c>
      <c r="B115" s="286" t="str">
        <f>'A) Base RI'!B116</f>
        <v>Jouxtens-Mézery</v>
      </c>
      <c r="C115" s="95">
        <f>'B) D RI'!U116</f>
        <v>191744.87050847456</v>
      </c>
      <c r="D115" s="110">
        <f>'E) PCS'!G121/C115</f>
        <v>29.427119900392739</v>
      </c>
      <c r="E115" s="136">
        <f>'H) Péréquation directe'!I125/C115</f>
        <v>17.32384234521307</v>
      </c>
      <c r="F115" s="405"/>
      <c r="G115" s="136">
        <f t="shared" si="5"/>
        <v>46.750962245605805</v>
      </c>
      <c r="H115" s="110">
        <f t="shared" si="6"/>
        <v>46.750962245605805</v>
      </c>
      <c r="I115" s="136">
        <f t="shared" si="7"/>
        <v>0</v>
      </c>
      <c r="J115" s="55">
        <f t="shared" si="8"/>
        <v>0</v>
      </c>
      <c r="K115" s="36"/>
    </row>
    <row r="116" spans="1:11" x14ac:dyDescent="0.25">
      <c r="A116" s="49">
        <f>'A) Base RI'!A117</f>
        <v>5586</v>
      </c>
      <c r="B116" s="286" t="str">
        <f>'A) Base RI'!B117</f>
        <v>Lausanne</v>
      </c>
      <c r="C116" s="95">
        <f>'B) D RI'!U117</f>
        <v>6461491.7137154993</v>
      </c>
      <c r="D116" s="110">
        <f>'E) PCS'!G122/C116</f>
        <v>16.544181061345505</v>
      </c>
      <c r="E116" s="136">
        <f>'H) Péréquation directe'!I126/C116</f>
        <v>-4.4673010675826799</v>
      </c>
      <c r="F116" s="405"/>
      <c r="G116" s="136">
        <f t="shared" si="5"/>
        <v>12.076879993762825</v>
      </c>
      <c r="H116" s="110">
        <f t="shared" si="6"/>
        <v>12.076879993762825</v>
      </c>
      <c r="I116" s="136">
        <f t="shared" si="7"/>
        <v>0</v>
      </c>
      <c r="J116" s="55">
        <f t="shared" si="8"/>
        <v>0</v>
      </c>
      <c r="K116" s="36"/>
    </row>
    <row r="117" spans="1:11" x14ac:dyDescent="0.25">
      <c r="A117" s="49">
        <f>'A) Base RI'!A118</f>
        <v>5587</v>
      </c>
      <c r="B117" s="286" t="str">
        <f>'A) Base RI'!B118</f>
        <v>Le Mont-sur-Lausanne</v>
      </c>
      <c r="C117" s="95">
        <f>'B) D RI'!U118</f>
        <v>495058.05378684809</v>
      </c>
      <c r="D117" s="110">
        <f>'E) PCS'!G123/C117</f>
        <v>19.085571888719336</v>
      </c>
      <c r="E117" s="136">
        <f>'H) Péréquation directe'!I127/C117</f>
        <v>9.9233927417455199</v>
      </c>
      <c r="F117" s="405"/>
      <c r="G117" s="136">
        <f t="shared" si="5"/>
        <v>29.008964630464856</v>
      </c>
      <c r="H117" s="110">
        <f t="shared" si="6"/>
        <v>29.008964630464856</v>
      </c>
      <c r="I117" s="136">
        <f t="shared" si="7"/>
        <v>0</v>
      </c>
      <c r="J117" s="55">
        <f t="shared" si="8"/>
        <v>0</v>
      </c>
      <c r="K117" s="36"/>
    </row>
    <row r="118" spans="1:11" x14ac:dyDescent="0.25">
      <c r="A118" s="49">
        <f>'A) Base RI'!A119</f>
        <v>5588</v>
      </c>
      <c r="B118" s="286" t="str">
        <f>'A) Base RI'!B119</f>
        <v>Paudex</v>
      </c>
      <c r="C118" s="95">
        <f>'B) D RI'!U119</f>
        <v>215756.29785177234</v>
      </c>
      <c r="D118" s="110">
        <f>'E) PCS'!G124/C118</f>
        <v>30.895709795585674</v>
      </c>
      <c r="E118" s="136">
        <f>'H) Péréquation directe'!I128/C118</f>
        <v>17.351894411538165</v>
      </c>
      <c r="F118" s="405"/>
      <c r="G118" s="136">
        <f t="shared" si="5"/>
        <v>48.247604207123842</v>
      </c>
      <c r="H118" s="110">
        <f t="shared" si="6"/>
        <v>48.247604207123842</v>
      </c>
      <c r="I118" s="136">
        <f t="shared" si="7"/>
        <v>0</v>
      </c>
      <c r="J118" s="55">
        <f t="shared" si="8"/>
        <v>0</v>
      </c>
      <c r="K118" s="36"/>
    </row>
    <row r="119" spans="1:11" x14ac:dyDescent="0.25">
      <c r="A119" s="49">
        <f>'A) Base RI'!A120</f>
        <v>5589</v>
      </c>
      <c r="B119" s="286" t="str">
        <f>'A) Base RI'!B120</f>
        <v>Prilly</v>
      </c>
      <c r="C119" s="95">
        <f>'B) D RI'!U120</f>
        <v>419549.81642440322</v>
      </c>
      <c r="D119" s="110">
        <f>'E) PCS'!G125/C119</f>
        <v>16.126119711135892</v>
      </c>
      <c r="E119" s="136">
        <f>'H) Péréquation directe'!I129/C119</f>
        <v>-7.0314366078837729</v>
      </c>
      <c r="F119" s="405"/>
      <c r="G119" s="136">
        <f t="shared" si="5"/>
        <v>9.0946831032521196</v>
      </c>
      <c r="H119" s="110">
        <f t="shared" si="6"/>
        <v>9.0946831032521196</v>
      </c>
      <c r="I119" s="136">
        <f t="shared" si="7"/>
        <v>0</v>
      </c>
      <c r="J119" s="55">
        <f t="shared" si="8"/>
        <v>0</v>
      </c>
      <c r="K119" s="36"/>
    </row>
    <row r="120" spans="1:11" x14ac:dyDescent="0.25">
      <c r="A120" s="49">
        <f>'A) Base RI'!A121</f>
        <v>5590</v>
      </c>
      <c r="B120" s="286" t="str">
        <f>'A) Base RI'!B121</f>
        <v>Pully</v>
      </c>
      <c r="C120" s="95">
        <f>'B) D RI'!U121</f>
        <v>1603030.9692740045</v>
      </c>
      <c r="D120" s="110">
        <f>'E) PCS'!G126/C120</f>
        <v>23.186723683273801</v>
      </c>
      <c r="E120" s="136">
        <f>'H) Péréquation directe'!I130/C120</f>
        <v>10.147386555404942</v>
      </c>
      <c r="F120" s="405"/>
      <c r="G120" s="136">
        <f t="shared" si="5"/>
        <v>33.334110238678747</v>
      </c>
      <c r="H120" s="110">
        <f t="shared" si="6"/>
        <v>33.334110238678747</v>
      </c>
      <c r="I120" s="136">
        <f t="shared" si="7"/>
        <v>0</v>
      </c>
      <c r="J120" s="55">
        <f t="shared" si="8"/>
        <v>0</v>
      </c>
      <c r="K120" s="36"/>
    </row>
    <row r="121" spans="1:11" x14ac:dyDescent="0.25">
      <c r="A121" s="49">
        <f>'A) Base RI'!A122</f>
        <v>5591</v>
      </c>
      <c r="B121" s="286" t="str">
        <f>'A) Base RI'!B122</f>
        <v>Renens</v>
      </c>
      <c r="C121" s="95">
        <f>'B) D RI'!U122</f>
        <v>569784.47115027823</v>
      </c>
      <c r="D121" s="110">
        <f>'E) PCS'!G127/C121</f>
        <v>17.672680658676732</v>
      </c>
      <c r="E121" s="136">
        <f>'H) Péréquation directe'!I131/C121</f>
        <v>-27.621175236813656</v>
      </c>
      <c r="F121" s="405"/>
      <c r="G121" s="136">
        <f t="shared" si="5"/>
        <v>-9.9484945781369234</v>
      </c>
      <c r="H121" s="110">
        <f t="shared" si="6"/>
        <v>-9.9484945781369234</v>
      </c>
      <c r="I121" s="136">
        <f t="shared" si="7"/>
        <v>-1.9484945781369234</v>
      </c>
      <c r="J121" s="55">
        <f t="shared" si="8"/>
        <v>1110221.9527429314</v>
      </c>
      <c r="K121" s="36"/>
    </row>
    <row r="122" spans="1:11" x14ac:dyDescent="0.25">
      <c r="A122" s="49">
        <f>'A) Base RI'!A123</f>
        <v>5592</v>
      </c>
      <c r="B122" s="286" t="str">
        <f>'A) Base RI'!B123</f>
        <v>Romanel-sur-Lausanne</v>
      </c>
      <c r="C122" s="95">
        <f>'B) D RI'!U123</f>
        <v>121086.56368794327</v>
      </c>
      <c r="D122" s="110">
        <f>'E) PCS'!G128/C122</f>
        <v>19.356223481398299</v>
      </c>
      <c r="E122" s="136">
        <f>'H) Péréquation directe'!I132/C122</f>
        <v>2.2283198855051016</v>
      </c>
      <c r="F122" s="405"/>
      <c r="G122" s="136">
        <f t="shared" si="5"/>
        <v>21.5845433669034</v>
      </c>
      <c r="H122" s="110">
        <f t="shared" si="6"/>
        <v>21.5845433669034</v>
      </c>
      <c r="I122" s="136">
        <f t="shared" si="7"/>
        <v>0</v>
      </c>
      <c r="J122" s="55">
        <f t="shared" si="8"/>
        <v>0</v>
      </c>
      <c r="K122" s="36"/>
    </row>
    <row r="123" spans="1:11" x14ac:dyDescent="0.25">
      <c r="A123" s="49">
        <f>'A) Base RI'!A124</f>
        <v>5601</v>
      </c>
      <c r="B123" s="286" t="str">
        <f>'A) Base RI'!B124</f>
        <v>Chexbres</v>
      </c>
      <c r="C123" s="95">
        <f>'B) D RI'!U124</f>
        <v>105973.06044444445</v>
      </c>
      <c r="D123" s="110">
        <f>'E) PCS'!G129/C123</f>
        <v>14.861008713315831</v>
      </c>
      <c r="E123" s="136">
        <f>'H) Péréquation directe'!I133/C123</f>
        <v>13.246300249599512</v>
      </c>
      <c r="F123" s="405"/>
      <c r="G123" s="136">
        <f t="shared" si="5"/>
        <v>28.107308962915344</v>
      </c>
      <c r="H123" s="110">
        <f t="shared" si="6"/>
        <v>28.107308962915344</v>
      </c>
      <c r="I123" s="136">
        <f t="shared" si="7"/>
        <v>0</v>
      </c>
      <c r="J123" s="55">
        <f t="shared" si="8"/>
        <v>0</v>
      </c>
      <c r="K123" s="36"/>
    </row>
    <row r="124" spans="1:11" x14ac:dyDescent="0.25">
      <c r="A124" s="49">
        <f>'A) Base RI'!A125</f>
        <v>5604</v>
      </c>
      <c r="B124" s="286" t="str">
        <f>'A) Base RI'!B125</f>
        <v>Forel (Lavaux)</v>
      </c>
      <c r="C124" s="95">
        <f>'B) D RI'!U125</f>
        <v>75818.919130434777</v>
      </c>
      <c r="D124" s="110">
        <f>'E) PCS'!G130/C124</f>
        <v>15.163434298675051</v>
      </c>
      <c r="E124" s="136">
        <f>'H) Péréquation directe'!I134/C124</f>
        <v>5.4375365197890924</v>
      </c>
      <c r="F124" s="405"/>
      <c r="G124" s="136">
        <f t="shared" si="5"/>
        <v>20.600970818464145</v>
      </c>
      <c r="H124" s="110">
        <f t="shared" si="6"/>
        <v>20.600970818464145</v>
      </c>
      <c r="I124" s="136">
        <f t="shared" si="7"/>
        <v>0</v>
      </c>
      <c r="J124" s="55">
        <f t="shared" si="8"/>
        <v>0</v>
      </c>
      <c r="K124" s="36"/>
    </row>
    <row r="125" spans="1:11" x14ac:dyDescent="0.25">
      <c r="A125" s="49">
        <f>'A) Base RI'!A126</f>
        <v>5606</v>
      </c>
      <c r="B125" s="286" t="str">
        <f>'A) Base RI'!B126</f>
        <v>Lutry</v>
      </c>
      <c r="C125" s="95">
        <f>'B) D RI'!U126</f>
        <v>941137.19529100519</v>
      </c>
      <c r="D125" s="110">
        <f>'E) PCS'!G131/C125</f>
        <v>26.205482974713373</v>
      </c>
      <c r="E125" s="136">
        <f>'H) Péréquation directe'!I135/C125</f>
        <v>12.796296727435925</v>
      </c>
      <c r="F125" s="405"/>
      <c r="G125" s="136">
        <f t="shared" si="5"/>
        <v>39.0017797021493</v>
      </c>
      <c r="H125" s="110">
        <f t="shared" si="6"/>
        <v>39.0017797021493</v>
      </c>
      <c r="I125" s="136">
        <f t="shared" si="7"/>
        <v>0</v>
      </c>
      <c r="J125" s="55">
        <f t="shared" si="8"/>
        <v>0</v>
      </c>
      <c r="K125" s="36"/>
    </row>
    <row r="126" spans="1:11" x14ac:dyDescent="0.25">
      <c r="A126" s="49">
        <f>'A) Base RI'!A127</f>
        <v>5607</v>
      </c>
      <c r="B126" s="286" t="str">
        <f>'A) Base RI'!B127</f>
        <v>Puidoux</v>
      </c>
      <c r="C126" s="95">
        <f>'B) D RI'!U127</f>
        <v>111580.38136464616</v>
      </c>
      <c r="D126" s="110">
        <f>'E) PCS'!G132/C126</f>
        <v>17.196955708007934</v>
      </c>
      <c r="E126" s="136">
        <f>'H) Péréquation directe'!I136/C126</f>
        <v>6.6262563304350373</v>
      </c>
      <c r="F126" s="405"/>
      <c r="G126" s="136">
        <f t="shared" si="5"/>
        <v>23.823212038442971</v>
      </c>
      <c r="H126" s="110">
        <f t="shared" si="6"/>
        <v>23.823212038442971</v>
      </c>
      <c r="I126" s="136">
        <f t="shared" si="7"/>
        <v>0</v>
      </c>
      <c r="J126" s="55">
        <f t="shared" si="8"/>
        <v>0</v>
      </c>
      <c r="K126" s="36"/>
    </row>
    <row r="127" spans="1:11" x14ac:dyDescent="0.25">
      <c r="A127" s="49">
        <f>'A) Base RI'!A128</f>
        <v>5609</v>
      </c>
      <c r="B127" s="286" t="str">
        <f>'A) Base RI'!B128</f>
        <v>Rivaz</v>
      </c>
      <c r="C127" s="95">
        <f>'B) D RI'!U128</f>
        <v>14896.510161290325</v>
      </c>
      <c r="D127" s="110">
        <f>'E) PCS'!G133/C127</f>
        <v>13.470478039923284</v>
      </c>
      <c r="E127" s="136">
        <f>'H) Péréquation directe'!I137/C127</f>
        <v>14.872627073515213</v>
      </c>
      <c r="F127" s="405"/>
      <c r="G127" s="136">
        <f t="shared" si="5"/>
        <v>28.343105113438497</v>
      </c>
      <c r="H127" s="110">
        <f t="shared" si="6"/>
        <v>28.343105113438497</v>
      </c>
      <c r="I127" s="136">
        <f t="shared" si="7"/>
        <v>0</v>
      </c>
      <c r="J127" s="55">
        <f t="shared" si="8"/>
        <v>0</v>
      </c>
      <c r="K127" s="36"/>
    </row>
    <row r="128" spans="1:11" x14ac:dyDescent="0.25">
      <c r="A128" s="49">
        <f>'A) Base RI'!A129</f>
        <v>5610</v>
      </c>
      <c r="B128" s="286" t="str">
        <f>'A) Base RI'!B129</f>
        <v>St-Saphorin (Lavaux)</v>
      </c>
      <c r="C128" s="95">
        <f>'B) D RI'!U129</f>
        <v>23448.462152777778</v>
      </c>
      <c r="D128" s="110">
        <f>'E) PCS'!G134/C128</f>
        <v>27.310903252752937</v>
      </c>
      <c r="E128" s="136">
        <f>'H) Péréquation directe'!I138/C128</f>
        <v>16.705641402280406</v>
      </c>
      <c r="F128" s="405"/>
      <c r="G128" s="136">
        <f t="shared" si="5"/>
        <v>44.016544655033343</v>
      </c>
      <c r="H128" s="110">
        <f t="shared" si="6"/>
        <v>44.016544655033343</v>
      </c>
      <c r="I128" s="136">
        <f t="shared" si="7"/>
        <v>0</v>
      </c>
      <c r="J128" s="55">
        <f t="shared" si="8"/>
        <v>0</v>
      </c>
      <c r="K128" s="36"/>
    </row>
    <row r="129" spans="1:11" x14ac:dyDescent="0.25">
      <c r="A129" s="49">
        <f>'A) Base RI'!A130</f>
        <v>5611</v>
      </c>
      <c r="B129" s="286" t="str">
        <f>'A) Base RI'!B130</f>
        <v>Savigny</v>
      </c>
      <c r="C129" s="95">
        <f>'B) D RI'!U130</f>
        <v>140983.13330917869</v>
      </c>
      <c r="D129" s="110">
        <f>'E) PCS'!G135/C129</f>
        <v>15.347988108294928</v>
      </c>
      <c r="E129" s="136">
        <f>'H) Péréquation directe'!I139/C129</f>
        <v>8.6648873021374087</v>
      </c>
      <c r="F129" s="405"/>
      <c r="G129" s="136">
        <f t="shared" si="5"/>
        <v>24.012875410432336</v>
      </c>
      <c r="H129" s="110">
        <f t="shared" si="6"/>
        <v>24.012875410432336</v>
      </c>
      <c r="I129" s="136">
        <f t="shared" si="7"/>
        <v>0</v>
      </c>
      <c r="J129" s="55">
        <f t="shared" si="8"/>
        <v>0</v>
      </c>
      <c r="K129" s="36"/>
    </row>
    <row r="130" spans="1:11" x14ac:dyDescent="0.25">
      <c r="A130" s="49">
        <f>'A) Base RI'!A131</f>
        <v>5613</v>
      </c>
      <c r="B130" s="286" t="str">
        <f>'A) Base RI'!B131</f>
        <v>Bourg-en-Lavaux</v>
      </c>
      <c r="C130" s="95">
        <f>'B) D RI'!U131</f>
        <v>357210.57141333341</v>
      </c>
      <c r="D130" s="110">
        <f>'E) PCS'!G136/C130</f>
        <v>19.249182056387344</v>
      </c>
      <c r="E130" s="136">
        <f>'H) Péréquation directe'!I140/C130</f>
        <v>13.09845215126103</v>
      </c>
      <c r="F130" s="405"/>
      <c r="G130" s="136">
        <f t="shared" si="5"/>
        <v>32.347634207648376</v>
      </c>
      <c r="H130" s="110">
        <f t="shared" si="6"/>
        <v>32.347634207648376</v>
      </c>
      <c r="I130" s="136">
        <f t="shared" si="7"/>
        <v>0</v>
      </c>
      <c r="J130" s="55">
        <f t="shared" si="8"/>
        <v>0</v>
      </c>
      <c r="K130" s="36"/>
    </row>
    <row r="131" spans="1:11" x14ac:dyDescent="0.25">
      <c r="A131" s="49">
        <f>'A) Base RI'!A132</f>
        <v>5621</v>
      </c>
      <c r="B131" s="286" t="str">
        <f>'A) Base RI'!B132</f>
        <v>Aclens</v>
      </c>
      <c r="C131" s="95">
        <f>'B) D RI'!U132</f>
        <v>32271.293782991204</v>
      </c>
      <c r="D131" s="110">
        <f>'E) PCS'!G137/C131</f>
        <v>22.071015406029932</v>
      </c>
      <c r="E131" s="136">
        <f>'H) Péréquation directe'!I141/C131</f>
        <v>16.813882077260455</v>
      </c>
      <c r="F131" s="405"/>
      <c r="G131" s="136">
        <f t="shared" si="5"/>
        <v>38.884897483290388</v>
      </c>
      <c r="H131" s="110">
        <f t="shared" si="6"/>
        <v>38.884897483290388</v>
      </c>
      <c r="I131" s="136">
        <f t="shared" si="7"/>
        <v>0</v>
      </c>
      <c r="J131" s="55">
        <f t="shared" si="8"/>
        <v>0</v>
      </c>
      <c r="K131" s="36"/>
    </row>
    <row r="132" spans="1:11" x14ac:dyDescent="0.25">
      <c r="A132" s="49">
        <f>'A) Base RI'!A133</f>
        <v>5622</v>
      </c>
      <c r="B132" s="286" t="str">
        <f>'A) Base RI'!B133</f>
        <v>Bremblens</v>
      </c>
      <c r="C132" s="95">
        <f>'B) D RI'!U133</f>
        <v>28643.938676470589</v>
      </c>
      <c r="D132" s="110">
        <f>'E) PCS'!G138/C132</f>
        <v>16.167330788663158</v>
      </c>
      <c r="E132" s="136">
        <f>'H) Péréquation directe'!I142/C132</f>
        <v>15.684727041216146</v>
      </c>
      <c r="F132" s="405"/>
      <c r="G132" s="136">
        <f t="shared" si="5"/>
        <v>31.852057829879303</v>
      </c>
      <c r="H132" s="110">
        <f t="shared" si="6"/>
        <v>31.852057829879303</v>
      </c>
      <c r="I132" s="136">
        <f t="shared" si="7"/>
        <v>0</v>
      </c>
      <c r="J132" s="55">
        <f t="shared" si="8"/>
        <v>0</v>
      </c>
      <c r="K132" s="36"/>
    </row>
    <row r="133" spans="1:11" x14ac:dyDescent="0.25">
      <c r="A133" s="49">
        <f>'A) Base RI'!A134</f>
        <v>5623</v>
      </c>
      <c r="B133" s="286" t="str">
        <f>'A) Base RI'!B134</f>
        <v>Buchillon</v>
      </c>
      <c r="C133" s="95">
        <f>'B) D RI'!U134</f>
        <v>89231.951153846152</v>
      </c>
      <c r="D133" s="110">
        <f>'E) PCS'!G139/C133</f>
        <v>26.807896968569899</v>
      </c>
      <c r="E133" s="136">
        <f>'H) Péréquation directe'!I143/C133</f>
        <v>17.87712786395911</v>
      </c>
      <c r="F133" s="405"/>
      <c r="G133" s="136">
        <f t="shared" si="5"/>
        <v>44.68502483252901</v>
      </c>
      <c r="H133" s="110">
        <f t="shared" si="6"/>
        <v>44.68502483252901</v>
      </c>
      <c r="I133" s="136">
        <f t="shared" si="7"/>
        <v>0</v>
      </c>
      <c r="J133" s="55">
        <f t="shared" si="8"/>
        <v>0</v>
      </c>
      <c r="K133" s="36"/>
    </row>
    <row r="134" spans="1:11" x14ac:dyDescent="0.25">
      <c r="A134" s="49">
        <f>'A) Base RI'!A135</f>
        <v>5624</v>
      </c>
      <c r="B134" s="286" t="str">
        <f>'A) Base RI'!B135</f>
        <v>Bussigny</v>
      </c>
      <c r="C134" s="95">
        <f>'B) D RI'!U135</f>
        <v>441939.99008000002</v>
      </c>
      <c r="D134" s="110">
        <f>'E) PCS'!G140/C134</f>
        <v>17.4284851267319</v>
      </c>
      <c r="E134" s="136">
        <f>'H) Péréquation directe'!I144/C134</f>
        <v>4.9386697025954422</v>
      </c>
      <c r="F134" s="405"/>
      <c r="G134" s="136">
        <f t="shared" ref="G134:G197" si="9">SUM(D134:F134)</f>
        <v>22.36715482932734</v>
      </c>
      <c r="H134" s="110">
        <f t="shared" ref="H134:H197" si="10">G134-F134</f>
        <v>22.36715482932734</v>
      </c>
      <c r="I134" s="136">
        <f t="shared" ref="I134:I197" si="11">IF(H134&lt;I$5,H134-I$5,0)</f>
        <v>0</v>
      </c>
      <c r="J134" s="55">
        <f t="shared" ref="J134:J197" si="12">-I134*C134</f>
        <v>0</v>
      </c>
      <c r="K134" s="36"/>
    </row>
    <row r="135" spans="1:11" x14ac:dyDescent="0.25">
      <c r="A135" s="49">
        <f>'A) Base RI'!A136</f>
        <v>5625</v>
      </c>
      <c r="B135" s="286" t="str">
        <f>'A) Base RI'!B136</f>
        <v>Bussy-Chardonney</v>
      </c>
      <c r="C135" s="95">
        <f>'B) D RI'!U136</f>
        <v>21108.495740740738</v>
      </c>
      <c r="D135" s="110">
        <f>'E) PCS'!G141/C135</f>
        <v>13.580750542407975</v>
      </c>
      <c r="E135" s="136">
        <f>'H) Péréquation directe'!I145/C135</f>
        <v>16.377539599938149</v>
      </c>
      <c r="F135" s="405"/>
      <c r="G135" s="136">
        <f t="shared" si="9"/>
        <v>29.958290142346122</v>
      </c>
      <c r="H135" s="110">
        <f t="shared" si="10"/>
        <v>29.958290142346122</v>
      </c>
      <c r="I135" s="136">
        <f t="shared" si="11"/>
        <v>0</v>
      </c>
      <c r="J135" s="55">
        <f t="shared" si="12"/>
        <v>0</v>
      </c>
      <c r="K135" s="36"/>
    </row>
    <row r="136" spans="1:11" x14ac:dyDescent="0.25">
      <c r="A136" s="49">
        <f>'A) Base RI'!A137</f>
        <v>5627</v>
      </c>
      <c r="B136" s="286" t="str">
        <f>'A) Base RI'!B137</f>
        <v>Chavannes-près-Renens</v>
      </c>
      <c r="C136" s="95">
        <f>'B) D RI'!U137</f>
        <v>194072.91458064516</v>
      </c>
      <c r="D136" s="110">
        <f>'E) PCS'!G142/C136</f>
        <v>17.680010940914745</v>
      </c>
      <c r="E136" s="136">
        <f>'H) Péréquation directe'!I146/C136</f>
        <v>-30.704908398319542</v>
      </c>
      <c r="F136" s="405"/>
      <c r="G136" s="136">
        <f t="shared" si="9"/>
        <v>-13.024897457404798</v>
      </c>
      <c r="H136" s="110">
        <f t="shared" si="10"/>
        <v>-13.024897457404798</v>
      </c>
      <c r="I136" s="136">
        <f t="shared" si="11"/>
        <v>-5.0248974574047978</v>
      </c>
      <c r="J136" s="55">
        <f t="shared" si="12"/>
        <v>975196.49502742232</v>
      </c>
      <c r="K136" s="36"/>
    </row>
    <row r="137" spans="1:11" x14ac:dyDescent="0.25">
      <c r="A137" s="49">
        <f>'A) Base RI'!A138</f>
        <v>5628</v>
      </c>
      <c r="B137" s="286" t="str">
        <f>'A) Base RI'!B138</f>
        <v>Chigny</v>
      </c>
      <c r="C137" s="95">
        <f>'B) D RI'!U138</f>
        <v>25790.901129032256</v>
      </c>
      <c r="D137" s="110">
        <f>'E) PCS'!G143/C137</f>
        <v>16.76064648446247</v>
      </c>
      <c r="E137" s="136">
        <f>'H) Péréquation directe'!I147/C137</f>
        <v>16.853454474674859</v>
      </c>
      <c r="F137" s="405"/>
      <c r="G137" s="136">
        <f t="shared" si="9"/>
        <v>33.614100959137332</v>
      </c>
      <c r="H137" s="110">
        <f t="shared" si="10"/>
        <v>33.614100959137332</v>
      </c>
      <c r="I137" s="136">
        <f t="shared" si="11"/>
        <v>0</v>
      </c>
      <c r="J137" s="55">
        <f t="shared" si="12"/>
        <v>0</v>
      </c>
      <c r="K137" s="36"/>
    </row>
    <row r="138" spans="1:11" x14ac:dyDescent="0.25">
      <c r="A138" s="49">
        <f>'A) Base RI'!A139</f>
        <v>5629</v>
      </c>
      <c r="B138" s="286" t="str">
        <f>'A) Base RI'!B139</f>
        <v>Clarmont</v>
      </c>
      <c r="C138" s="95">
        <f>'B) D RI'!U139</f>
        <v>9948.0614965986406</v>
      </c>
      <c r="D138" s="110">
        <f>'E) PCS'!G144/C138</f>
        <v>13.554006243689892</v>
      </c>
      <c r="E138" s="136">
        <f>'H) Péréquation directe'!I148/C138</f>
        <v>15.581078276316676</v>
      </c>
      <c r="F138" s="405"/>
      <c r="G138" s="136">
        <f t="shared" si="9"/>
        <v>29.135084520006568</v>
      </c>
      <c r="H138" s="110">
        <f t="shared" si="10"/>
        <v>29.135084520006568</v>
      </c>
      <c r="I138" s="136">
        <f t="shared" si="11"/>
        <v>0</v>
      </c>
      <c r="J138" s="55">
        <f t="shared" si="12"/>
        <v>0</v>
      </c>
      <c r="K138" s="36"/>
    </row>
    <row r="139" spans="1:11" x14ac:dyDescent="0.25">
      <c r="A139" s="49">
        <f>'A) Base RI'!A140</f>
        <v>5631</v>
      </c>
      <c r="B139" s="286" t="str">
        <f>'A) Base RI'!B140</f>
        <v>Denens</v>
      </c>
      <c r="C139" s="95">
        <f>'B) D RI'!U140</f>
        <v>43290.229264705871</v>
      </c>
      <c r="D139" s="110">
        <f>'E) PCS'!G145/C139</f>
        <v>20.998020688028447</v>
      </c>
      <c r="E139" s="136">
        <f>'H) Péréquation directe'!I149/C139</f>
        <v>16.70013673333575</v>
      </c>
      <c r="F139" s="405"/>
      <c r="G139" s="136">
        <f t="shared" si="9"/>
        <v>37.698157421364201</v>
      </c>
      <c r="H139" s="110">
        <f t="shared" si="10"/>
        <v>37.698157421364201</v>
      </c>
      <c r="I139" s="136">
        <f t="shared" si="11"/>
        <v>0</v>
      </c>
      <c r="J139" s="55">
        <f t="shared" si="12"/>
        <v>0</v>
      </c>
      <c r="K139" s="36"/>
    </row>
    <row r="140" spans="1:11" x14ac:dyDescent="0.25">
      <c r="A140" s="49">
        <f>'A) Base RI'!A141</f>
        <v>5632</v>
      </c>
      <c r="B140" s="286" t="str">
        <f>'A) Base RI'!B141</f>
        <v>Denges</v>
      </c>
      <c r="C140" s="95">
        <f>'B) D RI'!U141</f>
        <v>80521.21435483871</v>
      </c>
      <c r="D140" s="110">
        <f>'E) PCS'!G146/C140</f>
        <v>15.152202586712884</v>
      </c>
      <c r="E140" s="136">
        <f>'H) Péréquation directe'!I150/C140</f>
        <v>13.285313202547684</v>
      </c>
      <c r="F140" s="405"/>
      <c r="G140" s="136">
        <f t="shared" si="9"/>
        <v>28.437515789260566</v>
      </c>
      <c r="H140" s="110">
        <f t="shared" si="10"/>
        <v>28.437515789260566</v>
      </c>
      <c r="I140" s="136">
        <f t="shared" si="11"/>
        <v>0</v>
      </c>
      <c r="J140" s="55">
        <f t="shared" si="12"/>
        <v>0</v>
      </c>
      <c r="K140" s="36"/>
    </row>
    <row r="141" spans="1:11" x14ac:dyDescent="0.25">
      <c r="A141" s="49">
        <f>'A) Base RI'!A142</f>
        <v>5633</v>
      </c>
      <c r="B141" s="286" t="str">
        <f>'A) Base RI'!B142</f>
        <v>Echandens</v>
      </c>
      <c r="C141" s="95">
        <f>'B) D RI'!U142</f>
        <v>170287.16859504132</v>
      </c>
      <c r="D141" s="110">
        <f>'E) PCS'!G147/C141</f>
        <v>16.973418605885243</v>
      </c>
      <c r="E141" s="136">
        <f>'H) Péréquation directe'!I151/C141</f>
        <v>14.438920866282775</v>
      </c>
      <c r="F141" s="405"/>
      <c r="G141" s="136">
        <f t="shared" si="9"/>
        <v>31.412339472168018</v>
      </c>
      <c r="H141" s="110">
        <f t="shared" si="10"/>
        <v>31.412339472168018</v>
      </c>
      <c r="I141" s="136">
        <f t="shared" si="11"/>
        <v>0</v>
      </c>
      <c r="J141" s="55">
        <f t="shared" si="12"/>
        <v>0</v>
      </c>
      <c r="K141" s="36"/>
    </row>
    <row r="142" spans="1:11" x14ac:dyDescent="0.25">
      <c r="A142" s="49">
        <f>'A) Base RI'!A143</f>
        <v>5634</v>
      </c>
      <c r="B142" s="286" t="str">
        <f>'A) Base RI'!B143</f>
        <v>Echichens</v>
      </c>
      <c r="C142" s="95">
        <f>'B) D RI'!U143</f>
        <v>152568.89227272727</v>
      </c>
      <c r="D142" s="110">
        <f>'E) PCS'!G148/C142</f>
        <v>15.778345246336775</v>
      </c>
      <c r="E142" s="136">
        <f>'H) Péréquation directe'!I152/C142</f>
        <v>12.951466141447812</v>
      </c>
      <c r="F142" s="405"/>
      <c r="G142" s="136">
        <f t="shared" si="9"/>
        <v>28.729811387784586</v>
      </c>
      <c r="H142" s="110">
        <f t="shared" si="10"/>
        <v>28.729811387784586</v>
      </c>
      <c r="I142" s="136">
        <f t="shared" si="11"/>
        <v>0</v>
      </c>
      <c r="J142" s="55">
        <f t="shared" si="12"/>
        <v>0</v>
      </c>
      <c r="K142" s="36"/>
    </row>
    <row r="143" spans="1:11" x14ac:dyDescent="0.25">
      <c r="A143" s="49">
        <f>'A) Base RI'!A144</f>
        <v>5635</v>
      </c>
      <c r="B143" s="286" t="str">
        <f>'A) Base RI'!B144</f>
        <v>Ecublens</v>
      </c>
      <c r="C143" s="95">
        <f>'B) D RI'!U144</f>
        <v>872367.07997333352</v>
      </c>
      <c r="D143" s="110">
        <f>'E) PCS'!G149/C143</f>
        <v>18.697282831165673</v>
      </c>
      <c r="E143" s="136">
        <f>'H) Péréquation directe'!I153/C143</f>
        <v>9.6729906414321025</v>
      </c>
      <c r="F143" s="405"/>
      <c r="G143" s="136">
        <f t="shared" si="9"/>
        <v>28.370273472597773</v>
      </c>
      <c r="H143" s="110">
        <f t="shared" si="10"/>
        <v>28.370273472597773</v>
      </c>
      <c r="I143" s="136">
        <f t="shared" si="11"/>
        <v>0</v>
      </c>
      <c r="J143" s="55">
        <f t="shared" si="12"/>
        <v>0</v>
      </c>
      <c r="K143" s="36"/>
    </row>
    <row r="144" spans="1:11" x14ac:dyDescent="0.25">
      <c r="A144" s="49">
        <f>'A) Base RI'!A145</f>
        <v>5636</v>
      </c>
      <c r="B144" s="286" t="str">
        <f>'A) Base RI'!B145</f>
        <v>Etoy</v>
      </c>
      <c r="C144" s="95">
        <f>'B) D RI'!U145</f>
        <v>187063.54000000004</v>
      </c>
      <c r="D144" s="110">
        <f>'E) PCS'!G150/C144</f>
        <v>21.622747657293207</v>
      </c>
      <c r="E144" s="136">
        <f>'H) Péréquation directe'!I154/C144</f>
        <v>14.564129253184877</v>
      </c>
      <c r="F144" s="405"/>
      <c r="G144" s="136">
        <f t="shared" si="9"/>
        <v>36.186876910478084</v>
      </c>
      <c r="H144" s="110">
        <f t="shared" si="10"/>
        <v>36.186876910478084</v>
      </c>
      <c r="I144" s="136">
        <f t="shared" si="11"/>
        <v>0</v>
      </c>
      <c r="J144" s="55">
        <f t="shared" si="12"/>
        <v>0</v>
      </c>
      <c r="K144" s="36"/>
    </row>
    <row r="145" spans="1:11" x14ac:dyDescent="0.25">
      <c r="A145" s="49">
        <f>'A) Base RI'!A146</f>
        <v>5637</v>
      </c>
      <c r="B145" s="286" t="str">
        <f>'A) Base RI'!B146</f>
        <v>Lavigny</v>
      </c>
      <c r="C145" s="95">
        <f>'B) D RI'!U146</f>
        <v>37900.997397260275</v>
      </c>
      <c r="D145" s="110">
        <f>'E) PCS'!G151/C145</f>
        <v>18.624151033660191</v>
      </c>
      <c r="E145" s="136">
        <f>'H) Péréquation directe'!I155/C145</f>
        <v>8.6591194172133861</v>
      </c>
      <c r="F145" s="405"/>
      <c r="G145" s="136">
        <f t="shared" si="9"/>
        <v>27.283270450873577</v>
      </c>
      <c r="H145" s="110">
        <f t="shared" si="10"/>
        <v>27.283270450873577</v>
      </c>
      <c r="I145" s="136">
        <f t="shared" si="11"/>
        <v>0</v>
      </c>
      <c r="J145" s="55">
        <f t="shared" si="12"/>
        <v>0</v>
      </c>
      <c r="K145" s="36"/>
    </row>
    <row r="146" spans="1:11" x14ac:dyDescent="0.25">
      <c r="A146" s="49">
        <f>'A) Base RI'!A147</f>
        <v>5638</v>
      </c>
      <c r="B146" s="286" t="str">
        <f>'A) Base RI'!B147</f>
        <v>Lonay</v>
      </c>
      <c r="C146" s="95">
        <f>'B) D RI'!U147</f>
        <v>174154.93872727267</v>
      </c>
      <c r="D146" s="110">
        <f>'E) PCS'!G152/C146</f>
        <v>39.48959968116808</v>
      </c>
      <c r="E146" s="136">
        <f>'H) Péréquation directe'!I156/C146</f>
        <v>14.584186547571729</v>
      </c>
      <c r="F146" s="405"/>
      <c r="G146" s="136">
        <f t="shared" si="9"/>
        <v>54.073786228739806</v>
      </c>
      <c r="H146" s="110">
        <f t="shared" si="10"/>
        <v>54.073786228739806</v>
      </c>
      <c r="I146" s="136">
        <f t="shared" si="11"/>
        <v>0</v>
      </c>
      <c r="J146" s="55">
        <f t="shared" si="12"/>
        <v>0</v>
      </c>
      <c r="K146" s="36"/>
    </row>
    <row r="147" spans="1:11" x14ac:dyDescent="0.25">
      <c r="A147" s="49">
        <f>'A) Base RI'!A148</f>
        <v>5639</v>
      </c>
      <c r="B147" s="286" t="str">
        <f>'A) Base RI'!B148</f>
        <v>Lully</v>
      </c>
      <c r="C147" s="95">
        <f>'B) D RI'!U148</f>
        <v>53711.269344262299</v>
      </c>
      <c r="D147" s="110">
        <f>'E) PCS'!G153/C147</f>
        <v>17.720262833986368</v>
      </c>
      <c r="E147" s="136">
        <f>'H) Péréquation directe'!I157/C147</f>
        <v>16.88931382256408</v>
      </c>
      <c r="F147" s="405"/>
      <c r="G147" s="136">
        <f t="shared" si="9"/>
        <v>34.609576656550445</v>
      </c>
      <c r="H147" s="110">
        <f t="shared" si="10"/>
        <v>34.609576656550445</v>
      </c>
      <c r="I147" s="136">
        <f t="shared" si="11"/>
        <v>0</v>
      </c>
      <c r="J147" s="55">
        <f t="shared" si="12"/>
        <v>0</v>
      </c>
      <c r="K147" s="36"/>
    </row>
    <row r="148" spans="1:11" x14ac:dyDescent="0.25">
      <c r="A148" s="49">
        <f>'A) Base RI'!A149</f>
        <v>5640</v>
      </c>
      <c r="B148" s="286" t="str">
        <f>'A) Base RI'!B149</f>
        <v>Lussy-sur-Morges</v>
      </c>
      <c r="C148" s="95">
        <f>'B) D RI'!U149</f>
        <v>70527.814108527149</v>
      </c>
      <c r="D148" s="110">
        <f>'E) PCS'!G154/C148</f>
        <v>27.905953452009541</v>
      </c>
      <c r="E148" s="136">
        <f>'H) Péréquation directe'!I158/C148</f>
        <v>17.50350614354744</v>
      </c>
      <c r="F148" s="405"/>
      <c r="G148" s="136">
        <f t="shared" si="9"/>
        <v>45.409459595556982</v>
      </c>
      <c r="H148" s="110">
        <f t="shared" si="10"/>
        <v>45.409459595556982</v>
      </c>
      <c r="I148" s="136">
        <f t="shared" si="11"/>
        <v>0</v>
      </c>
      <c r="J148" s="55">
        <f t="shared" si="12"/>
        <v>0</v>
      </c>
      <c r="K148" s="36"/>
    </row>
    <row r="149" spans="1:11" x14ac:dyDescent="0.25">
      <c r="A149" s="49">
        <f>'A) Base RI'!A150</f>
        <v>5642</v>
      </c>
      <c r="B149" s="286" t="str">
        <f>'A) Base RI'!B150</f>
        <v>Morges</v>
      </c>
      <c r="C149" s="95">
        <f>'B) D RI'!U150</f>
        <v>999726.82119402988</v>
      </c>
      <c r="D149" s="110">
        <f>'E) PCS'!G155/C149</f>
        <v>17.886433142033699</v>
      </c>
      <c r="E149" s="136">
        <f>'H) Péréquation directe'!I159/C149</f>
        <v>7.0786015078014932</v>
      </c>
      <c r="F149" s="405"/>
      <c r="G149" s="136">
        <f t="shared" si="9"/>
        <v>24.965034649835193</v>
      </c>
      <c r="H149" s="110">
        <f t="shared" si="10"/>
        <v>24.965034649835193</v>
      </c>
      <c r="I149" s="136">
        <f t="shared" si="11"/>
        <v>0</v>
      </c>
      <c r="J149" s="55">
        <f t="shared" si="12"/>
        <v>0</v>
      </c>
      <c r="K149" s="36"/>
    </row>
    <row r="150" spans="1:11" x14ac:dyDescent="0.25">
      <c r="A150" s="49">
        <f>'A) Base RI'!A151</f>
        <v>5643</v>
      </c>
      <c r="B150" s="286" t="str">
        <f>'A) Base RI'!B151</f>
        <v>Préverenges</v>
      </c>
      <c r="C150" s="95">
        <f>'B) D RI'!U151</f>
        <v>257752.82112000001</v>
      </c>
      <c r="D150" s="110">
        <f>'E) PCS'!G156/C150</f>
        <v>14.406781417366787</v>
      </c>
      <c r="E150" s="136">
        <f>'H) Péréquation directe'!I160/C150</f>
        <v>11.263015403508717</v>
      </c>
      <c r="F150" s="405"/>
      <c r="G150" s="136">
        <f t="shared" si="9"/>
        <v>25.669796820875504</v>
      </c>
      <c r="H150" s="110">
        <f t="shared" si="10"/>
        <v>25.669796820875504</v>
      </c>
      <c r="I150" s="136">
        <f t="shared" si="11"/>
        <v>0</v>
      </c>
      <c r="J150" s="55">
        <f t="shared" si="12"/>
        <v>0</v>
      </c>
      <c r="K150" s="36"/>
    </row>
    <row r="151" spans="1:11" x14ac:dyDescent="0.25">
      <c r="A151" s="49">
        <f>'A) Base RI'!A152</f>
        <v>5644</v>
      </c>
      <c r="B151" s="286" t="str">
        <f>'A) Base RI'!B152</f>
        <v>Reverolle</v>
      </c>
      <c r="C151" s="95">
        <f>'B) D RI'!U152</f>
        <v>16363.457972972968</v>
      </c>
      <c r="D151" s="110">
        <f>'E) PCS'!G157/C151</f>
        <v>13.513809052458793</v>
      </c>
      <c r="E151" s="136">
        <f>'H) Péréquation directe'!I161/C151</f>
        <v>11.52402027879182</v>
      </c>
      <c r="F151" s="405"/>
      <c r="G151" s="136">
        <f t="shared" si="9"/>
        <v>25.037829331250613</v>
      </c>
      <c r="H151" s="110">
        <f t="shared" si="10"/>
        <v>25.037829331250613</v>
      </c>
      <c r="I151" s="136">
        <f t="shared" si="11"/>
        <v>0</v>
      </c>
      <c r="J151" s="55">
        <f t="shared" si="12"/>
        <v>0</v>
      </c>
      <c r="K151" s="36"/>
    </row>
    <row r="152" spans="1:11" x14ac:dyDescent="0.25">
      <c r="A152" s="49">
        <f>'A) Base RI'!A153</f>
        <v>5645</v>
      </c>
      <c r="B152" s="286" t="str">
        <f>'A) Base RI'!B153</f>
        <v>Romanel-sur-Morges</v>
      </c>
      <c r="C152" s="95">
        <f>'B) D RI'!U153</f>
        <v>26586.021785714285</v>
      </c>
      <c r="D152" s="110">
        <f>'E) PCS'!G158/C152</f>
        <v>18.151426346175636</v>
      </c>
      <c r="E152" s="136">
        <f>'H) Péréquation directe'!I162/C152</f>
        <v>16.625813996906057</v>
      </c>
      <c r="F152" s="405"/>
      <c r="G152" s="136">
        <f t="shared" si="9"/>
        <v>34.777240343081694</v>
      </c>
      <c r="H152" s="110">
        <f t="shared" si="10"/>
        <v>34.777240343081694</v>
      </c>
      <c r="I152" s="136">
        <f t="shared" si="11"/>
        <v>0</v>
      </c>
      <c r="J152" s="55">
        <f t="shared" si="12"/>
        <v>0</v>
      </c>
      <c r="K152" s="36"/>
    </row>
    <row r="153" spans="1:11" x14ac:dyDescent="0.25">
      <c r="A153" s="49">
        <f>'A) Base RI'!A154</f>
        <v>5646</v>
      </c>
      <c r="B153" s="286" t="str">
        <f>'A) Base RI'!B154</f>
        <v>Saint-Prex</v>
      </c>
      <c r="C153" s="95">
        <f>'B) D RI'!U154</f>
        <v>527982.74983050849</v>
      </c>
      <c r="D153" s="110">
        <f>'E) PCS'!G159/C153</f>
        <v>24.508811886188578</v>
      </c>
      <c r="E153" s="136">
        <f>'H) Péréquation directe'!I163/C153</f>
        <v>14.380666109423871</v>
      </c>
      <c r="F153" s="405"/>
      <c r="G153" s="136">
        <f t="shared" si="9"/>
        <v>38.889477995612452</v>
      </c>
      <c r="H153" s="110">
        <f t="shared" si="10"/>
        <v>38.889477995612452</v>
      </c>
      <c r="I153" s="136">
        <f t="shared" si="11"/>
        <v>0</v>
      </c>
      <c r="J153" s="55">
        <f t="shared" si="12"/>
        <v>0</v>
      </c>
      <c r="K153" s="36"/>
    </row>
    <row r="154" spans="1:11" x14ac:dyDescent="0.25">
      <c r="A154" s="49">
        <f>'A) Base RI'!A155</f>
        <v>5648</v>
      </c>
      <c r="B154" s="286" t="str">
        <f>'A) Base RI'!B155</f>
        <v>Saint-Sulpice</v>
      </c>
      <c r="C154" s="95">
        <f>'B) D RI'!U155</f>
        <v>394426.68886363629</v>
      </c>
      <c r="D154" s="110">
        <f>'E) PCS'!G160/C154</f>
        <v>22.351472357095755</v>
      </c>
      <c r="E154" s="136">
        <f>'H) Péréquation directe'!I164/C154</f>
        <v>14.280775106836373</v>
      </c>
      <c r="F154" s="405"/>
      <c r="G154" s="136">
        <f t="shared" si="9"/>
        <v>36.632247463932131</v>
      </c>
      <c r="H154" s="110">
        <f t="shared" si="10"/>
        <v>36.632247463932131</v>
      </c>
      <c r="I154" s="136">
        <f t="shared" si="11"/>
        <v>0</v>
      </c>
      <c r="J154" s="55">
        <f t="shared" si="12"/>
        <v>0</v>
      </c>
      <c r="K154" s="36"/>
    </row>
    <row r="155" spans="1:11" x14ac:dyDescent="0.25">
      <c r="A155" s="49">
        <f>'A) Base RI'!A156</f>
        <v>5649</v>
      </c>
      <c r="B155" s="286" t="str">
        <f>'A) Base RI'!B156</f>
        <v>Tolochenaz</v>
      </c>
      <c r="C155" s="95">
        <f>'B) D RI'!U156</f>
        <v>155778.42171874997</v>
      </c>
      <c r="D155" s="110">
        <f>'E) PCS'!G161/C155</f>
        <v>22.373684573110467</v>
      </c>
      <c r="E155" s="136">
        <f>'H) Péréquation directe'!I165/C155</f>
        <v>16.024956624262678</v>
      </c>
      <c r="F155" s="405"/>
      <c r="G155" s="136">
        <f t="shared" si="9"/>
        <v>38.398641197373145</v>
      </c>
      <c r="H155" s="110">
        <f t="shared" si="10"/>
        <v>38.398641197373145</v>
      </c>
      <c r="I155" s="136">
        <f t="shared" si="11"/>
        <v>0</v>
      </c>
      <c r="J155" s="55">
        <f t="shared" si="12"/>
        <v>0</v>
      </c>
      <c r="K155" s="36"/>
    </row>
    <row r="156" spans="1:11" x14ac:dyDescent="0.25">
      <c r="A156" s="49">
        <f>'A) Base RI'!A157</f>
        <v>5650</v>
      </c>
      <c r="B156" s="286" t="str">
        <f>'A) Base RI'!B157</f>
        <v>Vaux-sur-Morges</v>
      </c>
      <c r="C156" s="95">
        <f>'B) D RI'!U157</f>
        <v>83125.71642857141</v>
      </c>
      <c r="D156" s="110">
        <f>'E) PCS'!G162/C156</f>
        <v>47.193153871947295</v>
      </c>
      <c r="E156" s="136">
        <f>'H) Péréquation directe'!I166/C156</f>
        <v>18.518265257115612</v>
      </c>
      <c r="F156" s="405"/>
      <c r="G156" s="136">
        <f t="shared" si="9"/>
        <v>65.711419129062904</v>
      </c>
      <c r="H156" s="110">
        <f t="shared" si="10"/>
        <v>65.711419129062904</v>
      </c>
      <c r="I156" s="136">
        <f t="shared" si="11"/>
        <v>0</v>
      </c>
      <c r="J156" s="55">
        <f t="shared" si="12"/>
        <v>0</v>
      </c>
      <c r="K156" s="36"/>
    </row>
    <row r="157" spans="1:11" x14ac:dyDescent="0.25">
      <c r="A157" s="49">
        <f>'A) Base RI'!A158</f>
        <v>5651</v>
      </c>
      <c r="B157" s="286" t="str">
        <f>'A) Base RI'!B158</f>
        <v>Villars-Sainte-Croix</v>
      </c>
      <c r="C157" s="95">
        <f>'B) D RI'!U158</f>
        <v>57697.031735537188</v>
      </c>
      <c r="D157" s="110">
        <f>'E) PCS'!G163/C157</f>
        <v>17.302730017727754</v>
      </c>
      <c r="E157" s="136">
        <f>'H) Péréquation directe'!I167/C157</f>
        <v>16.741085864061731</v>
      </c>
      <c r="F157" s="405"/>
      <c r="G157" s="136">
        <f t="shared" si="9"/>
        <v>34.043815881789484</v>
      </c>
      <c r="H157" s="110">
        <f t="shared" si="10"/>
        <v>34.043815881789484</v>
      </c>
      <c r="I157" s="136">
        <f t="shared" si="11"/>
        <v>0</v>
      </c>
      <c r="J157" s="55">
        <f t="shared" si="12"/>
        <v>0</v>
      </c>
      <c r="K157" s="36"/>
    </row>
    <row r="158" spans="1:11" x14ac:dyDescent="0.25">
      <c r="A158" s="49">
        <f>'A) Base RI'!A159</f>
        <v>5652</v>
      </c>
      <c r="B158" s="286" t="str">
        <f>'A) Base RI'!B159</f>
        <v>Villars-sous-Yens</v>
      </c>
      <c r="C158" s="95">
        <f>'B) D RI'!U159</f>
        <v>25902.630833333329</v>
      </c>
      <c r="D158" s="110">
        <f>'E) PCS'!G164/C158</f>
        <v>13.37021805101576</v>
      </c>
      <c r="E158" s="136">
        <f>'H) Péréquation directe'!I168/C158</f>
        <v>11.865470793962155</v>
      </c>
      <c r="F158" s="405"/>
      <c r="G158" s="136">
        <f t="shared" si="9"/>
        <v>25.235688844977915</v>
      </c>
      <c r="H158" s="110">
        <f t="shared" si="10"/>
        <v>25.235688844977915</v>
      </c>
      <c r="I158" s="136">
        <f t="shared" si="11"/>
        <v>0</v>
      </c>
      <c r="J158" s="55">
        <f t="shared" si="12"/>
        <v>0</v>
      </c>
      <c r="K158" s="36"/>
    </row>
    <row r="159" spans="1:11" x14ac:dyDescent="0.25">
      <c r="A159" s="49">
        <f>'A) Base RI'!A160</f>
        <v>5653</v>
      </c>
      <c r="B159" s="286" t="str">
        <f>'A) Base RI'!B160</f>
        <v>Vufflens-le-Château</v>
      </c>
      <c r="C159" s="95">
        <f>'B) D RI'!U160</f>
        <v>67496.149401709394</v>
      </c>
      <c r="D159" s="110">
        <f>'E) PCS'!G165/C159</f>
        <v>20.426649033306742</v>
      </c>
      <c r="E159" s="136">
        <f>'H) Péréquation directe'!I169/C159</f>
        <v>17.160087816365575</v>
      </c>
      <c r="F159" s="405"/>
      <c r="G159" s="136">
        <f t="shared" si="9"/>
        <v>37.58673684967232</v>
      </c>
      <c r="H159" s="110">
        <f t="shared" si="10"/>
        <v>37.58673684967232</v>
      </c>
      <c r="I159" s="136">
        <f t="shared" si="11"/>
        <v>0</v>
      </c>
      <c r="J159" s="55">
        <f t="shared" si="12"/>
        <v>0</v>
      </c>
      <c r="K159" s="36"/>
    </row>
    <row r="160" spans="1:11" x14ac:dyDescent="0.25">
      <c r="A160" s="49">
        <f>'A) Base RI'!A161</f>
        <v>5654</v>
      </c>
      <c r="B160" s="286" t="str">
        <f>'A) Base RI'!B161</f>
        <v>Vullierens</v>
      </c>
      <c r="C160" s="95">
        <f>'B) D RI'!U161</f>
        <v>20665.692500000001</v>
      </c>
      <c r="D160" s="110">
        <f>'E) PCS'!G166/C160</f>
        <v>16.378333817322929</v>
      </c>
      <c r="E160" s="136">
        <f>'H) Péréquation directe'!I170/C160</f>
        <v>8.2234755940272954</v>
      </c>
      <c r="F160" s="405"/>
      <c r="G160" s="136">
        <f t="shared" si="9"/>
        <v>24.601809411350224</v>
      </c>
      <c r="H160" s="110">
        <f t="shared" si="10"/>
        <v>24.601809411350224</v>
      </c>
      <c r="I160" s="136">
        <f t="shared" si="11"/>
        <v>0</v>
      </c>
      <c r="J160" s="55">
        <f t="shared" si="12"/>
        <v>0</v>
      </c>
      <c r="K160" s="36"/>
    </row>
    <row r="161" spans="1:11" x14ac:dyDescent="0.25">
      <c r="A161" s="49">
        <f>'A) Base RI'!A162</f>
        <v>5655</v>
      </c>
      <c r="B161" s="286" t="str">
        <f>'A) Base RI'!B162</f>
        <v>Yens</v>
      </c>
      <c r="C161" s="95">
        <f>'B) D RI'!U162</f>
        <v>73454.856083916078</v>
      </c>
      <c r="D161" s="110">
        <f>'E) PCS'!G167/C161</f>
        <v>13.432350813701047</v>
      </c>
      <c r="E161" s="136">
        <f>'H) Péréquation directe'!I171/C161</f>
        <v>14.741238219639367</v>
      </c>
      <c r="F161" s="405"/>
      <c r="G161" s="136">
        <f t="shared" si="9"/>
        <v>28.173589033340413</v>
      </c>
      <c r="H161" s="110">
        <f t="shared" si="10"/>
        <v>28.173589033340413</v>
      </c>
      <c r="I161" s="136">
        <f t="shared" si="11"/>
        <v>0</v>
      </c>
      <c r="J161" s="55">
        <f t="shared" si="12"/>
        <v>0</v>
      </c>
      <c r="K161" s="36"/>
    </row>
    <row r="162" spans="1:11" x14ac:dyDescent="0.25">
      <c r="A162" s="49">
        <f>'A) Base RI'!A163</f>
        <v>5661</v>
      </c>
      <c r="B162" s="286" t="str">
        <f>'A) Base RI'!B163</f>
        <v>Boulens</v>
      </c>
      <c r="C162" s="95">
        <f>'B) D RI'!U163</f>
        <v>11226.588951048951</v>
      </c>
      <c r="D162" s="110">
        <f>'E) PCS'!G168/C162</f>
        <v>14.838695796724908</v>
      </c>
      <c r="E162" s="136">
        <f>'H) Péréquation directe'!I172/C162</f>
        <v>2.4236463346543089</v>
      </c>
      <c r="F162" s="405"/>
      <c r="G162" s="136">
        <f t="shared" si="9"/>
        <v>17.262342131379217</v>
      </c>
      <c r="H162" s="110">
        <f t="shared" si="10"/>
        <v>17.262342131379217</v>
      </c>
      <c r="I162" s="136">
        <f t="shared" si="11"/>
        <v>0</v>
      </c>
      <c r="J162" s="55">
        <f t="shared" si="12"/>
        <v>0</v>
      </c>
      <c r="K162" s="36"/>
    </row>
    <row r="163" spans="1:11" x14ac:dyDescent="0.25">
      <c r="A163" s="49">
        <f>'A) Base RI'!A164</f>
        <v>5663</v>
      </c>
      <c r="B163" s="286" t="str">
        <f>'A) Base RI'!B164</f>
        <v>Bussy-sur-Moudon</v>
      </c>
      <c r="C163" s="95">
        <f>'B) D RI'!U164</f>
        <v>5263.6754140127387</v>
      </c>
      <c r="D163" s="110">
        <f>'E) PCS'!G169/C163</f>
        <v>14.589414276240568</v>
      </c>
      <c r="E163" s="136">
        <f>'H) Péréquation directe'!I173/C163</f>
        <v>-15.627767913520058</v>
      </c>
      <c r="F163" s="405"/>
      <c r="G163" s="136">
        <f t="shared" si="9"/>
        <v>-1.0383536372794904</v>
      </c>
      <c r="H163" s="110">
        <f t="shared" si="10"/>
        <v>-1.0383536372794904</v>
      </c>
      <c r="I163" s="136">
        <f t="shared" si="11"/>
        <v>0</v>
      </c>
      <c r="J163" s="55">
        <f t="shared" si="12"/>
        <v>0</v>
      </c>
      <c r="K163" s="36"/>
    </row>
    <row r="164" spans="1:11" x14ac:dyDescent="0.25">
      <c r="A164" s="49">
        <f>'A) Base RI'!A165</f>
        <v>5665</v>
      </c>
      <c r="B164" s="286" t="str">
        <f>'A) Base RI'!B165</f>
        <v>Chavannes-sur-Moudon</v>
      </c>
      <c r="C164" s="95">
        <f>'B) D RI'!U165</f>
        <v>4920.86942857143</v>
      </c>
      <c r="D164" s="110">
        <f>'E) PCS'!G170/C164</f>
        <v>13.278246537547469</v>
      </c>
      <c r="E164" s="136">
        <f>'H) Péréquation directe'!I174/C164</f>
        <v>-10.017626778385774</v>
      </c>
      <c r="F164" s="405"/>
      <c r="G164" s="136">
        <f t="shared" si="9"/>
        <v>3.2606197591616954</v>
      </c>
      <c r="H164" s="110">
        <f t="shared" si="10"/>
        <v>3.2606197591616954</v>
      </c>
      <c r="I164" s="136">
        <f t="shared" si="11"/>
        <v>0</v>
      </c>
      <c r="J164" s="55">
        <f t="shared" si="12"/>
        <v>0</v>
      </c>
      <c r="K164" s="36"/>
    </row>
    <row r="165" spans="1:11" x14ac:dyDescent="0.25">
      <c r="A165" s="49">
        <f>'A) Base RI'!A166</f>
        <v>5669</v>
      </c>
      <c r="B165" s="286" t="str">
        <f>'A) Base RI'!B166</f>
        <v>Curtilles</v>
      </c>
      <c r="C165" s="95">
        <f>'B) D RI'!U166</f>
        <v>9338.3773972602739</v>
      </c>
      <c r="D165" s="110">
        <f>'E) PCS'!G171/C165</f>
        <v>16.992840129085973</v>
      </c>
      <c r="E165" s="136">
        <f>'H) Péréquation directe'!I175/C165</f>
        <v>3.4637700364081461</v>
      </c>
      <c r="F165" s="405"/>
      <c r="G165" s="136">
        <f t="shared" si="9"/>
        <v>20.456610165494119</v>
      </c>
      <c r="H165" s="110">
        <f t="shared" si="10"/>
        <v>20.456610165494119</v>
      </c>
      <c r="I165" s="136">
        <f t="shared" si="11"/>
        <v>0</v>
      </c>
      <c r="J165" s="55">
        <f t="shared" si="12"/>
        <v>0</v>
      </c>
      <c r="K165" s="36"/>
    </row>
    <row r="166" spans="1:11" x14ac:dyDescent="0.25">
      <c r="A166" s="49">
        <f>'A) Base RI'!A167</f>
        <v>5671</v>
      </c>
      <c r="B166" s="286" t="str">
        <f>'A) Base RI'!B167</f>
        <v>Dompierre</v>
      </c>
      <c r="C166" s="95">
        <f>'B) D RI'!U167</f>
        <v>6463.9784615384606</v>
      </c>
      <c r="D166" s="110">
        <f>'E) PCS'!G172/C166</f>
        <v>20.453465483073973</v>
      </c>
      <c r="E166" s="136">
        <f>'H) Péréquation directe'!I176/C166</f>
        <v>-6.4334121300259381</v>
      </c>
      <c r="F166" s="405"/>
      <c r="G166" s="136">
        <f t="shared" si="9"/>
        <v>14.020053353048034</v>
      </c>
      <c r="H166" s="110">
        <f t="shared" si="10"/>
        <v>14.020053353048034</v>
      </c>
      <c r="I166" s="136">
        <f t="shared" si="11"/>
        <v>0</v>
      </c>
      <c r="J166" s="55">
        <f t="shared" si="12"/>
        <v>0</v>
      </c>
      <c r="K166" s="36"/>
    </row>
    <row r="167" spans="1:11" x14ac:dyDescent="0.25">
      <c r="A167" s="49">
        <f>'A) Base RI'!A168</f>
        <v>5673</v>
      </c>
      <c r="B167" s="286" t="str">
        <f>'A) Base RI'!B168</f>
        <v>Hermenches</v>
      </c>
      <c r="C167" s="95">
        <f>'B) D RI'!U168</f>
        <v>10227.431292517007</v>
      </c>
      <c r="D167" s="110">
        <f>'E) PCS'!G173/C167</f>
        <v>12.708058737907036</v>
      </c>
      <c r="E167" s="136">
        <f>'H) Péréquation directe'!I177/C167</f>
        <v>-2.0507345201704572</v>
      </c>
      <c r="F167" s="405"/>
      <c r="G167" s="136">
        <f t="shared" si="9"/>
        <v>10.65732421773658</v>
      </c>
      <c r="H167" s="110">
        <f t="shared" si="10"/>
        <v>10.65732421773658</v>
      </c>
      <c r="I167" s="136">
        <f t="shared" si="11"/>
        <v>0</v>
      </c>
      <c r="J167" s="55">
        <f t="shared" si="12"/>
        <v>0</v>
      </c>
      <c r="K167" s="36"/>
    </row>
    <row r="168" spans="1:11" x14ac:dyDescent="0.25">
      <c r="A168" s="49">
        <f>'A) Base RI'!A169</f>
        <v>5674</v>
      </c>
      <c r="B168" s="286" t="str">
        <f>'A) Base RI'!B169</f>
        <v>Lovatens</v>
      </c>
      <c r="C168" s="95">
        <f>'B) D RI'!U169</f>
        <v>4217.2714666666661</v>
      </c>
      <c r="D168" s="110">
        <f>'E) PCS'!G174/C168</f>
        <v>16.699081670947209</v>
      </c>
      <c r="E168" s="136">
        <f>'H) Péréquation directe'!I178/C168</f>
        <v>-0.71548228046924811</v>
      </c>
      <c r="F168" s="405"/>
      <c r="G168" s="136">
        <f t="shared" si="9"/>
        <v>15.983599390477961</v>
      </c>
      <c r="H168" s="110">
        <f t="shared" si="10"/>
        <v>15.983599390477961</v>
      </c>
      <c r="I168" s="136">
        <f t="shared" si="11"/>
        <v>0</v>
      </c>
      <c r="J168" s="55">
        <f t="shared" si="12"/>
        <v>0</v>
      </c>
      <c r="K168" s="36"/>
    </row>
    <row r="169" spans="1:11" x14ac:dyDescent="0.25">
      <c r="A169" s="49">
        <f>'A) Base RI'!A170</f>
        <v>5675</v>
      </c>
      <c r="B169" s="286" t="str">
        <f>'A) Base RI'!B170</f>
        <v>Lucens</v>
      </c>
      <c r="C169" s="95">
        <f>'B) D RI'!U170</f>
        <v>105170.58216835017</v>
      </c>
      <c r="D169" s="110">
        <f>'E) PCS'!G175/C169</f>
        <v>17.206532136398685</v>
      </c>
      <c r="E169" s="136">
        <f>'H) Péréquation directe'!I179/C169</f>
        <v>-13.988451299240499</v>
      </c>
      <c r="F169" s="405"/>
      <c r="G169" s="136">
        <f t="shared" si="9"/>
        <v>3.2180808371581868</v>
      </c>
      <c r="H169" s="110">
        <f t="shared" si="10"/>
        <v>3.2180808371581868</v>
      </c>
      <c r="I169" s="136">
        <f t="shared" si="11"/>
        <v>0</v>
      </c>
      <c r="J169" s="55">
        <f t="shared" si="12"/>
        <v>0</v>
      </c>
      <c r="K169" s="36"/>
    </row>
    <row r="170" spans="1:11" x14ac:dyDescent="0.25">
      <c r="A170" s="49">
        <f>'A) Base RI'!A171</f>
        <v>5678</v>
      </c>
      <c r="B170" s="286" t="str">
        <f>'A) Base RI'!B171</f>
        <v>Moudon</v>
      </c>
      <c r="C170" s="95">
        <f>'B) D RI'!U171</f>
        <v>124836.852</v>
      </c>
      <c r="D170" s="110">
        <f>'E) PCS'!G176/C170</f>
        <v>19.686188139255748</v>
      </c>
      <c r="E170" s="136">
        <f>'H) Péréquation directe'!I180/C170</f>
        <v>-30.01646904783312</v>
      </c>
      <c r="F170" s="405"/>
      <c r="G170" s="136">
        <f t="shared" si="9"/>
        <v>-10.330280908577372</v>
      </c>
      <c r="H170" s="110">
        <f t="shared" si="10"/>
        <v>-10.330280908577372</v>
      </c>
      <c r="I170" s="136">
        <f t="shared" si="11"/>
        <v>-2.3302809085773717</v>
      </c>
      <c r="J170" s="55">
        <f t="shared" si="12"/>
        <v>290904.93290249887</v>
      </c>
      <c r="K170" s="36"/>
    </row>
    <row r="171" spans="1:11" x14ac:dyDescent="0.25">
      <c r="A171" s="49">
        <f>'A) Base RI'!A172</f>
        <v>5680</v>
      </c>
      <c r="B171" s="286" t="str">
        <f>'A) Base RI'!B172</f>
        <v>Ogens</v>
      </c>
      <c r="C171" s="95">
        <f>'B) D RI'!U172</f>
        <v>8501.5391880341886</v>
      </c>
      <c r="D171" s="110">
        <f>'E) PCS'!G177/C171</f>
        <v>15.144987435750371</v>
      </c>
      <c r="E171" s="136">
        <f>'H) Péréquation directe'!I181/C171</f>
        <v>-6.0437624382026414</v>
      </c>
      <c r="F171" s="405"/>
      <c r="G171" s="136">
        <f t="shared" si="9"/>
        <v>9.10122499754773</v>
      </c>
      <c r="H171" s="110">
        <f t="shared" si="10"/>
        <v>9.10122499754773</v>
      </c>
      <c r="I171" s="136">
        <f t="shared" si="11"/>
        <v>0</v>
      </c>
      <c r="J171" s="55">
        <f t="shared" si="12"/>
        <v>0</v>
      </c>
      <c r="K171" s="36"/>
    </row>
    <row r="172" spans="1:11" x14ac:dyDescent="0.25">
      <c r="A172" s="49">
        <f>'A) Base RI'!A173</f>
        <v>5683</v>
      </c>
      <c r="B172" s="286" t="str">
        <f>'A) Base RI'!B173</f>
        <v>Prévonloup</v>
      </c>
      <c r="C172" s="95">
        <f>'B) D RI'!U173</f>
        <v>5386.44</v>
      </c>
      <c r="D172" s="110">
        <f>'E) PCS'!G178/C172</f>
        <v>16.174454027855038</v>
      </c>
      <c r="E172" s="136">
        <f>'H) Péréquation directe'!I182/C172</f>
        <v>-5.766626597627849</v>
      </c>
      <c r="F172" s="405"/>
      <c r="G172" s="136">
        <f t="shared" si="9"/>
        <v>10.40782743022719</v>
      </c>
      <c r="H172" s="110">
        <f t="shared" si="10"/>
        <v>10.40782743022719</v>
      </c>
      <c r="I172" s="136">
        <f t="shared" si="11"/>
        <v>0</v>
      </c>
      <c r="J172" s="55">
        <f t="shared" si="12"/>
        <v>0</v>
      </c>
      <c r="K172" s="36"/>
    </row>
    <row r="173" spans="1:11" x14ac:dyDescent="0.25">
      <c r="A173" s="49">
        <f>'A) Base RI'!A174</f>
        <v>5684</v>
      </c>
      <c r="B173" s="286" t="str">
        <f>'A) Base RI'!B174</f>
        <v>Rossenges</v>
      </c>
      <c r="C173" s="95">
        <f>'B) D RI'!U174</f>
        <v>3253.4816666666666</v>
      </c>
      <c r="D173" s="110">
        <f>'E) PCS'!G179/C173</f>
        <v>12.193336629350643</v>
      </c>
      <c r="E173" s="136">
        <f>'H) Péréquation directe'!I183/C173</f>
        <v>6.6077853377057743</v>
      </c>
      <c r="F173" s="405"/>
      <c r="G173" s="136">
        <f t="shared" si="9"/>
        <v>18.801121967056417</v>
      </c>
      <c r="H173" s="110">
        <f t="shared" si="10"/>
        <v>18.801121967056417</v>
      </c>
      <c r="I173" s="136">
        <f t="shared" si="11"/>
        <v>0</v>
      </c>
      <c r="J173" s="55">
        <f t="shared" si="12"/>
        <v>0</v>
      </c>
      <c r="K173" s="36"/>
    </row>
    <row r="174" spans="1:11" x14ac:dyDescent="0.25">
      <c r="A174" s="49">
        <f>'A) Base RI'!A175</f>
        <v>5688</v>
      </c>
      <c r="B174" s="286" t="str">
        <f>'A) Base RI'!B175</f>
        <v>Syens</v>
      </c>
      <c r="C174" s="95">
        <f>'B) D RI'!U175</f>
        <v>6245.666153846154</v>
      </c>
      <c r="D174" s="110">
        <f>'E) PCS'!G180/C174</f>
        <v>14.273194835028276</v>
      </c>
      <c r="E174" s="136">
        <f>'H) Péréquation directe'!I184/C174</f>
        <v>11.403440838572196</v>
      </c>
      <c r="F174" s="405"/>
      <c r="G174" s="136">
        <f t="shared" si="9"/>
        <v>25.676635673600472</v>
      </c>
      <c r="H174" s="110">
        <f t="shared" si="10"/>
        <v>25.676635673600472</v>
      </c>
      <c r="I174" s="136">
        <f t="shared" si="11"/>
        <v>0</v>
      </c>
      <c r="J174" s="55">
        <f t="shared" si="12"/>
        <v>0</v>
      </c>
      <c r="K174" s="36"/>
    </row>
    <row r="175" spans="1:11" x14ac:dyDescent="0.25">
      <c r="A175" s="49">
        <f>'A) Base RI'!A176</f>
        <v>5690</v>
      </c>
      <c r="B175" s="286" t="str">
        <f>'A) Base RI'!B176</f>
        <v>Villars-le-Comte</v>
      </c>
      <c r="C175" s="95">
        <f>'B) D RI'!U176</f>
        <v>3510.0358095238093</v>
      </c>
      <c r="D175" s="110">
        <f>'E) PCS'!G181/C175</f>
        <v>14.958906705206063</v>
      </c>
      <c r="E175" s="136">
        <f>'H) Péréquation directe'!I185/C175</f>
        <v>-2.2664377215997904</v>
      </c>
      <c r="F175" s="405"/>
      <c r="G175" s="136">
        <f t="shared" si="9"/>
        <v>12.692468983606272</v>
      </c>
      <c r="H175" s="110">
        <f t="shared" si="10"/>
        <v>12.692468983606272</v>
      </c>
      <c r="I175" s="136">
        <f t="shared" si="11"/>
        <v>0</v>
      </c>
      <c r="J175" s="55">
        <f t="shared" si="12"/>
        <v>0</v>
      </c>
      <c r="K175" s="36"/>
    </row>
    <row r="176" spans="1:11" x14ac:dyDescent="0.25">
      <c r="A176" s="49">
        <f>'A) Base RI'!A177</f>
        <v>5692</v>
      </c>
      <c r="B176" s="286" t="str">
        <f>'A) Base RI'!B177</f>
        <v>Vucherens</v>
      </c>
      <c r="C176" s="95">
        <f>'B) D RI'!U177</f>
        <v>18793.189090909087</v>
      </c>
      <c r="D176" s="110">
        <f>'E) PCS'!G182/C176</f>
        <v>17.530249354212089</v>
      </c>
      <c r="E176" s="136">
        <f>'H) Péréquation directe'!I186/C176</f>
        <v>0.33192903792539663</v>
      </c>
      <c r="F176" s="405"/>
      <c r="G176" s="136">
        <f t="shared" si="9"/>
        <v>17.862178392137483</v>
      </c>
      <c r="H176" s="110">
        <f t="shared" si="10"/>
        <v>17.862178392137483</v>
      </c>
      <c r="I176" s="136">
        <f t="shared" si="11"/>
        <v>0</v>
      </c>
      <c r="J176" s="55">
        <f t="shared" si="12"/>
        <v>0</v>
      </c>
      <c r="K176" s="36"/>
    </row>
    <row r="177" spans="1:11" x14ac:dyDescent="0.25">
      <c r="A177" s="49">
        <f>'A) Base RI'!A178</f>
        <v>5693</v>
      </c>
      <c r="B177" s="286" t="str">
        <f>'A) Base RI'!B178</f>
        <v>Montanaire</v>
      </c>
      <c r="C177" s="95">
        <f>'B) D RI'!U178</f>
        <v>75690.162142857153</v>
      </c>
      <c r="D177" s="110">
        <f>'E) PCS'!G183/C177</f>
        <v>15.65125583034286</v>
      </c>
      <c r="E177" s="136">
        <f>'H) Péréquation directe'!I187/C177</f>
        <v>-6.0936029435807724</v>
      </c>
      <c r="F177" s="405"/>
      <c r="G177" s="136">
        <f t="shared" si="9"/>
        <v>9.5576528867620887</v>
      </c>
      <c r="H177" s="110">
        <f t="shared" si="10"/>
        <v>9.5576528867620887</v>
      </c>
      <c r="I177" s="136">
        <f t="shared" si="11"/>
        <v>0</v>
      </c>
      <c r="J177" s="55">
        <f t="shared" si="12"/>
        <v>0</v>
      </c>
      <c r="K177" s="36"/>
    </row>
    <row r="178" spans="1:11" x14ac:dyDescent="0.25">
      <c r="A178" s="49">
        <f>'A) Base RI'!A179</f>
        <v>5701</v>
      </c>
      <c r="B178" s="286" t="str">
        <f>'A) Base RI'!B179</f>
        <v>Arnex-sur-Nyon</v>
      </c>
      <c r="C178" s="95">
        <f>'B) D RI'!U179</f>
        <v>14488.714857142857</v>
      </c>
      <c r="D178" s="110">
        <f>'E) PCS'!G184/C178</f>
        <v>21.911915762675289</v>
      </c>
      <c r="E178" s="136">
        <f>'H) Péréquation directe'!I188/C178</f>
        <v>16.866536299317051</v>
      </c>
      <c r="F178" s="405"/>
      <c r="G178" s="136">
        <f t="shared" si="9"/>
        <v>38.77845206199234</v>
      </c>
      <c r="H178" s="110">
        <f t="shared" si="10"/>
        <v>38.77845206199234</v>
      </c>
      <c r="I178" s="136">
        <f t="shared" si="11"/>
        <v>0</v>
      </c>
      <c r="J178" s="55">
        <f t="shared" si="12"/>
        <v>0</v>
      </c>
      <c r="K178" s="36"/>
    </row>
    <row r="179" spans="1:11" x14ac:dyDescent="0.25">
      <c r="A179" s="49">
        <f>'A) Base RI'!A180</f>
        <v>5702</v>
      </c>
      <c r="B179" s="286" t="str">
        <f>'A) Base RI'!B180</f>
        <v>Arzier-Le Muids</v>
      </c>
      <c r="C179" s="95">
        <f>'B) D RI'!U180</f>
        <v>174862.96255208339</v>
      </c>
      <c r="D179" s="110">
        <f>'E) PCS'!G185/C179</f>
        <v>19.004745558974712</v>
      </c>
      <c r="E179" s="136">
        <f>'H) Péréquation directe'!I189/C179</f>
        <v>14.209788845566624</v>
      </c>
      <c r="F179" s="405"/>
      <c r="G179" s="136">
        <f t="shared" si="9"/>
        <v>33.21453440454134</v>
      </c>
      <c r="H179" s="110">
        <f t="shared" si="10"/>
        <v>33.21453440454134</v>
      </c>
      <c r="I179" s="136">
        <f t="shared" si="11"/>
        <v>0</v>
      </c>
      <c r="J179" s="55">
        <f t="shared" si="12"/>
        <v>0</v>
      </c>
      <c r="K179" s="36"/>
    </row>
    <row r="180" spans="1:11" x14ac:dyDescent="0.25">
      <c r="A180" s="49">
        <f>'A) Base RI'!A181</f>
        <v>5703</v>
      </c>
      <c r="B180" s="286" t="str">
        <f>'A) Base RI'!B181</f>
        <v>Bassins</v>
      </c>
      <c r="C180" s="95">
        <f>'B) D RI'!U181</f>
        <v>66800.247822660094</v>
      </c>
      <c r="D180" s="110">
        <f>'E) PCS'!G186/C180</f>
        <v>15.919194513302561</v>
      </c>
      <c r="E180" s="136">
        <f>'H) Péréquation directe'!I190/C180</f>
        <v>12.760350836754432</v>
      </c>
      <c r="F180" s="405"/>
      <c r="G180" s="136">
        <f t="shared" si="9"/>
        <v>28.679545350056991</v>
      </c>
      <c r="H180" s="110">
        <f t="shared" si="10"/>
        <v>28.679545350056991</v>
      </c>
      <c r="I180" s="136">
        <f t="shared" si="11"/>
        <v>0</v>
      </c>
      <c r="J180" s="55">
        <f t="shared" si="12"/>
        <v>0</v>
      </c>
      <c r="K180" s="36"/>
    </row>
    <row r="181" spans="1:11" x14ac:dyDescent="0.25">
      <c r="A181" s="49">
        <f>'A) Base RI'!A182</f>
        <v>5704</v>
      </c>
      <c r="B181" s="286" t="str">
        <f>'A) Base RI'!B182</f>
        <v>Begnins</v>
      </c>
      <c r="C181" s="95">
        <f>'B) D RI'!U182</f>
        <v>202343.35360000003</v>
      </c>
      <c r="D181" s="110">
        <f>'E) PCS'!G187/C181</f>
        <v>25.57198154880172</v>
      </c>
      <c r="E181" s="136">
        <f>'H) Péréquation directe'!I191/C181</f>
        <v>16.571483829203714</v>
      </c>
      <c r="F181" s="405"/>
      <c r="G181" s="136">
        <f t="shared" si="9"/>
        <v>42.14346537800543</v>
      </c>
      <c r="H181" s="110">
        <f t="shared" si="10"/>
        <v>42.14346537800543</v>
      </c>
      <c r="I181" s="136">
        <f t="shared" si="11"/>
        <v>0</v>
      </c>
      <c r="J181" s="55">
        <f t="shared" si="12"/>
        <v>0</v>
      </c>
      <c r="K181" s="36"/>
    </row>
    <row r="182" spans="1:11" x14ac:dyDescent="0.25">
      <c r="A182" s="49">
        <f>'A) Base RI'!A183</f>
        <v>5705</v>
      </c>
      <c r="B182" s="286" t="str">
        <f>'A) Base RI'!B183</f>
        <v>Bogis-Bossey</v>
      </c>
      <c r="C182" s="95">
        <f>'B) D RI'!U183</f>
        <v>51953.338389261742</v>
      </c>
      <c r="D182" s="110">
        <f>'E) PCS'!G188/C182</f>
        <v>20.32023226990195</v>
      </c>
      <c r="E182" s="136">
        <f>'H) Péréquation directe'!I192/C182</f>
        <v>16.680172812625646</v>
      </c>
      <c r="F182" s="405"/>
      <c r="G182" s="136">
        <f t="shared" si="9"/>
        <v>37.000405082527593</v>
      </c>
      <c r="H182" s="110">
        <f t="shared" si="10"/>
        <v>37.000405082527593</v>
      </c>
      <c r="I182" s="136">
        <f t="shared" si="11"/>
        <v>0</v>
      </c>
      <c r="J182" s="55">
        <f t="shared" si="12"/>
        <v>0</v>
      </c>
      <c r="K182" s="36"/>
    </row>
    <row r="183" spans="1:11" x14ac:dyDescent="0.25">
      <c r="A183" s="49">
        <f>'A) Base RI'!A184</f>
        <v>5706</v>
      </c>
      <c r="B183" s="286" t="str">
        <f>'A) Base RI'!B184</f>
        <v>Borex</v>
      </c>
      <c r="C183" s="95">
        <f>'B) D RI'!U184</f>
        <v>71207.99596491229</v>
      </c>
      <c r="D183" s="110">
        <f>'E) PCS'!G189/C183</f>
        <v>17.132116924626949</v>
      </c>
      <c r="E183" s="136">
        <f>'H) Péréquation directe'!I193/C183</f>
        <v>16.251145099564127</v>
      </c>
      <c r="F183" s="405"/>
      <c r="G183" s="136">
        <f t="shared" si="9"/>
        <v>33.383262024191076</v>
      </c>
      <c r="H183" s="110">
        <f t="shared" si="10"/>
        <v>33.383262024191076</v>
      </c>
      <c r="I183" s="136">
        <f t="shared" si="11"/>
        <v>0</v>
      </c>
      <c r="J183" s="55">
        <f t="shared" si="12"/>
        <v>0</v>
      </c>
      <c r="K183" s="36"/>
    </row>
    <row r="184" spans="1:11" x14ac:dyDescent="0.25">
      <c r="A184" s="49">
        <f>'A) Base RI'!A185</f>
        <v>5707</v>
      </c>
      <c r="B184" s="286" t="str">
        <f>'A) Base RI'!B185</f>
        <v>Chavannes-de-Bogis</v>
      </c>
      <c r="C184" s="95">
        <f>'B) D RI'!U185</f>
        <v>88021.415574712664</v>
      </c>
      <c r="D184" s="110">
        <f>'E) PCS'!G190/C184</f>
        <v>23.242232088631042</v>
      </c>
      <c r="E184" s="136">
        <f>'H) Péréquation directe'!I194/C184</f>
        <v>16.085614478136289</v>
      </c>
      <c r="F184" s="405"/>
      <c r="G184" s="136">
        <f t="shared" si="9"/>
        <v>39.327846566767334</v>
      </c>
      <c r="H184" s="110">
        <f t="shared" si="10"/>
        <v>39.327846566767334</v>
      </c>
      <c r="I184" s="136">
        <f t="shared" si="11"/>
        <v>0</v>
      </c>
      <c r="J184" s="55">
        <f t="shared" si="12"/>
        <v>0</v>
      </c>
      <c r="K184" s="36"/>
    </row>
    <row r="185" spans="1:11" x14ac:dyDescent="0.25">
      <c r="A185" s="49">
        <f>'A) Base RI'!A186</f>
        <v>5708</v>
      </c>
      <c r="B185" s="286" t="str">
        <f>'A) Base RI'!B186</f>
        <v>Chavannes-des-Bois</v>
      </c>
      <c r="C185" s="95">
        <f>'B) D RI'!U186</f>
        <v>67001.640000000014</v>
      </c>
      <c r="D185" s="110">
        <f>'E) PCS'!G191/C185</f>
        <v>18.951382432062061</v>
      </c>
      <c r="E185" s="136">
        <f>'H) Péréquation directe'!I195/C185</f>
        <v>16.924468120293994</v>
      </c>
      <c r="F185" s="405"/>
      <c r="G185" s="136">
        <f t="shared" si="9"/>
        <v>35.875850552356056</v>
      </c>
      <c r="H185" s="110">
        <f t="shared" si="10"/>
        <v>35.875850552356056</v>
      </c>
      <c r="I185" s="136">
        <f t="shared" si="11"/>
        <v>0</v>
      </c>
      <c r="J185" s="55">
        <f t="shared" si="12"/>
        <v>0</v>
      </c>
      <c r="K185" s="36"/>
    </row>
    <row r="186" spans="1:11" x14ac:dyDescent="0.25">
      <c r="A186" s="49">
        <f>'A) Base RI'!A187</f>
        <v>5709</v>
      </c>
      <c r="B186" s="286" t="str">
        <f>'A) Base RI'!B187</f>
        <v>Chéserex</v>
      </c>
      <c r="C186" s="95">
        <f>'B) D RI'!U187</f>
        <v>88342.385614035084</v>
      </c>
      <c r="D186" s="110">
        <f>'E) PCS'!G192/C186</f>
        <v>27.21342133994419</v>
      </c>
      <c r="E186" s="136">
        <f>'H) Péréquation directe'!I196/C186</f>
        <v>16.36043199959542</v>
      </c>
      <c r="F186" s="405"/>
      <c r="G186" s="136">
        <f t="shared" si="9"/>
        <v>43.57385333953961</v>
      </c>
      <c r="H186" s="110">
        <f t="shared" si="10"/>
        <v>43.57385333953961</v>
      </c>
      <c r="I186" s="136">
        <f t="shared" si="11"/>
        <v>0</v>
      </c>
      <c r="J186" s="55">
        <f t="shared" si="12"/>
        <v>0</v>
      </c>
      <c r="K186" s="36"/>
    </row>
    <row r="187" spans="1:11" x14ac:dyDescent="0.25">
      <c r="A187" s="49">
        <f>'A) Base RI'!A188</f>
        <v>5710</v>
      </c>
      <c r="B187" s="286" t="str">
        <f>'A) Base RI'!B188</f>
        <v>Coinsins</v>
      </c>
      <c r="C187" s="95">
        <f>'B) D RI'!U188</f>
        <v>43412.265098039228</v>
      </c>
      <c r="D187" s="110">
        <f>'E) PCS'!G193/C187</f>
        <v>21.155083669061959</v>
      </c>
      <c r="E187" s="136">
        <f>'H) Péréquation directe'!I197/C187</f>
        <v>17.352629364253303</v>
      </c>
      <c r="F187" s="405"/>
      <c r="G187" s="136">
        <f t="shared" si="9"/>
        <v>38.507713033315262</v>
      </c>
      <c r="H187" s="110">
        <f t="shared" si="10"/>
        <v>38.507713033315262</v>
      </c>
      <c r="I187" s="136">
        <f t="shared" si="11"/>
        <v>0</v>
      </c>
      <c r="J187" s="55">
        <f t="shared" si="12"/>
        <v>0</v>
      </c>
      <c r="K187" s="36"/>
    </row>
    <row r="188" spans="1:11" x14ac:dyDescent="0.25">
      <c r="A188" s="49">
        <f>'A) Base RI'!A189</f>
        <v>5711</v>
      </c>
      <c r="B188" s="286" t="str">
        <f>'A) Base RI'!B189</f>
        <v>Commugny</v>
      </c>
      <c r="C188" s="95">
        <f>'B) D RI'!U189</f>
        <v>286273.03470547468</v>
      </c>
      <c r="D188" s="110">
        <f>'E) PCS'!G194/C188</f>
        <v>25.005172089108331</v>
      </c>
      <c r="E188" s="136">
        <f>'H) Péréquation directe'!I198/C188</f>
        <v>15.934597817022363</v>
      </c>
      <c r="F188" s="405"/>
      <c r="G188" s="136">
        <f t="shared" si="9"/>
        <v>40.939769906130692</v>
      </c>
      <c r="H188" s="110">
        <f t="shared" si="10"/>
        <v>40.939769906130692</v>
      </c>
      <c r="I188" s="136">
        <f t="shared" si="11"/>
        <v>0</v>
      </c>
      <c r="J188" s="55">
        <f t="shared" si="12"/>
        <v>0</v>
      </c>
      <c r="K188" s="36"/>
    </row>
    <row r="189" spans="1:11" x14ac:dyDescent="0.25">
      <c r="A189" s="49">
        <f>'A) Base RI'!A190</f>
        <v>5712</v>
      </c>
      <c r="B189" s="286" t="str">
        <f>'A) Base RI'!B190</f>
        <v>Coppet</v>
      </c>
      <c r="C189" s="95">
        <f>'B) D RI'!U190</f>
        <v>333754.3945283019</v>
      </c>
      <c r="D189" s="110">
        <f>'E) PCS'!G195/C189</f>
        <v>25.348979900200128</v>
      </c>
      <c r="E189" s="136">
        <f>'H) Péréquation directe'!I199/C189</f>
        <v>16.030037874849437</v>
      </c>
      <c r="F189" s="405"/>
      <c r="G189" s="136">
        <f t="shared" si="9"/>
        <v>41.379017775049562</v>
      </c>
      <c r="H189" s="110">
        <f t="shared" si="10"/>
        <v>41.379017775049562</v>
      </c>
      <c r="I189" s="136">
        <f t="shared" si="11"/>
        <v>0</v>
      </c>
      <c r="J189" s="55">
        <f t="shared" si="12"/>
        <v>0</v>
      </c>
      <c r="K189" s="36"/>
    </row>
    <row r="190" spans="1:11" x14ac:dyDescent="0.25">
      <c r="A190" s="49">
        <f>'A) Base RI'!A191</f>
        <v>5713</v>
      </c>
      <c r="B190" s="286" t="str">
        <f>'A) Base RI'!B191</f>
        <v>Crans</v>
      </c>
      <c r="C190" s="95">
        <f>'B) D RI'!U191</f>
        <v>302504.79982142855</v>
      </c>
      <c r="D190" s="110">
        <f>'E) PCS'!G196/C190</f>
        <v>31.411833026339725</v>
      </c>
      <c r="E190" s="136">
        <f>'H) Péréquation directe'!I200/C190</f>
        <v>16.814647852390742</v>
      </c>
      <c r="F190" s="405"/>
      <c r="G190" s="136">
        <f t="shared" si="9"/>
        <v>48.22648087873047</v>
      </c>
      <c r="H190" s="110">
        <f t="shared" si="10"/>
        <v>48.22648087873047</v>
      </c>
      <c r="I190" s="136">
        <f t="shared" si="11"/>
        <v>0</v>
      </c>
      <c r="J190" s="55">
        <f t="shared" si="12"/>
        <v>0</v>
      </c>
      <c r="K190" s="36"/>
    </row>
    <row r="191" spans="1:11" x14ac:dyDescent="0.25">
      <c r="A191" s="49">
        <f>'A) Base RI'!A192</f>
        <v>5714</v>
      </c>
      <c r="B191" s="286" t="str">
        <f>'A) Base RI'!B192</f>
        <v>Crassier</v>
      </c>
      <c r="C191" s="95">
        <f>'B) D RI'!U192</f>
        <v>62136.029852941167</v>
      </c>
      <c r="D191" s="110">
        <f>'E) PCS'!G197/C191</f>
        <v>18.426797779120253</v>
      </c>
      <c r="E191" s="136">
        <f>'H) Péréquation directe'!I201/C191</f>
        <v>15.523044015040995</v>
      </c>
      <c r="F191" s="405"/>
      <c r="G191" s="136">
        <f t="shared" si="9"/>
        <v>33.949841794161244</v>
      </c>
      <c r="H191" s="110">
        <f t="shared" si="10"/>
        <v>33.949841794161244</v>
      </c>
      <c r="I191" s="136">
        <f t="shared" si="11"/>
        <v>0</v>
      </c>
      <c r="J191" s="55">
        <f t="shared" si="12"/>
        <v>0</v>
      </c>
      <c r="K191" s="36"/>
    </row>
    <row r="192" spans="1:11" x14ac:dyDescent="0.25">
      <c r="A192" s="49">
        <f>'A) Base RI'!A193</f>
        <v>5715</v>
      </c>
      <c r="B192" s="286" t="str">
        <f>'A) Base RI'!B193</f>
        <v>Duillier</v>
      </c>
      <c r="C192" s="95">
        <f>'B) D RI'!U193</f>
        <v>70395.129393939395</v>
      </c>
      <c r="D192" s="110">
        <f>'E) PCS'!G198/C192</f>
        <v>21.920509326968158</v>
      </c>
      <c r="E192" s="136">
        <f>'H) Péréquation directe'!I202/C192</f>
        <v>16.315846392954505</v>
      </c>
      <c r="F192" s="405"/>
      <c r="G192" s="136">
        <f t="shared" si="9"/>
        <v>38.236355719922663</v>
      </c>
      <c r="H192" s="110">
        <f t="shared" si="10"/>
        <v>38.236355719922663</v>
      </c>
      <c r="I192" s="136">
        <f t="shared" si="11"/>
        <v>0</v>
      </c>
      <c r="J192" s="55">
        <f t="shared" si="12"/>
        <v>0</v>
      </c>
      <c r="K192" s="36"/>
    </row>
    <row r="193" spans="1:11" x14ac:dyDescent="0.25">
      <c r="A193" s="49">
        <f>'A) Base RI'!A194</f>
        <v>5716</v>
      </c>
      <c r="B193" s="286" t="str">
        <f>'A) Base RI'!B194</f>
        <v>Eysins</v>
      </c>
      <c r="C193" s="95">
        <f>'B) D RI'!U194</f>
        <v>203854.36605042018</v>
      </c>
      <c r="D193" s="110">
        <f>'E) PCS'!G199/C193</f>
        <v>26.597057901880902</v>
      </c>
      <c r="E193" s="136">
        <f>'H) Péréquation directe'!I203/C193</f>
        <v>16.939352800373925</v>
      </c>
      <c r="F193" s="405"/>
      <c r="G193" s="136">
        <f t="shared" si="9"/>
        <v>43.536410702254827</v>
      </c>
      <c r="H193" s="110">
        <f t="shared" si="10"/>
        <v>43.536410702254827</v>
      </c>
      <c r="I193" s="136">
        <f t="shared" si="11"/>
        <v>0</v>
      </c>
      <c r="J193" s="55">
        <f t="shared" si="12"/>
        <v>0</v>
      </c>
      <c r="K193" s="36"/>
    </row>
    <row r="194" spans="1:11" x14ac:dyDescent="0.25">
      <c r="A194" s="49">
        <f>'A) Base RI'!A195</f>
        <v>5717</v>
      </c>
      <c r="B194" s="286" t="str">
        <f>'A) Base RI'!B195</f>
        <v>Founex</v>
      </c>
      <c r="C194" s="95">
        <f>'B) D RI'!U195</f>
        <v>390728.72</v>
      </c>
      <c r="D194" s="110">
        <f>'E) PCS'!G200/C194</f>
        <v>24.890450099666985</v>
      </c>
      <c r="E194" s="136">
        <f>'H) Péréquation directe'!I204/C194</f>
        <v>15.655451296204282</v>
      </c>
      <c r="F194" s="405"/>
      <c r="G194" s="136">
        <f t="shared" si="9"/>
        <v>40.545901395871269</v>
      </c>
      <c r="H194" s="110">
        <f t="shared" si="10"/>
        <v>40.545901395871269</v>
      </c>
      <c r="I194" s="136">
        <f t="shared" si="11"/>
        <v>0</v>
      </c>
      <c r="J194" s="55">
        <f t="shared" si="12"/>
        <v>0</v>
      </c>
      <c r="K194" s="36"/>
    </row>
    <row r="195" spans="1:11" x14ac:dyDescent="0.25">
      <c r="A195" s="49">
        <f>'A) Base RI'!A196</f>
        <v>5718</v>
      </c>
      <c r="B195" s="286" t="str">
        <f>'A) Base RI'!B196</f>
        <v>Genolier</v>
      </c>
      <c r="C195" s="95">
        <f>'B) D RI'!U196</f>
        <v>192274.57272727272</v>
      </c>
      <c r="D195" s="110">
        <f>'E) PCS'!G201/C195</f>
        <v>24.586058215235791</v>
      </c>
      <c r="E195" s="136">
        <f>'H) Péréquation directe'!I205/C195</f>
        <v>16.306985426348664</v>
      </c>
      <c r="F195" s="405"/>
      <c r="G195" s="136">
        <f t="shared" si="9"/>
        <v>40.893043641584455</v>
      </c>
      <c r="H195" s="110">
        <f t="shared" si="10"/>
        <v>40.893043641584455</v>
      </c>
      <c r="I195" s="136">
        <f t="shared" si="11"/>
        <v>0</v>
      </c>
      <c r="J195" s="55">
        <f t="shared" si="12"/>
        <v>0</v>
      </c>
      <c r="K195" s="36"/>
    </row>
    <row r="196" spans="1:11" x14ac:dyDescent="0.25">
      <c r="A196" s="49">
        <f>'A) Base RI'!A197</f>
        <v>5719</v>
      </c>
      <c r="B196" s="286" t="str">
        <f>'A) Base RI'!B197</f>
        <v>Gingins</v>
      </c>
      <c r="C196" s="95">
        <f>'B) D RI'!U197</f>
        <v>151296.69466666671</v>
      </c>
      <c r="D196" s="110">
        <f>'E) PCS'!G202/C196</f>
        <v>28.571234840275562</v>
      </c>
      <c r="E196" s="136">
        <f>'H) Péréquation directe'!I206/C196</f>
        <v>17.376077260756642</v>
      </c>
      <c r="F196" s="405"/>
      <c r="G196" s="136">
        <f t="shared" si="9"/>
        <v>45.947312101032203</v>
      </c>
      <c r="H196" s="110">
        <f t="shared" si="10"/>
        <v>45.947312101032203</v>
      </c>
      <c r="I196" s="136">
        <f t="shared" si="11"/>
        <v>0</v>
      </c>
      <c r="J196" s="55">
        <f t="shared" si="12"/>
        <v>0</v>
      </c>
      <c r="K196" s="36"/>
    </row>
    <row r="197" spans="1:11" x14ac:dyDescent="0.25">
      <c r="A197" s="49">
        <f>'A) Base RI'!A198</f>
        <v>5720</v>
      </c>
      <c r="B197" s="286" t="str">
        <f>'A) Base RI'!B198</f>
        <v>Givrins</v>
      </c>
      <c r="C197" s="95">
        <f>'B) D RI'!U198</f>
        <v>74789.829883913771</v>
      </c>
      <c r="D197" s="110">
        <f>'E) PCS'!G203/C197</f>
        <v>22.027312298440933</v>
      </c>
      <c r="E197" s="136">
        <f>'H) Péréquation directe'!I207/C197</f>
        <v>17.097715525565381</v>
      </c>
      <c r="F197" s="405"/>
      <c r="G197" s="136">
        <f t="shared" si="9"/>
        <v>39.12502782400631</v>
      </c>
      <c r="H197" s="110">
        <f t="shared" si="10"/>
        <v>39.12502782400631</v>
      </c>
      <c r="I197" s="136">
        <f t="shared" si="11"/>
        <v>0</v>
      </c>
      <c r="J197" s="55">
        <f t="shared" si="12"/>
        <v>0</v>
      </c>
      <c r="K197" s="36"/>
    </row>
    <row r="198" spans="1:11" x14ac:dyDescent="0.25">
      <c r="A198" s="49">
        <f>'A) Base RI'!A199</f>
        <v>5721</v>
      </c>
      <c r="B198" s="286" t="str">
        <f>'A) Base RI'!B199</f>
        <v>Gland</v>
      </c>
      <c r="C198" s="95">
        <f>'B) D RI'!U199</f>
        <v>723023.81196721317</v>
      </c>
      <c r="D198" s="110">
        <f>'E) PCS'!G204/C198</f>
        <v>17.014153169363357</v>
      </c>
      <c r="E198" s="136">
        <f>'H) Péréquation directe'!I208/C198</f>
        <v>7.6582227983484534</v>
      </c>
      <c r="F198" s="405"/>
      <c r="G198" s="136">
        <f t="shared" ref="G198:G261" si="13">SUM(D198:F198)</f>
        <v>24.672375967711812</v>
      </c>
      <c r="H198" s="110">
        <f t="shared" ref="H198:H261" si="14">G198-F198</f>
        <v>24.672375967711812</v>
      </c>
      <c r="I198" s="136">
        <f t="shared" ref="I198:I261" si="15">IF(H198&lt;I$5,H198-I$5,0)</f>
        <v>0</v>
      </c>
      <c r="J198" s="55">
        <f t="shared" ref="J198:J261" si="16">-I198*C198</f>
        <v>0</v>
      </c>
      <c r="K198" s="36"/>
    </row>
    <row r="199" spans="1:11" x14ac:dyDescent="0.25">
      <c r="A199" s="49">
        <f>'A) Base RI'!A200</f>
        <v>5722</v>
      </c>
      <c r="B199" s="286" t="str">
        <f>'A) Base RI'!B200</f>
        <v>Grens</v>
      </c>
      <c r="C199" s="95">
        <f>'B) D RI'!U200</f>
        <v>22316.761129032264</v>
      </c>
      <c r="D199" s="110">
        <f>'E) PCS'!G205/C199</f>
        <v>14.358201527807497</v>
      </c>
      <c r="E199" s="136">
        <f>'H) Péréquation directe'!I209/C199</f>
        <v>16.570856130721712</v>
      </c>
      <c r="F199" s="405"/>
      <c r="G199" s="136">
        <f t="shared" si="13"/>
        <v>30.92905765852921</v>
      </c>
      <c r="H199" s="110">
        <f t="shared" si="14"/>
        <v>30.92905765852921</v>
      </c>
      <c r="I199" s="136">
        <f t="shared" si="15"/>
        <v>0</v>
      </c>
      <c r="J199" s="55">
        <f t="shared" si="16"/>
        <v>0</v>
      </c>
      <c r="K199" s="36"/>
    </row>
    <row r="200" spans="1:11" x14ac:dyDescent="0.25">
      <c r="A200" s="49">
        <f>'A) Base RI'!A201</f>
        <v>5723</v>
      </c>
      <c r="B200" s="286" t="str">
        <f>'A) Base RI'!B201</f>
        <v>Mies</v>
      </c>
      <c r="C200" s="95">
        <f>'B) D RI'!U201</f>
        <v>245974.84538461536</v>
      </c>
      <c r="D200" s="110">
        <f>'E) PCS'!G206/C200</f>
        <v>29.945702882895549</v>
      </c>
      <c r="E200" s="136">
        <f>'H) Péréquation directe'!I210/C200</f>
        <v>16.608291144734142</v>
      </c>
      <c r="F200" s="405"/>
      <c r="G200" s="136">
        <f t="shared" si="13"/>
        <v>46.553994027629692</v>
      </c>
      <c r="H200" s="110">
        <f t="shared" si="14"/>
        <v>46.553994027629692</v>
      </c>
      <c r="I200" s="136">
        <f t="shared" si="15"/>
        <v>0</v>
      </c>
      <c r="J200" s="55">
        <f t="shared" si="16"/>
        <v>0</v>
      </c>
      <c r="K200" s="36"/>
    </row>
    <row r="201" spans="1:11" x14ac:dyDescent="0.25">
      <c r="A201" s="49">
        <f>'A) Base RI'!A202</f>
        <v>5724</v>
      </c>
      <c r="B201" s="286" t="str">
        <f>'A) Base RI'!B202</f>
        <v>Nyon</v>
      </c>
      <c r="C201" s="95">
        <f>'B) D RI'!U202</f>
        <v>1461873.0345355188</v>
      </c>
      <c r="D201" s="110">
        <f>'E) PCS'!G207/C201</f>
        <v>20.828021061818419</v>
      </c>
      <c r="E201" s="136">
        <f>'H) Péréquation directe'!I211/C201</f>
        <v>7.0326685653187067</v>
      </c>
      <c r="F201" s="405"/>
      <c r="G201" s="136">
        <f t="shared" si="13"/>
        <v>27.860689627137127</v>
      </c>
      <c r="H201" s="110">
        <f t="shared" si="14"/>
        <v>27.860689627137127</v>
      </c>
      <c r="I201" s="136">
        <f t="shared" si="15"/>
        <v>0</v>
      </c>
      <c r="J201" s="55">
        <f t="shared" si="16"/>
        <v>0</v>
      </c>
      <c r="K201" s="36"/>
    </row>
    <row r="202" spans="1:11" x14ac:dyDescent="0.25">
      <c r="A202" s="49">
        <f>'A) Base RI'!A203</f>
        <v>5725</v>
      </c>
      <c r="B202" s="286" t="str">
        <f>'A) Base RI'!B203</f>
        <v>Prangins</v>
      </c>
      <c r="C202" s="95">
        <f>'B) D RI'!U203</f>
        <v>355082.58820779232</v>
      </c>
      <c r="D202" s="110">
        <f>'E) PCS'!G208/C202</f>
        <v>22.837300023345126</v>
      </c>
      <c r="E202" s="136">
        <f>'H) Péréquation directe'!I212/C202</f>
        <v>15.004070987884258</v>
      </c>
      <c r="F202" s="405"/>
      <c r="G202" s="136">
        <f t="shared" si="13"/>
        <v>37.841371011229384</v>
      </c>
      <c r="H202" s="110">
        <f t="shared" si="14"/>
        <v>37.841371011229384</v>
      </c>
      <c r="I202" s="136">
        <f t="shared" si="15"/>
        <v>0</v>
      </c>
      <c r="J202" s="55">
        <f t="shared" si="16"/>
        <v>0</v>
      </c>
      <c r="K202" s="36"/>
    </row>
    <row r="203" spans="1:11" x14ac:dyDescent="0.25">
      <c r="A203" s="49">
        <f>'A) Base RI'!A204</f>
        <v>5726</v>
      </c>
      <c r="B203" s="286" t="str">
        <f>'A) Base RI'!B204</f>
        <v>La Rippe</v>
      </c>
      <c r="C203" s="95">
        <f>'B) D RI'!U204</f>
        <v>70366.469687500008</v>
      </c>
      <c r="D203" s="110">
        <f>'E) PCS'!G209/C203</f>
        <v>18.480652709136717</v>
      </c>
      <c r="E203" s="136">
        <f>'H) Péréquation directe'!I213/C203</f>
        <v>16.220514476648329</v>
      </c>
      <c r="F203" s="405"/>
      <c r="G203" s="136">
        <f t="shared" si="13"/>
        <v>34.701167185785046</v>
      </c>
      <c r="H203" s="110">
        <f t="shared" si="14"/>
        <v>34.701167185785046</v>
      </c>
      <c r="I203" s="136">
        <f t="shared" si="15"/>
        <v>0</v>
      </c>
      <c r="J203" s="55">
        <f t="shared" si="16"/>
        <v>0</v>
      </c>
      <c r="K203" s="36"/>
    </row>
    <row r="204" spans="1:11" x14ac:dyDescent="0.25">
      <c r="A204" s="49">
        <f>'A) Base RI'!A205</f>
        <v>5727</v>
      </c>
      <c r="B204" s="286" t="str">
        <f>'A) Base RI'!B205</f>
        <v>Saint-Cergue</v>
      </c>
      <c r="C204" s="95">
        <f>'B) D RI'!U205</f>
        <v>106173.30404040407</v>
      </c>
      <c r="D204" s="110">
        <f>'E) PCS'!G210/C204</f>
        <v>19.130678521995364</v>
      </c>
      <c r="E204" s="136">
        <f>'H) Péréquation directe'!I214/C204</f>
        <v>7.3969548170162405</v>
      </c>
      <c r="F204" s="405"/>
      <c r="G204" s="136">
        <f t="shared" si="13"/>
        <v>26.527633339011604</v>
      </c>
      <c r="H204" s="110">
        <f t="shared" si="14"/>
        <v>26.527633339011604</v>
      </c>
      <c r="I204" s="136">
        <f t="shared" si="15"/>
        <v>0</v>
      </c>
      <c r="J204" s="55">
        <f t="shared" si="16"/>
        <v>0</v>
      </c>
      <c r="K204" s="36"/>
    </row>
    <row r="205" spans="1:11" x14ac:dyDescent="0.25">
      <c r="A205" s="49">
        <f>'A) Base RI'!A206</f>
        <v>5728</v>
      </c>
      <c r="B205" s="286" t="str">
        <f>'A) Base RI'!B206</f>
        <v>Signy-Avenex</v>
      </c>
      <c r="C205" s="95">
        <f>'B) D RI'!U206</f>
        <v>56477.02620689656</v>
      </c>
      <c r="D205" s="110">
        <f>'E) PCS'!G211/C205</f>
        <v>24.87242836514346</v>
      </c>
      <c r="E205" s="136">
        <f>'H) Péréquation directe'!I215/C205</f>
        <v>17.522446284585016</v>
      </c>
      <c r="F205" s="405"/>
      <c r="G205" s="136">
        <f t="shared" si="13"/>
        <v>42.394874649728479</v>
      </c>
      <c r="H205" s="110">
        <f t="shared" si="14"/>
        <v>42.394874649728479</v>
      </c>
      <c r="I205" s="136">
        <f t="shared" si="15"/>
        <v>0</v>
      </c>
      <c r="J205" s="55">
        <f t="shared" si="16"/>
        <v>0</v>
      </c>
      <c r="K205" s="36"/>
    </row>
    <row r="206" spans="1:11" x14ac:dyDescent="0.25">
      <c r="A206" s="49">
        <f>'A) Base RI'!A207</f>
        <v>5729</v>
      </c>
      <c r="B206" s="286" t="str">
        <f>'A) Base RI'!B207</f>
        <v>Tannay</v>
      </c>
      <c r="C206" s="95">
        <f>'B) D RI'!U207</f>
        <v>161688.04044077132</v>
      </c>
      <c r="D206" s="110">
        <f>'E) PCS'!G212/C206</f>
        <v>26.394264536327487</v>
      </c>
      <c r="E206" s="136">
        <f>'H) Péréquation directe'!I216/C206</f>
        <v>16.649630801476334</v>
      </c>
      <c r="F206" s="405"/>
      <c r="G206" s="136">
        <f t="shared" si="13"/>
        <v>43.043895337803818</v>
      </c>
      <c r="H206" s="110">
        <f t="shared" si="14"/>
        <v>43.043895337803818</v>
      </c>
      <c r="I206" s="136">
        <f t="shared" si="15"/>
        <v>0</v>
      </c>
      <c r="J206" s="55">
        <f t="shared" si="16"/>
        <v>0</v>
      </c>
      <c r="K206" s="36"/>
    </row>
    <row r="207" spans="1:11" x14ac:dyDescent="0.25">
      <c r="A207" s="49">
        <f>'A) Base RI'!A208</f>
        <v>5730</v>
      </c>
      <c r="B207" s="286" t="str">
        <f>'A) Base RI'!B208</f>
        <v>Trélex</v>
      </c>
      <c r="C207" s="95">
        <f>'B) D RI'!U208</f>
        <v>125085.64878878882</v>
      </c>
      <c r="D207" s="110">
        <f>'E) PCS'!G213/C207</f>
        <v>26.115416182560139</v>
      </c>
      <c r="E207" s="136">
        <f>'H) Péréquation directe'!I217/C207</f>
        <v>16.589215153295104</v>
      </c>
      <c r="F207" s="405"/>
      <c r="G207" s="136">
        <f t="shared" si="13"/>
        <v>42.70463133585524</v>
      </c>
      <c r="H207" s="110">
        <f t="shared" si="14"/>
        <v>42.70463133585524</v>
      </c>
      <c r="I207" s="136">
        <f t="shared" si="15"/>
        <v>0</v>
      </c>
      <c r="J207" s="55">
        <f t="shared" si="16"/>
        <v>0</v>
      </c>
      <c r="K207" s="36"/>
    </row>
    <row r="208" spans="1:11" x14ac:dyDescent="0.25">
      <c r="A208" s="49">
        <f>'A) Base RI'!A209</f>
        <v>5731</v>
      </c>
      <c r="B208" s="286" t="str">
        <f>'A) Base RI'!B209</f>
        <v>Le Vaud</v>
      </c>
      <c r="C208" s="95">
        <f>'B) D RI'!U209</f>
        <v>69596.613288288281</v>
      </c>
      <c r="D208" s="110">
        <f>'E) PCS'!G214/C208</f>
        <v>14.658551963311037</v>
      </c>
      <c r="E208" s="136">
        <f>'H) Péréquation directe'!I218/C208</f>
        <v>15.077656471081072</v>
      </c>
      <c r="F208" s="405"/>
      <c r="G208" s="136">
        <f t="shared" si="13"/>
        <v>29.736208434392111</v>
      </c>
      <c r="H208" s="110">
        <f t="shared" si="14"/>
        <v>29.736208434392111</v>
      </c>
      <c r="I208" s="136">
        <f t="shared" si="15"/>
        <v>0</v>
      </c>
      <c r="J208" s="55">
        <f t="shared" si="16"/>
        <v>0</v>
      </c>
      <c r="K208" s="36"/>
    </row>
    <row r="209" spans="1:11" x14ac:dyDescent="0.25">
      <c r="A209" s="49">
        <f>'A) Base RI'!A210</f>
        <v>5732</v>
      </c>
      <c r="B209" s="286" t="str">
        <f>'A) Base RI'!B210</f>
        <v>Vich</v>
      </c>
      <c r="C209" s="95">
        <f>'B) D RI'!U210</f>
        <v>86538.031587301579</v>
      </c>
      <c r="D209" s="110">
        <f>'E) PCS'!G215/C209</f>
        <v>19.750068660316686</v>
      </c>
      <c r="E209" s="136">
        <f>'H) Péréquation directe'!I219/C209</f>
        <v>16.737157947635669</v>
      </c>
      <c r="F209" s="405"/>
      <c r="G209" s="136">
        <f t="shared" si="13"/>
        <v>36.487226607952351</v>
      </c>
      <c r="H209" s="110">
        <f t="shared" si="14"/>
        <v>36.487226607952351</v>
      </c>
      <c r="I209" s="136">
        <f t="shared" si="15"/>
        <v>0</v>
      </c>
      <c r="J209" s="55">
        <f t="shared" si="16"/>
        <v>0</v>
      </c>
      <c r="K209" s="36"/>
    </row>
    <row r="210" spans="1:11" x14ac:dyDescent="0.25">
      <c r="A210" s="49">
        <f>'A) Base RI'!A211</f>
        <v>5741</v>
      </c>
      <c r="B210" s="286" t="str">
        <f>'A) Base RI'!B211</f>
        <v>L'Abergement</v>
      </c>
      <c r="C210" s="95">
        <f>'B) D RI'!U211</f>
        <v>8987.3782921810707</v>
      </c>
      <c r="D210" s="110">
        <f>'E) PCS'!G216/C210</f>
        <v>15.679664230277305</v>
      </c>
      <c r="E210" s="136">
        <f>'H) Péréquation directe'!I220/C210</f>
        <v>5.3102885847642378</v>
      </c>
      <c r="F210" s="405"/>
      <c r="G210" s="136">
        <f t="shared" si="13"/>
        <v>20.989952815041544</v>
      </c>
      <c r="H210" s="110">
        <f t="shared" si="14"/>
        <v>20.989952815041544</v>
      </c>
      <c r="I210" s="136">
        <f t="shared" si="15"/>
        <v>0</v>
      </c>
      <c r="J210" s="55">
        <f t="shared" si="16"/>
        <v>0</v>
      </c>
      <c r="K210" s="36"/>
    </row>
    <row r="211" spans="1:11" x14ac:dyDescent="0.25">
      <c r="A211" s="49">
        <f>'A) Base RI'!A212</f>
        <v>5742</v>
      </c>
      <c r="B211" s="286" t="str">
        <f>'A) Base RI'!B212</f>
        <v>Agiez</v>
      </c>
      <c r="C211" s="95">
        <f>'B) D RI'!U212</f>
        <v>10160.069605263159</v>
      </c>
      <c r="D211" s="110">
        <f>'E) PCS'!G217/C211</f>
        <v>12.415929592574876</v>
      </c>
      <c r="E211" s="136">
        <f>'H) Péréquation directe'!I221/C211</f>
        <v>-3.9692052149249344</v>
      </c>
      <c r="F211" s="405"/>
      <c r="G211" s="136">
        <f t="shared" si="13"/>
        <v>8.446724377649943</v>
      </c>
      <c r="H211" s="110">
        <f t="shared" si="14"/>
        <v>8.446724377649943</v>
      </c>
      <c r="I211" s="136">
        <f t="shared" si="15"/>
        <v>0</v>
      </c>
      <c r="J211" s="55">
        <f t="shared" si="16"/>
        <v>0</v>
      </c>
      <c r="K211" s="36"/>
    </row>
    <row r="212" spans="1:11" x14ac:dyDescent="0.25">
      <c r="A212" s="49">
        <f>'A) Base RI'!A213</f>
        <v>5743</v>
      </c>
      <c r="B212" s="286" t="str">
        <f>'A) Base RI'!B213</f>
        <v>Arnex-sur-Orbe</v>
      </c>
      <c r="C212" s="95">
        <f>'B) D RI'!U213</f>
        <v>18533.117816901413</v>
      </c>
      <c r="D212" s="110">
        <f>'E) PCS'!G218/C212</f>
        <v>14.740105633158302</v>
      </c>
      <c r="E212" s="136">
        <f>'H) Péréquation directe'!I222/C212</f>
        <v>-0.52542010354557456</v>
      </c>
      <c r="F212" s="405"/>
      <c r="G212" s="136">
        <f t="shared" si="13"/>
        <v>14.214685529612728</v>
      </c>
      <c r="H212" s="110">
        <f t="shared" si="14"/>
        <v>14.214685529612728</v>
      </c>
      <c r="I212" s="136">
        <f t="shared" si="15"/>
        <v>0</v>
      </c>
      <c r="J212" s="55">
        <f t="shared" si="16"/>
        <v>0</v>
      </c>
      <c r="K212" s="36"/>
    </row>
    <row r="213" spans="1:11" x14ac:dyDescent="0.25">
      <c r="A213" s="49">
        <f>'A) Base RI'!A214</f>
        <v>5744</v>
      </c>
      <c r="B213" s="286" t="str">
        <f>'A) Base RI'!B214</f>
        <v>Ballaigues</v>
      </c>
      <c r="C213" s="95">
        <f>'B) D RI'!U214</f>
        <v>49245.2596923077</v>
      </c>
      <c r="D213" s="110">
        <f>'E) PCS'!G219/C213</f>
        <v>24.292539755150599</v>
      </c>
      <c r="E213" s="136">
        <f>'H) Péréquation directe'!I223/C213</f>
        <v>12.460377973840057</v>
      </c>
      <c r="F213" s="405"/>
      <c r="G213" s="136">
        <f t="shared" si="13"/>
        <v>36.752917728990653</v>
      </c>
      <c r="H213" s="110">
        <f t="shared" si="14"/>
        <v>36.752917728990653</v>
      </c>
      <c r="I213" s="136">
        <f t="shared" si="15"/>
        <v>0</v>
      </c>
      <c r="J213" s="55">
        <f t="shared" si="16"/>
        <v>0</v>
      </c>
      <c r="K213" s="36"/>
    </row>
    <row r="214" spans="1:11" x14ac:dyDescent="0.25">
      <c r="A214" s="49">
        <f>'A) Base RI'!A215</f>
        <v>5745</v>
      </c>
      <c r="B214" s="286" t="str">
        <f>'A) Base RI'!B215</f>
        <v>Baulmes</v>
      </c>
      <c r="C214" s="95">
        <f>'B) D RI'!U215</f>
        <v>28471.572156862745</v>
      </c>
      <c r="D214" s="110">
        <f>'E) PCS'!G220/C214</f>
        <v>18.165768852732896</v>
      </c>
      <c r="E214" s="136">
        <f>'H) Péréquation directe'!I224/C214</f>
        <v>-8.5214567486201585</v>
      </c>
      <c r="F214" s="405"/>
      <c r="G214" s="136">
        <f t="shared" si="13"/>
        <v>9.6443121041127373</v>
      </c>
      <c r="H214" s="110">
        <f t="shared" si="14"/>
        <v>9.6443121041127373</v>
      </c>
      <c r="I214" s="136">
        <f t="shared" si="15"/>
        <v>0</v>
      </c>
      <c r="J214" s="55">
        <f t="shared" si="16"/>
        <v>0</v>
      </c>
      <c r="K214" s="36"/>
    </row>
    <row r="215" spans="1:11" x14ac:dyDescent="0.25">
      <c r="A215" s="49">
        <f>'A) Base RI'!A216</f>
        <v>5746</v>
      </c>
      <c r="B215" s="286" t="str">
        <f>'A) Base RI'!B216</f>
        <v>Bavois</v>
      </c>
      <c r="C215" s="95">
        <f>'B) D RI'!U216</f>
        <v>27408.124908675796</v>
      </c>
      <c r="D215" s="110">
        <f>'E) PCS'!G221/C215</f>
        <v>18.393536225865482</v>
      </c>
      <c r="E215" s="136">
        <f>'H) Péréquation directe'!I225/C215</f>
        <v>-1.1445596395042685</v>
      </c>
      <c r="F215" s="405"/>
      <c r="G215" s="136">
        <f t="shared" si="13"/>
        <v>17.248976586361213</v>
      </c>
      <c r="H215" s="110">
        <f t="shared" si="14"/>
        <v>17.248976586361213</v>
      </c>
      <c r="I215" s="136">
        <f t="shared" si="15"/>
        <v>0</v>
      </c>
      <c r="J215" s="55">
        <f t="shared" si="16"/>
        <v>0</v>
      </c>
      <c r="K215" s="36"/>
    </row>
    <row r="216" spans="1:11" x14ac:dyDescent="0.25">
      <c r="A216" s="49">
        <f>'A) Base RI'!A217</f>
        <v>5747</v>
      </c>
      <c r="B216" s="286" t="str">
        <f>'A) Base RI'!B217</f>
        <v>Bofflens</v>
      </c>
      <c r="C216" s="95">
        <f>'B) D RI'!U217</f>
        <v>5808.1759420289845</v>
      </c>
      <c r="D216" s="110">
        <f>'E) PCS'!G222/C216</f>
        <v>12.224461719534611</v>
      </c>
      <c r="E216" s="136">
        <f>'H) Péréquation directe'!I226/C216</f>
        <v>0.73370989598492764</v>
      </c>
      <c r="F216" s="405"/>
      <c r="G216" s="136">
        <f t="shared" si="13"/>
        <v>12.958171615519539</v>
      </c>
      <c r="H216" s="110">
        <f t="shared" si="14"/>
        <v>12.958171615519539</v>
      </c>
      <c r="I216" s="136">
        <f t="shared" si="15"/>
        <v>0</v>
      </c>
      <c r="J216" s="55">
        <f t="shared" si="16"/>
        <v>0</v>
      </c>
      <c r="K216" s="36"/>
    </row>
    <row r="217" spans="1:11" x14ac:dyDescent="0.25">
      <c r="A217" s="49">
        <f>'A) Base RI'!A218</f>
        <v>5748</v>
      </c>
      <c r="B217" s="286" t="str">
        <f>'A) Base RI'!B218</f>
        <v>Bretonnières</v>
      </c>
      <c r="C217" s="95">
        <f>'B) D RI'!U218</f>
        <v>6643.6153664302601</v>
      </c>
      <c r="D217" s="110">
        <f>'E) PCS'!G223/C217</f>
        <v>14.735199616381722</v>
      </c>
      <c r="E217" s="136">
        <f>'H) Péréquation directe'!I227/C217</f>
        <v>-4.8342824884887081</v>
      </c>
      <c r="F217" s="405"/>
      <c r="G217" s="136">
        <f t="shared" si="13"/>
        <v>9.9009171278930133</v>
      </c>
      <c r="H217" s="110">
        <f t="shared" si="14"/>
        <v>9.9009171278930133</v>
      </c>
      <c r="I217" s="136">
        <f t="shared" si="15"/>
        <v>0</v>
      </c>
      <c r="J217" s="55">
        <f t="shared" si="16"/>
        <v>0</v>
      </c>
      <c r="K217" s="36"/>
    </row>
    <row r="218" spans="1:11" x14ac:dyDescent="0.25">
      <c r="A218" s="49">
        <f>'A) Base RI'!A219</f>
        <v>5749</v>
      </c>
      <c r="B218" s="286" t="str">
        <f>'A) Base RI'!B219</f>
        <v>Chavornay</v>
      </c>
      <c r="C218" s="95">
        <f>'B) D RI'!U219</f>
        <v>153338.61687943264</v>
      </c>
      <c r="D218" s="110">
        <f>'E) PCS'!G224/C218</f>
        <v>15.297633868279547</v>
      </c>
      <c r="E218" s="136">
        <f>'H) Péréquation directe'!I228/C218</f>
        <v>-8.2941318567802931</v>
      </c>
      <c r="F218" s="405"/>
      <c r="G218" s="136">
        <f t="shared" si="13"/>
        <v>7.0035020114992541</v>
      </c>
      <c r="H218" s="110">
        <f t="shared" si="14"/>
        <v>7.0035020114992541</v>
      </c>
      <c r="I218" s="136">
        <f t="shared" si="15"/>
        <v>0</v>
      </c>
      <c r="J218" s="55">
        <f t="shared" si="16"/>
        <v>0</v>
      </c>
      <c r="K218" s="36"/>
    </row>
    <row r="219" spans="1:11" x14ac:dyDescent="0.25">
      <c r="A219" s="49">
        <f>'A) Base RI'!A220</f>
        <v>5750</v>
      </c>
      <c r="B219" s="286" t="str">
        <f>'A) Base RI'!B220</f>
        <v>Les Clées</v>
      </c>
      <c r="C219" s="95">
        <f>'B) D RI'!U220</f>
        <v>4819.774166666667</v>
      </c>
      <c r="D219" s="110">
        <f>'E) PCS'!G225/C219</f>
        <v>16.873424164572295</v>
      </c>
      <c r="E219" s="136">
        <f>'H) Péréquation directe'!I229/C219</f>
        <v>-7.0945456121581332</v>
      </c>
      <c r="F219" s="405"/>
      <c r="G219" s="136">
        <f t="shared" si="13"/>
        <v>9.778878552414163</v>
      </c>
      <c r="H219" s="110">
        <f t="shared" si="14"/>
        <v>9.778878552414163</v>
      </c>
      <c r="I219" s="136">
        <f t="shared" si="15"/>
        <v>0</v>
      </c>
      <c r="J219" s="55">
        <f t="shared" si="16"/>
        <v>0</v>
      </c>
      <c r="K219" s="36"/>
    </row>
    <row r="220" spans="1:11" x14ac:dyDescent="0.25">
      <c r="A220" s="49">
        <f>'A) Base RI'!A221</f>
        <v>5752</v>
      </c>
      <c r="B220" s="286" t="str">
        <f>'A) Base RI'!B221</f>
        <v>Croy</v>
      </c>
      <c r="C220" s="95">
        <f>'B) D RI'!U221</f>
        <v>9670.9952316602321</v>
      </c>
      <c r="D220" s="110">
        <f>'E) PCS'!G226/C220</f>
        <v>14.178418778616093</v>
      </c>
      <c r="E220" s="136">
        <f>'H) Péréquation directe'!I230/C220</f>
        <v>-7.073795528280197</v>
      </c>
      <c r="F220" s="405"/>
      <c r="G220" s="136">
        <f t="shared" si="13"/>
        <v>7.1046232503358961</v>
      </c>
      <c r="H220" s="110">
        <f t="shared" si="14"/>
        <v>7.1046232503358961</v>
      </c>
      <c r="I220" s="136">
        <f t="shared" si="15"/>
        <v>0</v>
      </c>
      <c r="J220" s="55">
        <f t="shared" si="16"/>
        <v>0</v>
      </c>
      <c r="K220" s="36"/>
    </row>
    <row r="221" spans="1:11" x14ac:dyDescent="0.25">
      <c r="A221" s="49">
        <f>'A) Base RI'!A222</f>
        <v>5754</v>
      </c>
      <c r="B221" s="286" t="str">
        <f>'A) Base RI'!B222</f>
        <v>Juriens</v>
      </c>
      <c r="C221" s="95">
        <f>'B) D RI'!U222</f>
        <v>9073.6935443037964</v>
      </c>
      <c r="D221" s="110">
        <f>'E) PCS'!G227/C221</f>
        <v>19.36790888949357</v>
      </c>
      <c r="E221" s="136">
        <f>'H) Péréquation directe'!I231/C221</f>
        <v>-7.3562979966347068</v>
      </c>
      <c r="F221" s="405"/>
      <c r="G221" s="136">
        <f t="shared" si="13"/>
        <v>12.011610892858863</v>
      </c>
      <c r="H221" s="110">
        <f t="shared" si="14"/>
        <v>12.011610892858863</v>
      </c>
      <c r="I221" s="136">
        <f t="shared" si="15"/>
        <v>0</v>
      </c>
      <c r="J221" s="55">
        <f t="shared" si="16"/>
        <v>0</v>
      </c>
      <c r="K221" s="36"/>
    </row>
    <row r="222" spans="1:11" x14ac:dyDescent="0.25">
      <c r="A222" s="49">
        <f>'A) Base RI'!A223</f>
        <v>5755</v>
      </c>
      <c r="B222" s="286" t="str">
        <f>'A) Base RI'!B223</f>
        <v>Lignerolle</v>
      </c>
      <c r="C222" s="95">
        <f>'B) D RI'!U223</f>
        <v>10746.718034576888</v>
      </c>
      <c r="D222" s="110">
        <f>'E) PCS'!G228/C222</f>
        <v>15.604294736007921</v>
      </c>
      <c r="E222" s="136">
        <f>'H) Péréquation directe'!I232/C222</f>
        <v>-6.6984666063594114</v>
      </c>
      <c r="F222" s="405"/>
      <c r="G222" s="136">
        <f t="shared" si="13"/>
        <v>8.9058281296485085</v>
      </c>
      <c r="H222" s="110">
        <f t="shared" si="14"/>
        <v>8.9058281296485085</v>
      </c>
      <c r="I222" s="136">
        <f t="shared" si="15"/>
        <v>0</v>
      </c>
      <c r="J222" s="55">
        <f t="shared" si="16"/>
        <v>0</v>
      </c>
      <c r="K222" s="36"/>
    </row>
    <row r="223" spans="1:11" x14ac:dyDescent="0.25">
      <c r="A223" s="49">
        <f>'A) Base RI'!A224</f>
        <v>5756</v>
      </c>
      <c r="B223" s="286" t="str">
        <f>'A) Base RI'!B224</f>
        <v>Montcherand</v>
      </c>
      <c r="C223" s="95">
        <f>'B) D RI'!U224</f>
        <v>17739.52444444444</v>
      </c>
      <c r="D223" s="110">
        <f>'E) PCS'!G229/C223</f>
        <v>13.882732536994915</v>
      </c>
      <c r="E223" s="136">
        <f>'H) Péréquation directe'!I233/C223</f>
        <v>7.6081307812622665</v>
      </c>
      <c r="F223" s="405"/>
      <c r="G223" s="136">
        <f t="shared" si="13"/>
        <v>21.490863318257183</v>
      </c>
      <c r="H223" s="110">
        <f t="shared" si="14"/>
        <v>21.490863318257183</v>
      </c>
      <c r="I223" s="136">
        <f t="shared" si="15"/>
        <v>0</v>
      </c>
      <c r="J223" s="55">
        <f t="shared" si="16"/>
        <v>0</v>
      </c>
      <c r="K223" s="36"/>
    </row>
    <row r="224" spans="1:11" x14ac:dyDescent="0.25">
      <c r="A224" s="49">
        <f>'A) Base RI'!A225</f>
        <v>5757</v>
      </c>
      <c r="B224" s="286" t="str">
        <f>'A) Base RI'!B225</f>
        <v>Orbe</v>
      </c>
      <c r="C224" s="95">
        <f>'B) D RI'!U225</f>
        <v>216184.82317880794</v>
      </c>
      <c r="D224" s="110">
        <f>'E) PCS'!G230/C224</f>
        <v>19.898220351101571</v>
      </c>
      <c r="E224" s="136">
        <f>'H) Péréquation directe'!I234/C224</f>
        <v>-12.581303915602842</v>
      </c>
      <c r="F224" s="405"/>
      <c r="G224" s="136">
        <f t="shared" si="13"/>
        <v>7.3169164354987295</v>
      </c>
      <c r="H224" s="110">
        <f t="shared" si="14"/>
        <v>7.3169164354987295</v>
      </c>
      <c r="I224" s="136">
        <f t="shared" si="15"/>
        <v>0</v>
      </c>
      <c r="J224" s="55">
        <f t="shared" si="16"/>
        <v>0</v>
      </c>
      <c r="K224" s="36"/>
    </row>
    <row r="225" spans="1:11" x14ac:dyDescent="0.25">
      <c r="A225" s="49">
        <f>'A) Base RI'!A226</f>
        <v>5758</v>
      </c>
      <c r="B225" s="286" t="str">
        <f>'A) Base RI'!B226</f>
        <v>La Praz</v>
      </c>
      <c r="C225" s="95">
        <f>'B) D RI'!U226</f>
        <v>4771.8661445783146</v>
      </c>
      <c r="D225" s="110">
        <f>'E) PCS'!G231/C225</f>
        <v>16.779946843651636</v>
      </c>
      <c r="E225" s="136">
        <f>'H) Péréquation directe'!I235/C225</f>
        <v>-9.26688148877383</v>
      </c>
      <c r="F225" s="405"/>
      <c r="G225" s="136">
        <f t="shared" si="13"/>
        <v>7.5130653548778064</v>
      </c>
      <c r="H225" s="110">
        <f t="shared" si="14"/>
        <v>7.5130653548778064</v>
      </c>
      <c r="I225" s="136">
        <f t="shared" si="15"/>
        <v>0</v>
      </c>
      <c r="J225" s="55">
        <f t="shared" si="16"/>
        <v>0</v>
      </c>
      <c r="K225" s="36"/>
    </row>
    <row r="226" spans="1:11" x14ac:dyDescent="0.25">
      <c r="A226" s="49">
        <f>'A) Base RI'!A227</f>
        <v>5759</v>
      </c>
      <c r="B226" s="286" t="str">
        <f>'A) Base RI'!B227</f>
        <v>Premier</v>
      </c>
      <c r="C226" s="95">
        <f>'B) D RI'!U227</f>
        <v>5900.0572327044019</v>
      </c>
      <c r="D226" s="110">
        <f>'E) PCS'!G232/C226</f>
        <v>12.41760479282971</v>
      </c>
      <c r="E226" s="136">
        <f>'H) Péréquation directe'!I236/C226</f>
        <v>-8.9341646694884354</v>
      </c>
      <c r="F226" s="405"/>
      <c r="G226" s="136">
        <f t="shared" si="13"/>
        <v>3.4834401233412748</v>
      </c>
      <c r="H226" s="110">
        <f t="shared" si="14"/>
        <v>3.4834401233412748</v>
      </c>
      <c r="I226" s="136">
        <f t="shared" si="15"/>
        <v>0</v>
      </c>
      <c r="J226" s="55">
        <f t="shared" si="16"/>
        <v>0</v>
      </c>
      <c r="K226" s="36"/>
    </row>
    <row r="227" spans="1:11" x14ac:dyDescent="0.25">
      <c r="A227" s="49">
        <f>'A) Base RI'!A228</f>
        <v>5760</v>
      </c>
      <c r="B227" s="286" t="str">
        <f>'A) Base RI'!B228</f>
        <v>Rances</v>
      </c>
      <c r="C227" s="95">
        <f>'B) D RI'!U228</f>
        <v>14481.892461873636</v>
      </c>
      <c r="D227" s="110">
        <f>'E) PCS'!G233/C227</f>
        <v>16.081836019071588</v>
      </c>
      <c r="E227" s="136">
        <f>'H) Péréquation directe'!I237/C227</f>
        <v>-2.2541354682610706</v>
      </c>
      <c r="F227" s="405"/>
      <c r="G227" s="136">
        <f t="shared" si="13"/>
        <v>13.827700550810517</v>
      </c>
      <c r="H227" s="110">
        <f t="shared" si="14"/>
        <v>13.827700550810517</v>
      </c>
      <c r="I227" s="136">
        <f t="shared" si="15"/>
        <v>0</v>
      </c>
      <c r="J227" s="55">
        <f t="shared" si="16"/>
        <v>0</v>
      </c>
      <c r="K227" s="36"/>
    </row>
    <row r="228" spans="1:11" x14ac:dyDescent="0.25">
      <c r="A228" s="49">
        <f>'A) Base RI'!A229</f>
        <v>5761</v>
      </c>
      <c r="B228" s="286" t="str">
        <f>'A) Base RI'!B229</f>
        <v>Romainmôtier-Envy</v>
      </c>
      <c r="C228" s="95">
        <f>'B) D RI'!U229</f>
        <v>12913.984792368126</v>
      </c>
      <c r="D228" s="110">
        <f>'E) PCS'!G234/C228</f>
        <v>19.578580729712542</v>
      </c>
      <c r="E228" s="136">
        <f>'H) Péréquation directe'!I238/C228</f>
        <v>-14.469815029387069</v>
      </c>
      <c r="F228" s="405"/>
      <c r="G228" s="136">
        <f t="shared" si="13"/>
        <v>5.1087657003254723</v>
      </c>
      <c r="H228" s="110">
        <f t="shared" si="14"/>
        <v>5.1087657003254723</v>
      </c>
      <c r="I228" s="136">
        <f t="shared" si="15"/>
        <v>0</v>
      </c>
      <c r="J228" s="55">
        <f t="shared" si="16"/>
        <v>0</v>
      </c>
      <c r="K228" s="36"/>
    </row>
    <row r="229" spans="1:11" x14ac:dyDescent="0.25">
      <c r="A229" s="49">
        <f>'A) Base RI'!A230</f>
        <v>5762</v>
      </c>
      <c r="B229" s="286" t="str">
        <f>'A) Base RI'!B230</f>
        <v>Sergey</v>
      </c>
      <c r="C229" s="95">
        <f>'B) D RI'!U230</f>
        <v>3849.6283333333336</v>
      </c>
      <c r="D229" s="110">
        <f>'E) PCS'!G235/C229</f>
        <v>13.141381397308763</v>
      </c>
      <c r="E229" s="136">
        <f>'H) Péréquation directe'!I239/C229</f>
        <v>-4.5708575197947301</v>
      </c>
      <c r="F229" s="405"/>
      <c r="G229" s="136">
        <f t="shared" si="13"/>
        <v>8.5705238775140327</v>
      </c>
      <c r="H229" s="110">
        <f t="shared" si="14"/>
        <v>8.5705238775140327</v>
      </c>
      <c r="I229" s="136">
        <f t="shared" si="15"/>
        <v>0</v>
      </c>
      <c r="J229" s="55">
        <f t="shared" si="16"/>
        <v>0</v>
      </c>
      <c r="K229" s="36"/>
    </row>
    <row r="230" spans="1:11" x14ac:dyDescent="0.25">
      <c r="A230" s="49">
        <f>'A) Base RI'!A231</f>
        <v>5763</v>
      </c>
      <c r="B230" s="286" t="str">
        <f>'A) Base RI'!B231</f>
        <v>Valeyres-sous-Rances</v>
      </c>
      <c r="C230" s="95">
        <f>'B) D RI'!U231</f>
        <v>22663.97352941176</v>
      </c>
      <c r="D230" s="110">
        <f>'E) PCS'!G236/C230</f>
        <v>13.230427277621006</v>
      </c>
      <c r="E230" s="136">
        <f>'H) Péréquation directe'!I240/C230</f>
        <v>9.6679076663251315</v>
      </c>
      <c r="F230" s="405"/>
      <c r="G230" s="136">
        <f t="shared" si="13"/>
        <v>22.898334943946139</v>
      </c>
      <c r="H230" s="110">
        <f t="shared" si="14"/>
        <v>22.898334943946139</v>
      </c>
      <c r="I230" s="136">
        <f t="shared" si="15"/>
        <v>0</v>
      </c>
      <c r="J230" s="55">
        <f t="shared" si="16"/>
        <v>0</v>
      </c>
      <c r="K230" s="36"/>
    </row>
    <row r="231" spans="1:11" x14ac:dyDescent="0.25">
      <c r="A231" s="49">
        <f>'A) Base RI'!A232</f>
        <v>5764</v>
      </c>
      <c r="B231" s="286" t="str">
        <f>'A) Base RI'!B232</f>
        <v>Vallorbe</v>
      </c>
      <c r="C231" s="95">
        <f>'B) D RI'!U232</f>
        <v>83682.382797202779</v>
      </c>
      <c r="D231" s="110">
        <f>'E) PCS'!G237/C231</f>
        <v>22.846586097168135</v>
      </c>
      <c r="E231" s="136">
        <f>'H) Péréquation directe'!I241/C231</f>
        <v>-22.502367226558437</v>
      </c>
      <c r="F231" s="405"/>
      <c r="G231" s="136">
        <f t="shared" si="13"/>
        <v>0.3442188706096978</v>
      </c>
      <c r="H231" s="110">
        <f t="shared" si="14"/>
        <v>0.3442188706096978</v>
      </c>
      <c r="I231" s="136">
        <f t="shared" si="15"/>
        <v>0</v>
      </c>
      <c r="J231" s="55">
        <f t="shared" si="16"/>
        <v>0</v>
      </c>
      <c r="K231" s="36"/>
    </row>
    <row r="232" spans="1:11" x14ac:dyDescent="0.25">
      <c r="A232" s="49">
        <f>'A) Base RI'!A233</f>
        <v>5765</v>
      </c>
      <c r="B232" s="286" t="str">
        <f>'A) Base RI'!B233</f>
        <v>Vaulion</v>
      </c>
      <c r="C232" s="95">
        <f>'B) D RI'!U233</f>
        <v>10279.479012345679</v>
      </c>
      <c r="D232" s="110">
        <f>'E) PCS'!G238/C232</f>
        <v>17.049122116149345</v>
      </c>
      <c r="E232" s="136">
        <f>'H) Péréquation directe'!I242/C232</f>
        <v>-21.715773130093829</v>
      </c>
      <c r="F232" s="405"/>
      <c r="G232" s="136">
        <f t="shared" si="13"/>
        <v>-4.6666510139444846</v>
      </c>
      <c r="H232" s="110">
        <f t="shared" si="14"/>
        <v>-4.6666510139444846</v>
      </c>
      <c r="I232" s="136">
        <f t="shared" si="15"/>
        <v>0</v>
      </c>
      <c r="J232" s="55">
        <f t="shared" si="16"/>
        <v>0</v>
      </c>
      <c r="K232" s="36"/>
    </row>
    <row r="233" spans="1:11" x14ac:dyDescent="0.25">
      <c r="A233" s="49">
        <f>'A) Base RI'!A234</f>
        <v>5766</v>
      </c>
      <c r="B233" s="286" t="str">
        <f>'A) Base RI'!B234</f>
        <v>Vuiteboeuf</v>
      </c>
      <c r="C233" s="95">
        <f>'B) D RI'!U234</f>
        <v>15554.101904761903</v>
      </c>
      <c r="D233" s="110">
        <f>'E) PCS'!G239/C233</f>
        <v>15.529901820820271</v>
      </c>
      <c r="E233" s="136">
        <f>'H) Péréquation directe'!I243/C233</f>
        <v>-4.8133469307097707</v>
      </c>
      <c r="F233" s="405"/>
      <c r="G233" s="136">
        <f t="shared" si="13"/>
        <v>10.716554890110501</v>
      </c>
      <c r="H233" s="110">
        <f t="shared" si="14"/>
        <v>10.716554890110501</v>
      </c>
      <c r="I233" s="136">
        <f t="shared" si="15"/>
        <v>0</v>
      </c>
      <c r="J233" s="55">
        <f t="shared" si="16"/>
        <v>0</v>
      </c>
      <c r="K233" s="36"/>
    </row>
    <row r="234" spans="1:11" x14ac:dyDescent="0.25">
      <c r="A234" s="49">
        <f>'A) Base RI'!A235</f>
        <v>5785</v>
      </c>
      <c r="B234" s="286" t="str">
        <f>'A) Base RI'!B235</f>
        <v>Corcelles-le-Jorat</v>
      </c>
      <c r="C234" s="95">
        <f>'B) D RI'!U235</f>
        <v>14579.940909090908</v>
      </c>
      <c r="D234" s="110">
        <f>'E) PCS'!G240/C234</f>
        <v>14.796392446698698</v>
      </c>
      <c r="E234" s="136">
        <f>'H) Péréquation directe'!I244/C234</f>
        <v>-0.16291791727402422</v>
      </c>
      <c r="F234" s="405"/>
      <c r="G234" s="136">
        <f t="shared" si="13"/>
        <v>14.633474529424674</v>
      </c>
      <c r="H234" s="110">
        <f t="shared" si="14"/>
        <v>14.633474529424674</v>
      </c>
      <c r="I234" s="136">
        <f t="shared" si="15"/>
        <v>0</v>
      </c>
      <c r="J234" s="55">
        <f t="shared" si="16"/>
        <v>0</v>
      </c>
      <c r="K234" s="36"/>
    </row>
    <row r="235" spans="1:11" x14ac:dyDescent="0.25">
      <c r="A235" s="49">
        <f>'A) Base RI'!A236</f>
        <v>5788</v>
      </c>
      <c r="B235" s="286" t="str">
        <f>'A) Base RI'!B236</f>
        <v>Essertes</v>
      </c>
      <c r="C235" s="95">
        <f>'B) D RI'!U236</f>
        <v>13314.951048951047</v>
      </c>
      <c r="D235" s="110">
        <f>'E) PCS'!G241/C235</f>
        <v>13.288612905349334</v>
      </c>
      <c r="E235" s="136">
        <f>'H) Péréquation directe'!I245/C235</f>
        <v>6.0232096293997133</v>
      </c>
      <c r="F235" s="405"/>
      <c r="G235" s="136">
        <f t="shared" si="13"/>
        <v>19.311822534749048</v>
      </c>
      <c r="H235" s="110">
        <f t="shared" si="14"/>
        <v>19.311822534749048</v>
      </c>
      <c r="I235" s="136">
        <f t="shared" si="15"/>
        <v>0</v>
      </c>
      <c r="J235" s="55">
        <f t="shared" si="16"/>
        <v>0</v>
      </c>
      <c r="K235" s="36"/>
    </row>
    <row r="236" spans="1:11" x14ac:dyDescent="0.25">
      <c r="A236" s="49">
        <f>'A) Base RI'!A237</f>
        <v>5790</v>
      </c>
      <c r="B236" s="286" t="str">
        <f>'A) Base RI'!B237</f>
        <v>Maracon</v>
      </c>
      <c r="C236" s="95">
        <f>'B) D RI'!U237</f>
        <v>15172.050604026846</v>
      </c>
      <c r="D236" s="110">
        <f>'E) PCS'!G242/C236</f>
        <v>14.379575712365325</v>
      </c>
      <c r="E236" s="136">
        <f>'H) Péréquation directe'!I246/C236</f>
        <v>-2.2323108583473825</v>
      </c>
      <c r="F236" s="405"/>
      <c r="G236" s="136">
        <f t="shared" si="13"/>
        <v>12.147264854017942</v>
      </c>
      <c r="H236" s="110">
        <f t="shared" si="14"/>
        <v>12.147264854017942</v>
      </c>
      <c r="I236" s="136">
        <f t="shared" si="15"/>
        <v>0</v>
      </c>
      <c r="J236" s="55">
        <f t="shared" si="16"/>
        <v>0</v>
      </c>
      <c r="K236" s="36"/>
    </row>
    <row r="237" spans="1:11" x14ac:dyDescent="0.25">
      <c r="A237" s="49">
        <f>'A) Base RI'!A238</f>
        <v>5792</v>
      </c>
      <c r="B237" s="286" t="str">
        <f>'A) Base RI'!B238</f>
        <v>Montpreveyres</v>
      </c>
      <c r="C237" s="95">
        <f>'B) D RI'!U238</f>
        <v>20145.836291390729</v>
      </c>
      <c r="D237" s="110">
        <f>'E) PCS'!G243/C237</f>
        <v>16.537254833302196</v>
      </c>
      <c r="E237" s="136">
        <f>'H) Péréquation directe'!I247/C237</f>
        <v>1.2414255242341161</v>
      </c>
      <c r="F237" s="405"/>
      <c r="G237" s="136">
        <f t="shared" si="13"/>
        <v>17.778680357536313</v>
      </c>
      <c r="H237" s="110">
        <f t="shared" si="14"/>
        <v>17.778680357536313</v>
      </c>
      <c r="I237" s="136">
        <f t="shared" si="15"/>
        <v>0</v>
      </c>
      <c r="J237" s="55">
        <f t="shared" si="16"/>
        <v>0</v>
      </c>
      <c r="K237" s="36"/>
    </row>
    <row r="238" spans="1:11" x14ac:dyDescent="0.25">
      <c r="A238" s="49">
        <f>'A) Base RI'!A239</f>
        <v>5798</v>
      </c>
      <c r="B238" s="286" t="str">
        <f>'A) Base RI'!B239</f>
        <v>Ropraz</v>
      </c>
      <c r="C238" s="95">
        <f>'B) D RI'!U239</f>
        <v>17444.805161290325</v>
      </c>
      <c r="D238" s="110">
        <f>'E) PCS'!G244/C238</f>
        <v>16.149708131461189</v>
      </c>
      <c r="E238" s="136">
        <f>'H) Péréquation directe'!I248/C238</f>
        <v>3.414103659519018</v>
      </c>
      <c r="F238" s="405"/>
      <c r="G238" s="136">
        <f t="shared" si="13"/>
        <v>19.563811790980207</v>
      </c>
      <c r="H238" s="110">
        <f t="shared" si="14"/>
        <v>19.563811790980207</v>
      </c>
      <c r="I238" s="136">
        <f t="shared" si="15"/>
        <v>0</v>
      </c>
      <c r="J238" s="55">
        <f t="shared" si="16"/>
        <v>0</v>
      </c>
      <c r="K238" s="36"/>
    </row>
    <row r="239" spans="1:11" x14ac:dyDescent="0.25">
      <c r="A239" s="49">
        <f>'A) Base RI'!A240</f>
        <v>5799</v>
      </c>
      <c r="B239" s="286" t="str">
        <f>'A) Base RI'!B240</f>
        <v>Servion</v>
      </c>
      <c r="C239" s="95">
        <f>'B) D RI'!U240</f>
        <v>71744.263478260895</v>
      </c>
      <c r="D239" s="110">
        <f>'E) PCS'!G245/C239</f>
        <v>15.665961030540457</v>
      </c>
      <c r="E239" s="136">
        <f>'H) Péréquation directe'!I249/C239</f>
        <v>3.6502767015731283</v>
      </c>
      <c r="F239" s="405"/>
      <c r="G239" s="136">
        <f t="shared" si="13"/>
        <v>19.316237732113585</v>
      </c>
      <c r="H239" s="110">
        <f t="shared" si="14"/>
        <v>19.316237732113585</v>
      </c>
      <c r="I239" s="136">
        <f t="shared" si="15"/>
        <v>0</v>
      </c>
      <c r="J239" s="55">
        <f t="shared" si="16"/>
        <v>0</v>
      </c>
      <c r="K239" s="36"/>
    </row>
    <row r="240" spans="1:11" x14ac:dyDescent="0.25">
      <c r="A240" s="49">
        <f>'A) Base RI'!A241</f>
        <v>5803</v>
      </c>
      <c r="B240" s="286" t="str">
        <f>'A) Base RI'!B241</f>
        <v>Vulliens</v>
      </c>
      <c r="C240" s="95">
        <f>'B) D RI'!U241</f>
        <v>17996.188026315795</v>
      </c>
      <c r="D240" s="110">
        <f>'E) PCS'!G246/C240</f>
        <v>15.195950845260358</v>
      </c>
      <c r="E240" s="136">
        <f>'H) Péréquation directe'!I250/C240</f>
        <v>-1.6748440393099147</v>
      </c>
      <c r="F240" s="405"/>
      <c r="G240" s="136">
        <f t="shared" si="13"/>
        <v>13.521106805950442</v>
      </c>
      <c r="H240" s="110">
        <f t="shared" si="14"/>
        <v>13.521106805950442</v>
      </c>
      <c r="I240" s="136">
        <f t="shared" si="15"/>
        <v>0</v>
      </c>
      <c r="J240" s="55">
        <f t="shared" si="16"/>
        <v>0</v>
      </c>
      <c r="K240" s="36"/>
    </row>
    <row r="241" spans="1:11" x14ac:dyDescent="0.25">
      <c r="A241" s="49">
        <f>'A) Base RI'!A242</f>
        <v>5804</v>
      </c>
      <c r="B241" s="286" t="str">
        <f>'A) Base RI'!B242</f>
        <v>Jorat-Menthue</v>
      </c>
      <c r="C241" s="95">
        <f>'B) D RI'!U242</f>
        <v>46854.424539007086</v>
      </c>
      <c r="D241" s="110">
        <f>'E) PCS'!G247/C241</f>
        <v>14.02429487596361</v>
      </c>
      <c r="E241" s="136">
        <f>'H) Péréquation directe'!I251/C241</f>
        <v>-1.3924563323562329</v>
      </c>
      <c r="F241" s="405"/>
      <c r="G241" s="136">
        <f t="shared" si="13"/>
        <v>12.631838543607378</v>
      </c>
      <c r="H241" s="110">
        <f t="shared" si="14"/>
        <v>12.631838543607378</v>
      </c>
      <c r="I241" s="136">
        <f t="shared" si="15"/>
        <v>0</v>
      </c>
      <c r="J241" s="55">
        <f t="shared" si="16"/>
        <v>0</v>
      </c>
      <c r="K241" s="36"/>
    </row>
    <row r="242" spans="1:11" x14ac:dyDescent="0.25">
      <c r="A242" s="49">
        <f>'A) Base RI'!A243</f>
        <v>5805</v>
      </c>
      <c r="B242" s="286" t="str">
        <f>'A) Base RI'!B243</f>
        <v>Oron</v>
      </c>
      <c r="C242" s="95">
        <f>'B) D RI'!U243</f>
        <v>162115.58504611329</v>
      </c>
      <c r="D242" s="110">
        <f>'E) PCS'!G248/C242</f>
        <v>14.165422656175645</v>
      </c>
      <c r="E242" s="136">
        <f>'H) Péréquation directe'!I252/C242</f>
        <v>-8.4071755725547526</v>
      </c>
      <c r="F242" s="405"/>
      <c r="G242" s="136">
        <f t="shared" si="13"/>
        <v>5.7582470836208923</v>
      </c>
      <c r="H242" s="110">
        <f t="shared" si="14"/>
        <v>5.7582470836208923</v>
      </c>
      <c r="I242" s="136">
        <f t="shared" si="15"/>
        <v>0</v>
      </c>
      <c r="J242" s="55">
        <f t="shared" si="16"/>
        <v>0</v>
      </c>
      <c r="K242" s="36"/>
    </row>
    <row r="243" spans="1:11" x14ac:dyDescent="0.25">
      <c r="A243" s="49">
        <f>'A) Base RI'!A244</f>
        <v>5806</v>
      </c>
      <c r="B243" s="286" t="str">
        <f>'A) Base RI'!B244</f>
        <v>Jorat-Mézières</v>
      </c>
      <c r="C243" s="95">
        <f>'B) D RI'!U244</f>
        <v>102077.74465753423</v>
      </c>
      <c r="D243" s="110">
        <f>'E) PCS'!G249/C243</f>
        <v>17.04380302299128</v>
      </c>
      <c r="E243" s="136">
        <f>'H) Péréquation directe'!I253/C243</f>
        <v>0.30819879341531903</v>
      </c>
      <c r="F243" s="405"/>
      <c r="G243" s="136">
        <f t="shared" si="13"/>
        <v>17.352001816406599</v>
      </c>
      <c r="H243" s="110">
        <f t="shared" si="14"/>
        <v>17.352001816406599</v>
      </c>
      <c r="I243" s="136">
        <f t="shared" si="15"/>
        <v>0</v>
      </c>
      <c r="J243" s="55">
        <f t="shared" si="16"/>
        <v>0</v>
      </c>
      <c r="K243" s="36"/>
    </row>
    <row r="244" spans="1:11" x14ac:dyDescent="0.25">
      <c r="A244" s="49">
        <f>'A) Base RI'!A245</f>
        <v>5812</v>
      </c>
      <c r="B244" s="286" t="str">
        <f>'A) Base RI'!B245</f>
        <v>Champtauroz</v>
      </c>
      <c r="C244" s="95">
        <f>'B) D RI'!U245</f>
        <v>3349.1505194805191</v>
      </c>
      <c r="D244" s="110">
        <f>'E) PCS'!G250/C244</f>
        <v>14.314964175998545</v>
      </c>
      <c r="E244" s="136">
        <f>'H) Péréquation directe'!I254/C244</f>
        <v>-21.692804681526976</v>
      </c>
      <c r="F244" s="405"/>
      <c r="G244" s="136">
        <f t="shared" si="13"/>
        <v>-7.3778405055284306</v>
      </c>
      <c r="H244" s="110">
        <f t="shared" si="14"/>
        <v>-7.3778405055284306</v>
      </c>
      <c r="I244" s="136">
        <f t="shared" si="15"/>
        <v>0</v>
      </c>
      <c r="J244" s="55">
        <f t="shared" si="16"/>
        <v>0</v>
      </c>
      <c r="K244" s="36"/>
    </row>
    <row r="245" spans="1:11" x14ac:dyDescent="0.25">
      <c r="A245" s="49">
        <f>'A) Base RI'!A246</f>
        <v>5813</v>
      </c>
      <c r="B245" s="286" t="str">
        <f>'A) Base RI'!B246</f>
        <v>Chevroux</v>
      </c>
      <c r="C245" s="95">
        <f>'B) D RI'!U246</f>
        <v>15276.905328467155</v>
      </c>
      <c r="D245" s="110">
        <f>'E) PCS'!G251/C245</f>
        <v>17.178953700504032</v>
      </c>
      <c r="E245" s="136">
        <f>'H) Péréquation directe'!I255/C245</f>
        <v>3.3535593356681077</v>
      </c>
      <c r="F245" s="405"/>
      <c r="G245" s="136">
        <f t="shared" si="13"/>
        <v>20.532513036172141</v>
      </c>
      <c r="H245" s="110">
        <f t="shared" si="14"/>
        <v>20.532513036172141</v>
      </c>
      <c r="I245" s="136">
        <f t="shared" si="15"/>
        <v>0</v>
      </c>
      <c r="J245" s="55">
        <f t="shared" si="16"/>
        <v>0</v>
      </c>
      <c r="K245" s="36"/>
    </row>
    <row r="246" spans="1:11" x14ac:dyDescent="0.25">
      <c r="A246" s="49">
        <f>'A) Base RI'!A247</f>
        <v>5816</v>
      </c>
      <c r="B246" s="286" t="str">
        <f>'A) Base RI'!B247</f>
        <v>Corcelles-près-Payerne</v>
      </c>
      <c r="C246" s="95">
        <f>'B) D RI'!U247</f>
        <v>65651.255161626686</v>
      </c>
      <c r="D246" s="110">
        <f>'E) PCS'!G252/C246</f>
        <v>14.25851230141072</v>
      </c>
      <c r="E246" s="136">
        <f>'H) Péréquation directe'!I256/C246</f>
        <v>-11.15077556531177</v>
      </c>
      <c r="F246" s="405"/>
      <c r="G246" s="136">
        <f t="shared" si="13"/>
        <v>3.1077367360989498</v>
      </c>
      <c r="H246" s="110">
        <f t="shared" si="14"/>
        <v>3.1077367360989498</v>
      </c>
      <c r="I246" s="136">
        <f t="shared" si="15"/>
        <v>0</v>
      </c>
      <c r="J246" s="55">
        <f t="shared" si="16"/>
        <v>0</v>
      </c>
      <c r="K246" s="36"/>
    </row>
    <row r="247" spans="1:11" x14ac:dyDescent="0.25">
      <c r="A247" s="49">
        <f>'A) Base RI'!A248</f>
        <v>5817</v>
      </c>
      <c r="B247" s="286" t="str">
        <f>'A) Base RI'!B248</f>
        <v>Grandcour</v>
      </c>
      <c r="C247" s="95">
        <f>'B) D RI'!U248</f>
        <v>24623.103809523807</v>
      </c>
      <c r="D247" s="110">
        <f>'E) PCS'!G253/C247</f>
        <v>13.122525539773488</v>
      </c>
      <c r="E247" s="136">
        <f>'H) Péréquation directe'!I257/C247</f>
        <v>-6.509136509103703</v>
      </c>
      <c r="F247" s="405"/>
      <c r="G247" s="136">
        <f t="shared" si="13"/>
        <v>6.6133890306697847</v>
      </c>
      <c r="H247" s="110">
        <f t="shared" si="14"/>
        <v>6.6133890306697847</v>
      </c>
      <c r="I247" s="136">
        <f t="shared" si="15"/>
        <v>0</v>
      </c>
      <c r="J247" s="55">
        <f t="shared" si="16"/>
        <v>0</v>
      </c>
      <c r="K247" s="36"/>
    </row>
    <row r="248" spans="1:11" x14ac:dyDescent="0.25">
      <c r="A248" s="49">
        <f>'A) Base RI'!A249</f>
        <v>5819</v>
      </c>
      <c r="B248" s="286" t="str">
        <f>'A) Base RI'!B249</f>
        <v>Henniez</v>
      </c>
      <c r="C248" s="95">
        <f>'B) D RI'!U249</f>
        <v>10073.647101449274</v>
      </c>
      <c r="D248" s="110">
        <f>'E) PCS'!G254/C248</f>
        <v>15.487245942019163</v>
      </c>
      <c r="E248" s="136">
        <f>'H) Péréquation directe'!I258/C248</f>
        <v>-4.4298779792479035</v>
      </c>
      <c r="F248" s="405"/>
      <c r="G248" s="136">
        <f t="shared" si="13"/>
        <v>11.057367962771259</v>
      </c>
      <c r="H248" s="110">
        <f t="shared" si="14"/>
        <v>11.057367962771259</v>
      </c>
      <c r="I248" s="136">
        <f t="shared" si="15"/>
        <v>0</v>
      </c>
      <c r="J248" s="55">
        <f t="shared" si="16"/>
        <v>0</v>
      </c>
      <c r="K248" s="36"/>
    </row>
    <row r="249" spans="1:11" x14ac:dyDescent="0.25">
      <c r="A249" s="49">
        <f>'A) Base RI'!A250</f>
        <v>5821</v>
      </c>
      <c r="B249" s="286" t="str">
        <f>'A) Base RI'!B250</f>
        <v>Missy</v>
      </c>
      <c r="C249" s="95">
        <f>'B) D RI'!U250</f>
        <v>8044.6855555555558</v>
      </c>
      <c r="D249" s="110">
        <f>'E) PCS'!G255/C249</f>
        <v>13.721410649784008</v>
      </c>
      <c r="E249" s="136">
        <f>'H) Péréquation directe'!I259/C249</f>
        <v>-11.793238891804295</v>
      </c>
      <c r="F249" s="405"/>
      <c r="G249" s="136">
        <f t="shared" si="13"/>
        <v>1.9281717579797135</v>
      </c>
      <c r="H249" s="110">
        <f t="shared" si="14"/>
        <v>1.9281717579797135</v>
      </c>
      <c r="I249" s="136">
        <f t="shared" si="15"/>
        <v>0</v>
      </c>
      <c r="J249" s="55">
        <f t="shared" si="16"/>
        <v>0</v>
      </c>
      <c r="K249" s="36"/>
    </row>
    <row r="250" spans="1:11" x14ac:dyDescent="0.25">
      <c r="A250" s="49">
        <f>'A) Base RI'!A251</f>
        <v>5822</v>
      </c>
      <c r="B250" s="286" t="str">
        <f>'A) Base RI'!B251</f>
        <v>Payerne</v>
      </c>
      <c r="C250" s="95">
        <f>'B) D RI'!U251</f>
        <v>239984.44424657538</v>
      </c>
      <c r="D250" s="110">
        <f>'E) PCS'!G256/C250</f>
        <v>16.945172310117997</v>
      </c>
      <c r="E250" s="136">
        <f>'H) Péréquation directe'!I260/C250</f>
        <v>-25.993612105668259</v>
      </c>
      <c r="F250" s="405"/>
      <c r="G250" s="136">
        <f t="shared" si="13"/>
        <v>-9.0484397955502622</v>
      </c>
      <c r="H250" s="110">
        <f t="shared" si="14"/>
        <v>-9.0484397955502622</v>
      </c>
      <c r="I250" s="136">
        <f t="shared" si="15"/>
        <v>-1.0484397955502622</v>
      </c>
      <c r="J250" s="55">
        <f t="shared" si="16"/>
        <v>251609.2416611228</v>
      </c>
      <c r="K250" s="36"/>
    </row>
    <row r="251" spans="1:11" x14ac:dyDescent="0.25">
      <c r="A251" s="49">
        <f>'A) Base RI'!A252</f>
        <v>5827</v>
      </c>
      <c r="B251" s="286" t="str">
        <f>'A) Base RI'!B252</f>
        <v>Trey</v>
      </c>
      <c r="C251" s="95">
        <f>'B) D RI'!U252</f>
        <v>7747.4438461538457</v>
      </c>
      <c r="D251" s="110">
        <f>'E) PCS'!G257/C251</f>
        <v>19.63984106947516</v>
      </c>
      <c r="E251" s="136">
        <f>'H) Péréquation directe'!I261/C251</f>
        <v>-10.830109927523905</v>
      </c>
      <c r="F251" s="405"/>
      <c r="G251" s="136">
        <f t="shared" si="13"/>
        <v>8.8097311419512554</v>
      </c>
      <c r="H251" s="110">
        <f t="shared" si="14"/>
        <v>8.8097311419512554</v>
      </c>
      <c r="I251" s="136">
        <f t="shared" si="15"/>
        <v>0</v>
      </c>
      <c r="J251" s="55">
        <f t="shared" si="16"/>
        <v>0</v>
      </c>
      <c r="K251" s="36"/>
    </row>
    <row r="252" spans="1:11" x14ac:dyDescent="0.25">
      <c r="A252" s="49">
        <f>'A) Base RI'!A253</f>
        <v>5828</v>
      </c>
      <c r="B252" s="286" t="str">
        <f>'A) Base RI'!B253</f>
        <v>Treytorrens (Payerne)</v>
      </c>
      <c r="C252" s="95">
        <f>'B) D RI'!U253</f>
        <v>2899.2203232323236</v>
      </c>
      <c r="D252" s="110">
        <f>'E) PCS'!G258/C252</f>
        <v>14.55156547633163</v>
      </c>
      <c r="E252" s="136">
        <f>'H) Péréquation directe'!I262/C252</f>
        <v>-8.6997889109062587</v>
      </c>
      <c r="F252" s="405"/>
      <c r="G252" s="136">
        <f t="shared" si="13"/>
        <v>5.8517765654253715</v>
      </c>
      <c r="H252" s="110">
        <f t="shared" si="14"/>
        <v>5.8517765654253715</v>
      </c>
      <c r="I252" s="136">
        <f t="shared" si="15"/>
        <v>0</v>
      </c>
      <c r="J252" s="55">
        <f t="shared" si="16"/>
        <v>0</v>
      </c>
      <c r="K252" s="36"/>
    </row>
    <row r="253" spans="1:11" x14ac:dyDescent="0.25">
      <c r="A253" s="49">
        <f>'A) Base RI'!A254</f>
        <v>5830</v>
      </c>
      <c r="B253" s="286" t="str">
        <f>'A) Base RI'!B254</f>
        <v>Villarzel</v>
      </c>
      <c r="C253" s="95">
        <f>'B) D RI'!U254</f>
        <v>12409.986933333334</v>
      </c>
      <c r="D253" s="110">
        <f>'E) PCS'!G259/C253</f>
        <v>17.407360652711958</v>
      </c>
      <c r="E253" s="136">
        <f>'H) Péréquation directe'!I263/C253</f>
        <v>-7.5968044774965842</v>
      </c>
      <c r="F253" s="405"/>
      <c r="G253" s="136">
        <f t="shared" si="13"/>
        <v>9.8105561752153747</v>
      </c>
      <c r="H253" s="110">
        <f t="shared" si="14"/>
        <v>9.8105561752153747</v>
      </c>
      <c r="I253" s="136">
        <f t="shared" si="15"/>
        <v>0</v>
      </c>
      <c r="J253" s="55">
        <f t="shared" si="16"/>
        <v>0</v>
      </c>
      <c r="K253" s="36"/>
    </row>
    <row r="254" spans="1:11" x14ac:dyDescent="0.25">
      <c r="A254" s="49">
        <f>'A) Base RI'!A255</f>
        <v>5831</v>
      </c>
      <c r="B254" s="286" t="str">
        <f>'A) Base RI'!B255</f>
        <v>Valbroye</v>
      </c>
      <c r="C254" s="95">
        <f>'B) D RI'!U255</f>
        <v>81049.404018912537</v>
      </c>
      <c r="D254" s="110">
        <f>'E) PCS'!G260/C254</f>
        <v>17.527206880871841</v>
      </c>
      <c r="E254" s="136">
        <f>'H) Péréquation directe'!I264/C254</f>
        <v>-13.380076434407618</v>
      </c>
      <c r="F254" s="405"/>
      <c r="G254" s="136">
        <f t="shared" si="13"/>
        <v>4.1471304464642227</v>
      </c>
      <c r="H254" s="110">
        <f t="shared" si="14"/>
        <v>4.1471304464642227</v>
      </c>
      <c r="I254" s="136">
        <f t="shared" si="15"/>
        <v>0</v>
      </c>
      <c r="J254" s="55">
        <f t="shared" si="16"/>
        <v>0</v>
      </c>
      <c r="K254" s="36"/>
    </row>
    <row r="255" spans="1:11" x14ac:dyDescent="0.25">
      <c r="A255" s="49">
        <f>'A) Base RI'!A256</f>
        <v>5841</v>
      </c>
      <c r="B255" s="286" t="str">
        <f>'A) Base RI'!B256</f>
        <v>Château-d'Oex</v>
      </c>
      <c r="C255" s="95">
        <f>'B) D RI'!U256</f>
        <v>110857.63779141105</v>
      </c>
      <c r="D255" s="110">
        <f>'E) PCS'!G261/C255</f>
        <v>20.261404854680411</v>
      </c>
      <c r="E255" s="136">
        <f>'H) Péréquation directe'!I265/C255</f>
        <v>-5.6956132834046755</v>
      </c>
      <c r="F255" s="405"/>
      <c r="G255" s="136">
        <f t="shared" si="13"/>
        <v>14.565791571275735</v>
      </c>
      <c r="H255" s="110">
        <f t="shared" si="14"/>
        <v>14.565791571275735</v>
      </c>
      <c r="I255" s="136">
        <f t="shared" si="15"/>
        <v>0</v>
      </c>
      <c r="J255" s="55">
        <f t="shared" si="16"/>
        <v>0</v>
      </c>
      <c r="K255" s="36"/>
    </row>
    <row r="256" spans="1:11" x14ac:dyDescent="0.25">
      <c r="A256" s="49">
        <f>'A) Base RI'!A257</f>
        <v>5842</v>
      </c>
      <c r="B256" s="286" t="str">
        <f>'A) Base RI'!B257</f>
        <v>Rossinière</v>
      </c>
      <c r="C256" s="95">
        <f>'B) D RI'!U257</f>
        <v>14944.680411522633</v>
      </c>
      <c r="D256" s="110">
        <f>'E) PCS'!G262/C256</f>
        <v>15.109503037726837</v>
      </c>
      <c r="E256" s="136">
        <f>'H) Péréquation directe'!I266/C256</f>
        <v>-4.7975014200580217</v>
      </c>
      <c r="F256" s="405"/>
      <c r="G256" s="136">
        <f t="shared" si="13"/>
        <v>10.312001617668816</v>
      </c>
      <c r="H256" s="110">
        <f t="shared" si="14"/>
        <v>10.312001617668816</v>
      </c>
      <c r="I256" s="136">
        <f t="shared" si="15"/>
        <v>0</v>
      </c>
      <c r="J256" s="55">
        <f t="shared" si="16"/>
        <v>0</v>
      </c>
      <c r="K256" s="36"/>
    </row>
    <row r="257" spans="1:11" x14ac:dyDescent="0.25">
      <c r="A257" s="49">
        <f>'A) Base RI'!A258</f>
        <v>5843</v>
      </c>
      <c r="B257" s="286" t="str">
        <f>'A) Base RI'!B258</f>
        <v>Rougemont</v>
      </c>
      <c r="C257" s="95">
        <f>'B) D RI'!U258</f>
        <v>97088.109459459462</v>
      </c>
      <c r="D257" s="110">
        <f>'E) PCS'!G263/C257</f>
        <v>39.84007748090967</v>
      </c>
      <c r="E257" s="136">
        <f>'H) Péréquation directe'!I267/C257</f>
        <v>17.704822917783627</v>
      </c>
      <c r="F257" s="405"/>
      <c r="G257" s="136">
        <f t="shared" si="13"/>
        <v>57.544900398693301</v>
      </c>
      <c r="H257" s="110">
        <f t="shared" si="14"/>
        <v>57.544900398693301</v>
      </c>
      <c r="I257" s="136">
        <f t="shared" si="15"/>
        <v>0</v>
      </c>
      <c r="J257" s="55">
        <f t="shared" si="16"/>
        <v>0</v>
      </c>
      <c r="K257" s="36"/>
    </row>
    <row r="258" spans="1:11" x14ac:dyDescent="0.25">
      <c r="A258" s="49">
        <f>'A) Base RI'!A259</f>
        <v>5851</v>
      </c>
      <c r="B258" s="286" t="str">
        <f>'A) Base RI'!B259</f>
        <v>Allaman</v>
      </c>
      <c r="C258" s="95">
        <f>'B) D RI'!U259</f>
        <v>24875.935818181821</v>
      </c>
      <c r="D258" s="110">
        <f>'E) PCS'!G264/C258</f>
        <v>16.307162841121542</v>
      </c>
      <c r="E258" s="136">
        <f>'H) Péréquation directe'!I268/C258</f>
        <v>16.656031330965941</v>
      </c>
      <c r="F258" s="405"/>
      <c r="G258" s="136">
        <f t="shared" si="13"/>
        <v>32.963194172087483</v>
      </c>
      <c r="H258" s="110">
        <f t="shared" si="14"/>
        <v>32.963194172087483</v>
      </c>
      <c r="I258" s="136">
        <f t="shared" si="15"/>
        <v>0</v>
      </c>
      <c r="J258" s="55">
        <f t="shared" si="16"/>
        <v>0</v>
      </c>
      <c r="K258" s="36"/>
    </row>
    <row r="259" spans="1:11" x14ac:dyDescent="0.25">
      <c r="A259" s="49">
        <f>'A) Base RI'!A260</f>
        <v>5852</v>
      </c>
      <c r="B259" s="286" t="str">
        <f>'A) Base RI'!B260</f>
        <v>Bursinel</v>
      </c>
      <c r="C259" s="95">
        <f>'B) D RI'!U260</f>
        <v>34636.657688172039</v>
      </c>
      <c r="D259" s="110">
        <f>'E) PCS'!G265/C259</f>
        <v>21.433327526187579</v>
      </c>
      <c r="E259" s="136">
        <f>'H) Péréquation directe'!I269/C259</f>
        <v>16.957566108095921</v>
      </c>
      <c r="F259" s="405"/>
      <c r="G259" s="136">
        <f t="shared" si="13"/>
        <v>38.390893634283501</v>
      </c>
      <c r="H259" s="110">
        <f t="shared" si="14"/>
        <v>38.390893634283501</v>
      </c>
      <c r="I259" s="136">
        <f t="shared" si="15"/>
        <v>0</v>
      </c>
      <c r="J259" s="55">
        <f t="shared" si="16"/>
        <v>0</v>
      </c>
      <c r="K259" s="36"/>
    </row>
    <row r="260" spans="1:11" x14ac:dyDescent="0.25">
      <c r="A260" s="49">
        <f>'A) Base RI'!A261</f>
        <v>5853</v>
      </c>
      <c r="B260" s="286" t="str">
        <f>'A) Base RI'!B261</f>
        <v>Bursins</v>
      </c>
      <c r="C260" s="95">
        <f>'B) D RI'!U261</f>
        <v>44486.311690140843</v>
      </c>
      <c r="D260" s="110">
        <f>'E) PCS'!G266/C260</f>
        <v>20.869816324851048</v>
      </c>
      <c r="E260" s="136">
        <f>'H) Péréquation directe'!I270/C260</f>
        <v>16.644760354400411</v>
      </c>
      <c r="F260" s="405"/>
      <c r="G260" s="136">
        <f t="shared" si="13"/>
        <v>37.514576679251462</v>
      </c>
      <c r="H260" s="110">
        <f t="shared" si="14"/>
        <v>37.514576679251462</v>
      </c>
      <c r="I260" s="136">
        <f t="shared" si="15"/>
        <v>0</v>
      </c>
      <c r="J260" s="55">
        <f t="shared" si="16"/>
        <v>0</v>
      </c>
      <c r="K260" s="36"/>
    </row>
    <row r="261" spans="1:11" x14ac:dyDescent="0.25">
      <c r="A261" s="49">
        <f>'A) Base RI'!A262</f>
        <v>5854</v>
      </c>
      <c r="B261" s="286" t="str">
        <f>'A) Base RI'!B262</f>
        <v>Burtigny</v>
      </c>
      <c r="C261" s="95">
        <f>'B) D RI'!U262</f>
        <v>15255.967208333332</v>
      </c>
      <c r="D261" s="110">
        <f>'E) PCS'!G267/C261</f>
        <v>14.510793105049403</v>
      </c>
      <c r="E261" s="136">
        <f>'H) Péréquation directe'!I271/C261</f>
        <v>7.2129656933980701</v>
      </c>
      <c r="F261" s="405"/>
      <c r="G261" s="136">
        <f t="shared" si="13"/>
        <v>21.723758798447474</v>
      </c>
      <c r="H261" s="110">
        <f t="shared" si="14"/>
        <v>21.723758798447474</v>
      </c>
      <c r="I261" s="136">
        <f t="shared" si="15"/>
        <v>0</v>
      </c>
      <c r="J261" s="55">
        <f t="shared" si="16"/>
        <v>0</v>
      </c>
      <c r="K261" s="36"/>
    </row>
    <row r="262" spans="1:11" x14ac:dyDescent="0.25">
      <c r="A262" s="49">
        <f>'A) Base RI'!A263</f>
        <v>5855</v>
      </c>
      <c r="B262" s="286" t="str">
        <f>'A) Base RI'!B263</f>
        <v>Dully</v>
      </c>
      <c r="C262" s="95">
        <f>'B) D RI'!U263</f>
        <v>93684.152857142864</v>
      </c>
      <c r="D262" s="110">
        <f>'E) PCS'!G268/C262</f>
        <v>29.584126302935459</v>
      </c>
      <c r="E262" s="136">
        <f>'H) Péréquation directe'!I272/C262</f>
        <v>17.968181112591807</v>
      </c>
      <c r="F262" s="405"/>
      <c r="G262" s="136">
        <f t="shared" ref="G262:G313" si="17">SUM(D262:F262)</f>
        <v>47.552307415527267</v>
      </c>
      <c r="H262" s="110">
        <f t="shared" ref="H262:H313" si="18">G262-F262</f>
        <v>47.552307415527267</v>
      </c>
      <c r="I262" s="136">
        <f t="shared" ref="I262:I313" si="19">IF(H262&lt;I$5,H262-I$5,0)</f>
        <v>0</v>
      </c>
      <c r="J262" s="55">
        <f t="shared" ref="J262:J313" si="20">-I262*C262</f>
        <v>0</v>
      </c>
      <c r="K262" s="36"/>
    </row>
    <row r="263" spans="1:11" x14ac:dyDescent="0.25">
      <c r="A263" s="49">
        <f>'A) Base RI'!A264</f>
        <v>5856</v>
      </c>
      <c r="B263" s="286" t="str">
        <f>'A) Base RI'!B264</f>
        <v>Essertines-sur-Rolle</v>
      </c>
      <c r="C263" s="95">
        <f>'B) D RI'!U264</f>
        <v>42220.114424522842</v>
      </c>
      <c r="D263" s="110">
        <f>'E) PCS'!G269/C263</f>
        <v>19.569065141939955</v>
      </c>
      <c r="E263" s="136">
        <f>'H) Péréquation directe'!I273/C263</f>
        <v>16.587504611372058</v>
      </c>
      <c r="F263" s="405"/>
      <c r="G263" s="136">
        <f t="shared" si="17"/>
        <v>36.156569753312013</v>
      </c>
      <c r="H263" s="110">
        <f t="shared" si="18"/>
        <v>36.156569753312013</v>
      </c>
      <c r="I263" s="136">
        <f t="shared" si="19"/>
        <v>0</v>
      </c>
      <c r="J263" s="55">
        <f t="shared" si="20"/>
        <v>0</v>
      </c>
      <c r="K263" s="36"/>
    </row>
    <row r="264" spans="1:11" x14ac:dyDescent="0.25">
      <c r="A264" s="49">
        <f>'A) Base RI'!A265</f>
        <v>5857</v>
      </c>
      <c r="B264" s="286" t="str">
        <f>'A) Base RI'!B265</f>
        <v>Gilly</v>
      </c>
      <c r="C264" s="95">
        <f>'B) D RI'!U265</f>
        <v>88866.553953488372</v>
      </c>
      <c r="D264" s="110">
        <f>'E) PCS'!G270/C264</f>
        <v>18.135421004311628</v>
      </c>
      <c r="E264" s="136">
        <f>'H) Péréquation directe'!I274/C264</f>
        <v>15.687045776297662</v>
      </c>
      <c r="F264" s="405"/>
      <c r="G264" s="136">
        <f t="shared" si="17"/>
        <v>33.82246678060929</v>
      </c>
      <c r="H264" s="110">
        <f t="shared" si="18"/>
        <v>33.82246678060929</v>
      </c>
      <c r="I264" s="136">
        <f t="shared" si="19"/>
        <v>0</v>
      </c>
      <c r="J264" s="55">
        <f t="shared" si="20"/>
        <v>0</v>
      </c>
      <c r="K264" s="36"/>
    </row>
    <row r="265" spans="1:11" x14ac:dyDescent="0.25">
      <c r="A265" s="49">
        <f>'A) Base RI'!A266</f>
        <v>5858</v>
      </c>
      <c r="B265" s="286" t="str">
        <f>'A) Base RI'!B266</f>
        <v>Luins</v>
      </c>
      <c r="C265" s="95">
        <f>'B) D RI'!U266</f>
        <v>38253.397207977199</v>
      </c>
      <c r="D265" s="110">
        <f>'E) PCS'!G271/C265</f>
        <v>16.230147324224806</v>
      </c>
      <c r="E265" s="136">
        <f>'H) Péréquation directe'!I275/C265</f>
        <v>16.757907977020157</v>
      </c>
      <c r="F265" s="405"/>
      <c r="G265" s="136">
        <f t="shared" si="17"/>
        <v>32.988055301244962</v>
      </c>
      <c r="H265" s="110">
        <f t="shared" si="18"/>
        <v>32.988055301244962</v>
      </c>
      <c r="I265" s="136">
        <f t="shared" si="19"/>
        <v>0</v>
      </c>
      <c r="J265" s="55">
        <f t="shared" si="20"/>
        <v>0</v>
      </c>
      <c r="K265" s="36"/>
    </row>
    <row r="266" spans="1:11" x14ac:dyDescent="0.25">
      <c r="A266" s="49">
        <f>'A) Base RI'!A267</f>
        <v>5859</v>
      </c>
      <c r="B266" s="286" t="str">
        <f>'A) Base RI'!B267</f>
        <v>Mont-sur-Rolle</v>
      </c>
      <c r="C266" s="95">
        <f>'B) D RI'!U267</f>
        <v>160910.93779527559</v>
      </c>
      <c r="D266" s="110">
        <f>'E) PCS'!G272/C266</f>
        <v>19.910443143680503</v>
      </c>
      <c r="E266" s="136">
        <f>'H) Péréquation directe'!I276/C266</f>
        <v>14.262225835443621</v>
      </c>
      <c r="F266" s="405"/>
      <c r="G266" s="136">
        <f t="shared" si="17"/>
        <v>34.172668979124126</v>
      </c>
      <c r="H266" s="110">
        <f t="shared" si="18"/>
        <v>34.172668979124126</v>
      </c>
      <c r="I266" s="136">
        <f t="shared" si="19"/>
        <v>0</v>
      </c>
      <c r="J266" s="55">
        <f t="shared" si="20"/>
        <v>0</v>
      </c>
      <c r="K266" s="36"/>
    </row>
    <row r="267" spans="1:11" x14ac:dyDescent="0.25">
      <c r="A267" s="49">
        <f>'A) Base RI'!A268</f>
        <v>5860</v>
      </c>
      <c r="B267" s="286" t="str">
        <f>'A) Base RI'!B268</f>
        <v>Perroy</v>
      </c>
      <c r="C267" s="95">
        <f>'B) D RI'!U268</f>
        <v>124242.10120973046</v>
      </c>
      <c r="D267" s="110">
        <f>'E) PCS'!G273/C267</f>
        <v>23.491354112705807</v>
      </c>
      <c r="E267" s="136">
        <f>'H) Péréquation directe'!I277/C267</f>
        <v>16.36326476666498</v>
      </c>
      <c r="F267" s="405"/>
      <c r="G267" s="136">
        <f t="shared" si="17"/>
        <v>39.85461887937079</v>
      </c>
      <c r="H267" s="110">
        <f t="shared" si="18"/>
        <v>39.85461887937079</v>
      </c>
      <c r="I267" s="136">
        <f t="shared" si="19"/>
        <v>0</v>
      </c>
      <c r="J267" s="55">
        <f t="shared" si="20"/>
        <v>0</v>
      </c>
      <c r="K267" s="36"/>
    </row>
    <row r="268" spans="1:11" x14ac:dyDescent="0.25">
      <c r="A268" s="49">
        <f>'A) Base RI'!A269</f>
        <v>5861</v>
      </c>
      <c r="B268" s="286" t="str">
        <f>'A) Base RI'!B269</f>
        <v>Rolle</v>
      </c>
      <c r="C268" s="95">
        <f>'B) D RI'!U269</f>
        <v>638128.58403361356</v>
      </c>
      <c r="D268" s="110">
        <f>'E) PCS'!G274/C268</f>
        <v>25.752501554356172</v>
      </c>
      <c r="E268" s="136">
        <f>'H) Péréquation directe'!I278/C268</f>
        <v>14.746816177229732</v>
      </c>
      <c r="F268" s="405"/>
      <c r="G268" s="136">
        <f t="shared" si="17"/>
        <v>40.499317731585904</v>
      </c>
      <c r="H268" s="110">
        <f t="shared" si="18"/>
        <v>40.499317731585904</v>
      </c>
      <c r="I268" s="136">
        <f t="shared" si="19"/>
        <v>0</v>
      </c>
      <c r="J268" s="55">
        <f t="shared" si="20"/>
        <v>0</v>
      </c>
      <c r="K268" s="36"/>
    </row>
    <row r="269" spans="1:11" x14ac:dyDescent="0.25">
      <c r="A269" s="49">
        <f>'A) Base RI'!A270</f>
        <v>5862</v>
      </c>
      <c r="B269" s="286" t="str">
        <f>'A) Base RI'!B270</f>
        <v>Tartegnin</v>
      </c>
      <c r="C269" s="95">
        <f>'B) D RI'!U270</f>
        <v>7891.022278481013</v>
      </c>
      <c r="D269" s="110">
        <f>'E) PCS'!G275/C269</f>
        <v>14.478870032187734</v>
      </c>
      <c r="E269" s="136">
        <f>'H) Péréquation directe'!I279/C269</f>
        <v>3.0545406882155608</v>
      </c>
      <c r="F269" s="405"/>
      <c r="G269" s="136">
        <f t="shared" si="17"/>
        <v>17.533410720403296</v>
      </c>
      <c r="H269" s="110">
        <f t="shared" si="18"/>
        <v>17.533410720403296</v>
      </c>
      <c r="I269" s="136">
        <f t="shared" si="19"/>
        <v>0</v>
      </c>
      <c r="J269" s="55">
        <f t="shared" si="20"/>
        <v>0</v>
      </c>
      <c r="K269" s="36"/>
    </row>
    <row r="270" spans="1:11" x14ac:dyDescent="0.25">
      <c r="A270" s="49">
        <f>'A) Base RI'!A271</f>
        <v>5863</v>
      </c>
      <c r="B270" s="286" t="str">
        <f>'A) Base RI'!B271</f>
        <v>Vinzel</v>
      </c>
      <c r="C270" s="95">
        <f>'B) D RI'!U271</f>
        <v>21424.128507462683</v>
      </c>
      <c r="D270" s="110">
        <f>'E) PCS'!G276/C270</f>
        <v>19.301470925400857</v>
      </c>
      <c r="E270" s="136">
        <f>'H) Péréquation directe'!I280/C270</f>
        <v>16.66379203232847</v>
      </c>
      <c r="F270" s="405"/>
      <c r="G270" s="136">
        <f t="shared" si="17"/>
        <v>35.965262957729323</v>
      </c>
      <c r="H270" s="110">
        <f t="shared" si="18"/>
        <v>35.965262957729323</v>
      </c>
      <c r="I270" s="136">
        <f t="shared" si="19"/>
        <v>0</v>
      </c>
      <c r="J270" s="55">
        <f t="shared" si="20"/>
        <v>0</v>
      </c>
      <c r="K270" s="36"/>
    </row>
    <row r="271" spans="1:11" x14ac:dyDescent="0.25">
      <c r="A271" s="49">
        <f>'A) Base RI'!A272</f>
        <v>5871</v>
      </c>
      <c r="B271" s="286" t="str">
        <f>'A) Base RI'!B272</f>
        <v>L'Abbaye</v>
      </c>
      <c r="C271" s="95">
        <f>'B) D RI'!U272</f>
        <v>53269.472631578945</v>
      </c>
      <c r="D271" s="110">
        <f>'E) PCS'!G277/C271</f>
        <v>21.316248890207305</v>
      </c>
      <c r="E271" s="136">
        <f>'H) Péréquation directe'!I281/C271</f>
        <v>4.2192559208840317</v>
      </c>
      <c r="F271" s="405"/>
      <c r="G271" s="136">
        <f t="shared" si="17"/>
        <v>25.535504811091336</v>
      </c>
      <c r="H271" s="110">
        <f t="shared" si="18"/>
        <v>25.535504811091336</v>
      </c>
      <c r="I271" s="136">
        <f t="shared" si="19"/>
        <v>0</v>
      </c>
      <c r="J271" s="55">
        <f t="shared" si="20"/>
        <v>0</v>
      </c>
      <c r="K271" s="36"/>
    </row>
    <row r="272" spans="1:11" x14ac:dyDescent="0.25">
      <c r="A272" s="49">
        <f>'A) Base RI'!A273</f>
        <v>5872</v>
      </c>
      <c r="B272" s="286" t="str">
        <f>'A) Base RI'!B273</f>
        <v>Le Chenit</v>
      </c>
      <c r="C272" s="95">
        <f>'B) D RI'!U273</f>
        <v>228048.33794871799</v>
      </c>
      <c r="D272" s="110">
        <f>'E) PCS'!G278/C272</f>
        <v>25.10050344731572</v>
      </c>
      <c r="E272" s="136">
        <f>'H) Péréquation directe'!I282/C272</f>
        <v>11.768892933911186</v>
      </c>
      <c r="F272" s="405"/>
      <c r="G272" s="136">
        <f t="shared" si="17"/>
        <v>36.869396381226906</v>
      </c>
      <c r="H272" s="110">
        <f t="shared" si="18"/>
        <v>36.869396381226906</v>
      </c>
      <c r="I272" s="136">
        <f t="shared" si="19"/>
        <v>0</v>
      </c>
      <c r="J272" s="55">
        <f t="shared" si="20"/>
        <v>0</v>
      </c>
      <c r="K272" s="36"/>
    </row>
    <row r="273" spans="1:11" x14ac:dyDescent="0.25">
      <c r="A273" s="49">
        <f>'A) Base RI'!A274</f>
        <v>5873</v>
      </c>
      <c r="B273" s="286" t="str">
        <f>'A) Base RI'!B274</f>
        <v>Le Lieu</v>
      </c>
      <c r="C273" s="95">
        <f>'B) D RI'!U274</f>
        <v>31475.129392857143</v>
      </c>
      <c r="D273" s="110">
        <f>'E) PCS'!G279/C273</f>
        <v>24.041850112654458</v>
      </c>
      <c r="E273" s="136">
        <f>'H) Péréquation directe'!I283/C273</f>
        <v>8.3591280714927301</v>
      </c>
      <c r="F273" s="405"/>
      <c r="G273" s="136">
        <f t="shared" si="17"/>
        <v>32.400978184147192</v>
      </c>
      <c r="H273" s="110">
        <f t="shared" si="18"/>
        <v>32.400978184147192</v>
      </c>
      <c r="I273" s="136">
        <f t="shared" si="19"/>
        <v>0</v>
      </c>
      <c r="J273" s="55">
        <f t="shared" si="20"/>
        <v>0</v>
      </c>
      <c r="K273" s="36"/>
    </row>
    <row r="274" spans="1:11" x14ac:dyDescent="0.25">
      <c r="A274" s="49">
        <f>'A) Base RI'!A275</f>
        <v>5881</v>
      </c>
      <c r="B274" s="286" t="str">
        <f>'A) Base RI'!B275</f>
        <v>Blonay</v>
      </c>
      <c r="C274" s="95">
        <f>'B) D RI'!U275</f>
        <v>371401.9382481752</v>
      </c>
      <c r="D274" s="110">
        <f>'E) PCS'!G280/C274</f>
        <v>21.325830758274972</v>
      </c>
      <c r="E274" s="136">
        <f>'H) Péréquation directe'!I284/C274</f>
        <v>11.827064913564923</v>
      </c>
      <c r="F274" s="405"/>
      <c r="G274" s="136">
        <f t="shared" si="17"/>
        <v>33.152895671839893</v>
      </c>
      <c r="H274" s="110">
        <f t="shared" si="18"/>
        <v>33.152895671839893</v>
      </c>
      <c r="I274" s="136">
        <f t="shared" si="19"/>
        <v>0</v>
      </c>
      <c r="J274" s="55">
        <f t="shared" si="20"/>
        <v>0</v>
      </c>
      <c r="K274" s="36"/>
    </row>
    <row r="275" spans="1:11" x14ac:dyDescent="0.25">
      <c r="A275" s="49">
        <f>'A) Base RI'!A276</f>
        <v>5882</v>
      </c>
      <c r="B275" s="286" t="str">
        <f>'A) Base RI'!B276</f>
        <v>Chardonne</v>
      </c>
      <c r="C275" s="95">
        <f>'B) D RI'!U276</f>
        <v>186952.68588235296</v>
      </c>
      <c r="D275" s="110">
        <f>'E) PCS'!G281/C275</f>
        <v>19.171848800091116</v>
      </c>
      <c r="E275" s="136">
        <f>'H) Péréquation directe'!I285/C275</f>
        <v>14.20021513553332</v>
      </c>
      <c r="F275" s="405"/>
      <c r="G275" s="136">
        <f t="shared" si="17"/>
        <v>33.372063935624439</v>
      </c>
      <c r="H275" s="110">
        <f t="shared" si="18"/>
        <v>33.372063935624439</v>
      </c>
      <c r="I275" s="136">
        <f t="shared" si="19"/>
        <v>0</v>
      </c>
      <c r="J275" s="55">
        <f t="shared" si="20"/>
        <v>0</v>
      </c>
      <c r="K275" s="36"/>
    </row>
    <row r="276" spans="1:11" x14ac:dyDescent="0.25">
      <c r="A276" s="49">
        <f>'A) Base RI'!A277</f>
        <v>5883</v>
      </c>
      <c r="B276" s="286" t="str">
        <f>'A) Base RI'!B277</f>
        <v>Corseaux</v>
      </c>
      <c r="C276" s="95">
        <f>'B) D RI'!U277</f>
        <v>193095.30118518518</v>
      </c>
      <c r="D276" s="110">
        <f>'E) PCS'!G282/C276</f>
        <v>28.695463362849758</v>
      </c>
      <c r="E276" s="136">
        <f>'H) Péréquation directe'!I286/C276</f>
        <v>15.760484151883722</v>
      </c>
      <c r="F276" s="405"/>
      <c r="G276" s="136">
        <f t="shared" si="17"/>
        <v>44.455947514733481</v>
      </c>
      <c r="H276" s="110">
        <f t="shared" si="18"/>
        <v>44.455947514733481</v>
      </c>
      <c r="I276" s="136">
        <f t="shared" si="19"/>
        <v>0</v>
      </c>
      <c r="J276" s="55">
        <f t="shared" si="20"/>
        <v>0</v>
      </c>
      <c r="K276" s="36"/>
    </row>
    <row r="277" spans="1:11" x14ac:dyDescent="0.25">
      <c r="A277" s="49">
        <f>'A) Base RI'!A278</f>
        <v>5884</v>
      </c>
      <c r="B277" s="286" t="str">
        <f>'A) Base RI'!B278</f>
        <v>Corsier-sur-Vevey</v>
      </c>
      <c r="C277" s="95">
        <f>'B) D RI'!U278</f>
        <v>148896.79012919901</v>
      </c>
      <c r="D277" s="110">
        <f>'E) PCS'!G283/C277</f>
        <v>15.935673751034017</v>
      </c>
      <c r="E277" s="136">
        <f>'H) Péréquation directe'!I287/C277</f>
        <v>10.27099667801498</v>
      </c>
      <c r="F277" s="405"/>
      <c r="G277" s="136">
        <f t="shared" si="17"/>
        <v>26.206670429048998</v>
      </c>
      <c r="H277" s="110">
        <f t="shared" si="18"/>
        <v>26.206670429048998</v>
      </c>
      <c r="I277" s="136">
        <f t="shared" si="19"/>
        <v>0</v>
      </c>
      <c r="J277" s="55">
        <f t="shared" si="20"/>
        <v>0</v>
      </c>
      <c r="K277" s="36"/>
    </row>
    <row r="278" spans="1:11" x14ac:dyDescent="0.25">
      <c r="A278" s="49">
        <f>'A) Base RI'!A279</f>
        <v>5885</v>
      </c>
      <c r="B278" s="286" t="str">
        <f>'A) Base RI'!B279</f>
        <v>Jongny</v>
      </c>
      <c r="C278" s="95">
        <f>'B) D RI'!U279</f>
        <v>97076.940527577928</v>
      </c>
      <c r="D278" s="110">
        <f>'E) PCS'!G284/C278</f>
        <v>19.565831814204401</v>
      </c>
      <c r="E278" s="136">
        <f>'H) Péréquation directe'!I288/C278</f>
        <v>14.630861591373451</v>
      </c>
      <c r="F278" s="405"/>
      <c r="G278" s="136">
        <f t="shared" si="17"/>
        <v>34.196693405577854</v>
      </c>
      <c r="H278" s="110">
        <f t="shared" si="18"/>
        <v>34.196693405577854</v>
      </c>
      <c r="I278" s="136">
        <f t="shared" si="19"/>
        <v>0</v>
      </c>
      <c r="J278" s="55">
        <f t="shared" si="20"/>
        <v>0</v>
      </c>
      <c r="K278" s="36"/>
    </row>
    <row r="279" spans="1:11" x14ac:dyDescent="0.25">
      <c r="A279" s="49">
        <f>'A) Base RI'!A280</f>
        <v>5886</v>
      </c>
      <c r="B279" s="286" t="str">
        <f>'A) Base RI'!B280</f>
        <v>Montreux</v>
      </c>
      <c r="C279" s="95">
        <f>'B) D RI'!U280</f>
        <v>1223405.0430769229</v>
      </c>
      <c r="D279" s="110">
        <f>'E) PCS'!G285/C279</f>
        <v>24.889746659616765</v>
      </c>
      <c r="E279" s="136">
        <f>'H) Péréquation directe'!I289/C279</f>
        <v>0.90615087183886533</v>
      </c>
      <c r="F279" s="405"/>
      <c r="G279" s="136">
        <f t="shared" si="17"/>
        <v>25.79589753145563</v>
      </c>
      <c r="H279" s="110">
        <f t="shared" si="18"/>
        <v>25.79589753145563</v>
      </c>
      <c r="I279" s="136">
        <f t="shared" si="19"/>
        <v>0</v>
      </c>
      <c r="J279" s="55">
        <f t="shared" si="20"/>
        <v>0</v>
      </c>
      <c r="K279" s="36"/>
    </row>
    <row r="280" spans="1:11" x14ac:dyDescent="0.25">
      <c r="A280" s="49">
        <f>'A) Base RI'!A281</f>
        <v>5888</v>
      </c>
      <c r="B280" s="286" t="str">
        <f>'A) Base RI'!B281</f>
        <v>Saint-Légier-La Chiésaz</v>
      </c>
      <c r="C280" s="95">
        <f>'B) D RI'!U281</f>
        <v>334017.18953771284</v>
      </c>
      <c r="D280" s="110">
        <f>'E) PCS'!G286/C280</f>
        <v>19.013987985712486</v>
      </c>
      <c r="E280" s="136">
        <f>'H) Péréquation directe'!I290/C280</f>
        <v>12.223037348871884</v>
      </c>
      <c r="F280" s="405"/>
      <c r="G280" s="136">
        <f t="shared" si="17"/>
        <v>31.23702533458437</v>
      </c>
      <c r="H280" s="110">
        <f t="shared" si="18"/>
        <v>31.23702533458437</v>
      </c>
      <c r="I280" s="136">
        <f t="shared" si="19"/>
        <v>0</v>
      </c>
      <c r="J280" s="55">
        <f t="shared" si="20"/>
        <v>0</v>
      </c>
      <c r="K280" s="36"/>
    </row>
    <row r="281" spans="1:11" x14ac:dyDescent="0.25">
      <c r="A281" s="49">
        <f>'A) Base RI'!A282</f>
        <v>5889</v>
      </c>
      <c r="B281" s="286" t="str">
        <f>'A) Base RI'!B282</f>
        <v>La Tour-de-Peilz</v>
      </c>
      <c r="C281" s="95">
        <f>'B) D RI'!U282</f>
        <v>740535.59942708339</v>
      </c>
      <c r="D281" s="110">
        <f>'E) PCS'!G287/C281</f>
        <v>17.710023227870334</v>
      </c>
      <c r="E281" s="136">
        <f>'H) Péréquation directe'!I291/C281</f>
        <v>9.3828510394554083</v>
      </c>
      <c r="F281" s="405"/>
      <c r="G281" s="136">
        <f t="shared" si="17"/>
        <v>27.09287426732574</v>
      </c>
      <c r="H281" s="110">
        <f t="shared" si="18"/>
        <v>27.09287426732574</v>
      </c>
      <c r="I281" s="136">
        <f t="shared" si="19"/>
        <v>0</v>
      </c>
      <c r="J281" s="55">
        <f t="shared" si="20"/>
        <v>0</v>
      </c>
      <c r="K281" s="36"/>
    </row>
    <row r="282" spans="1:11" x14ac:dyDescent="0.25">
      <c r="A282" s="49">
        <f>'A) Base RI'!A283</f>
        <v>5890</v>
      </c>
      <c r="B282" s="286" t="str">
        <f>'A) Base RI'!B283</f>
        <v>Vevey</v>
      </c>
      <c r="C282" s="95">
        <f>'B) D RI'!U283</f>
        <v>969776.79771812086</v>
      </c>
      <c r="D282" s="110">
        <f>'E) PCS'!G288/C282</f>
        <v>15.869365539356521</v>
      </c>
      <c r="E282" s="136">
        <f>'H) Péréquation directe'!I292/C282</f>
        <v>3.6517962939963753</v>
      </c>
      <c r="F282" s="405"/>
      <c r="G282" s="136">
        <f t="shared" si="17"/>
        <v>19.521161833352895</v>
      </c>
      <c r="H282" s="110">
        <f t="shared" si="18"/>
        <v>19.521161833352895</v>
      </c>
      <c r="I282" s="136">
        <f t="shared" si="19"/>
        <v>0</v>
      </c>
      <c r="J282" s="55">
        <f t="shared" si="20"/>
        <v>0</v>
      </c>
      <c r="K282" s="36"/>
    </row>
    <row r="283" spans="1:11" x14ac:dyDescent="0.25">
      <c r="A283" s="49">
        <f>'A) Base RI'!A284</f>
        <v>5891</v>
      </c>
      <c r="B283" s="286" t="str">
        <f>'A) Base RI'!B284</f>
        <v>Veytaux</v>
      </c>
      <c r="C283" s="95">
        <f>'B) D RI'!U284</f>
        <v>39123.353381294961</v>
      </c>
      <c r="D283" s="110">
        <f>'E) PCS'!G289/C283</f>
        <v>15.53931105859235</v>
      </c>
      <c r="E283" s="136">
        <f>'H) Péréquation directe'!I293/C283</f>
        <v>12.333540163723711</v>
      </c>
      <c r="F283" s="405"/>
      <c r="G283" s="136">
        <f t="shared" si="17"/>
        <v>27.872851222316061</v>
      </c>
      <c r="H283" s="110">
        <f t="shared" si="18"/>
        <v>27.872851222316061</v>
      </c>
      <c r="I283" s="136">
        <f t="shared" si="19"/>
        <v>0</v>
      </c>
      <c r="J283" s="55">
        <f t="shared" si="20"/>
        <v>0</v>
      </c>
      <c r="K283" s="36"/>
    </row>
    <row r="284" spans="1:11" x14ac:dyDescent="0.25">
      <c r="A284" s="49">
        <f>'A) Base RI'!A285</f>
        <v>5902</v>
      </c>
      <c r="B284" s="286" t="str">
        <f>'A) Base RI'!B285</f>
        <v>Belmont-sur-Yverdon</v>
      </c>
      <c r="C284" s="95">
        <f>'B) D RI'!U285</f>
        <v>12109.15</v>
      </c>
      <c r="D284" s="110">
        <f>'E) PCS'!G290/C284</f>
        <v>14.785448792466964</v>
      </c>
      <c r="E284" s="136">
        <f>'H) Péréquation directe'!I294/C284</f>
        <v>1.6182068954241617</v>
      </c>
      <c r="F284" s="405"/>
      <c r="G284" s="136">
        <f t="shared" si="17"/>
        <v>16.403655687891124</v>
      </c>
      <c r="H284" s="110">
        <f t="shared" si="18"/>
        <v>16.403655687891124</v>
      </c>
      <c r="I284" s="136">
        <f t="shared" si="19"/>
        <v>0</v>
      </c>
      <c r="J284" s="55">
        <f t="shared" si="20"/>
        <v>0</v>
      </c>
      <c r="K284" s="36"/>
    </row>
    <row r="285" spans="1:11" x14ac:dyDescent="0.25">
      <c r="A285" s="49">
        <f>'A) Base RI'!A286</f>
        <v>5903</v>
      </c>
      <c r="B285" s="286" t="str">
        <f>'A) Base RI'!B286</f>
        <v>Bioley-Magnoux</v>
      </c>
      <c r="C285" s="95">
        <f>'B) D RI'!U286</f>
        <v>6059.1993849206356</v>
      </c>
      <c r="D285" s="110">
        <f>'E) PCS'!G291/C285</f>
        <v>13.969207386596063</v>
      </c>
      <c r="E285" s="136">
        <f>'H) Péréquation directe'!I295/C285</f>
        <v>-4.0350406511375816</v>
      </c>
      <c r="F285" s="405"/>
      <c r="G285" s="136">
        <f t="shared" si="17"/>
        <v>9.9341667354584811</v>
      </c>
      <c r="H285" s="110">
        <f t="shared" si="18"/>
        <v>9.9341667354584811</v>
      </c>
      <c r="I285" s="136">
        <f t="shared" si="19"/>
        <v>0</v>
      </c>
      <c r="J285" s="55">
        <f t="shared" si="20"/>
        <v>0</v>
      </c>
      <c r="K285" s="36"/>
    </row>
    <row r="286" spans="1:11" x14ac:dyDescent="0.25">
      <c r="A286" s="49">
        <f>'A) Base RI'!A287</f>
        <v>5904</v>
      </c>
      <c r="B286" s="286" t="str">
        <f>'A) Base RI'!B287</f>
        <v>Chamblon</v>
      </c>
      <c r="C286" s="95">
        <f>'B) D RI'!U287</f>
        <v>22178.215151515149</v>
      </c>
      <c r="D286" s="110">
        <f>'E) PCS'!G292/C286</f>
        <v>13.683782761926002</v>
      </c>
      <c r="E286" s="136">
        <f>'H) Péréquation directe'!I296/C286</f>
        <v>11.740704697953644</v>
      </c>
      <c r="F286" s="405"/>
      <c r="G286" s="136">
        <f t="shared" si="17"/>
        <v>25.424487459879646</v>
      </c>
      <c r="H286" s="110">
        <f t="shared" si="18"/>
        <v>25.424487459879646</v>
      </c>
      <c r="I286" s="136">
        <f t="shared" si="19"/>
        <v>0</v>
      </c>
      <c r="J286" s="55">
        <f t="shared" si="20"/>
        <v>0</v>
      </c>
      <c r="K286" s="36"/>
    </row>
    <row r="287" spans="1:11" x14ac:dyDescent="0.25">
      <c r="A287" s="49">
        <f>'A) Base RI'!A288</f>
        <v>5905</v>
      </c>
      <c r="B287" s="286" t="str">
        <f>'A) Base RI'!B288</f>
        <v>Champvent</v>
      </c>
      <c r="C287" s="95">
        <f>'B) D RI'!U288</f>
        <v>23236.229714285717</v>
      </c>
      <c r="D287" s="110">
        <f>'E) PCS'!G293/C287</f>
        <v>19.714181325276478</v>
      </c>
      <c r="E287" s="136">
        <f>'H) Péréquation directe'!I297/C287</f>
        <v>5.5136408438611513</v>
      </c>
      <c r="F287" s="405"/>
      <c r="G287" s="136">
        <f t="shared" si="17"/>
        <v>25.227822169137628</v>
      </c>
      <c r="H287" s="110">
        <f t="shared" si="18"/>
        <v>25.227822169137628</v>
      </c>
      <c r="I287" s="136">
        <f t="shared" si="19"/>
        <v>0</v>
      </c>
      <c r="J287" s="55">
        <f t="shared" si="20"/>
        <v>0</v>
      </c>
      <c r="K287" s="36"/>
    </row>
    <row r="288" spans="1:11" x14ac:dyDescent="0.25">
      <c r="A288" s="49">
        <f>'A) Base RI'!A289</f>
        <v>5907</v>
      </c>
      <c r="B288" s="286" t="str">
        <f>'A) Base RI'!B289</f>
        <v>Chavannes-le-Chêne</v>
      </c>
      <c r="C288" s="95">
        <f>'B) D RI'!U289</f>
        <v>7818.3477333333331</v>
      </c>
      <c r="D288" s="110">
        <f>'E) PCS'!G294/C288</f>
        <v>13.819153929060413</v>
      </c>
      <c r="E288" s="136">
        <f>'H) Péréquation directe'!I298/C288</f>
        <v>-9.1485863550692699</v>
      </c>
      <c r="F288" s="405"/>
      <c r="G288" s="136">
        <f t="shared" si="17"/>
        <v>4.6705675739911428</v>
      </c>
      <c r="H288" s="110">
        <f t="shared" si="18"/>
        <v>4.6705675739911428</v>
      </c>
      <c r="I288" s="136">
        <f t="shared" si="19"/>
        <v>0</v>
      </c>
      <c r="J288" s="55">
        <f t="shared" si="20"/>
        <v>0</v>
      </c>
      <c r="K288" s="36"/>
    </row>
    <row r="289" spans="1:11" x14ac:dyDescent="0.25">
      <c r="A289" s="49">
        <f>'A) Base RI'!A290</f>
        <v>5908</v>
      </c>
      <c r="B289" s="286" t="str">
        <f>'A) Base RI'!B290</f>
        <v>Chêne-Pâquier</v>
      </c>
      <c r="C289" s="95">
        <f>'B) D RI'!U290</f>
        <v>4413.8781012658228</v>
      </c>
      <c r="D289" s="110">
        <f>'E) PCS'!G295/C289</f>
        <v>13.877589077978083</v>
      </c>
      <c r="E289" s="136">
        <f>'H) Péréquation directe'!I299/C289</f>
        <v>-2.4395003859339903</v>
      </c>
      <c r="F289" s="405"/>
      <c r="G289" s="136">
        <f t="shared" si="17"/>
        <v>11.438088692044094</v>
      </c>
      <c r="H289" s="110">
        <f t="shared" si="18"/>
        <v>11.438088692044094</v>
      </c>
      <c r="I289" s="136">
        <f t="shared" si="19"/>
        <v>0</v>
      </c>
      <c r="J289" s="55">
        <f t="shared" si="20"/>
        <v>0</v>
      </c>
      <c r="K289" s="36"/>
    </row>
    <row r="290" spans="1:11" x14ac:dyDescent="0.25">
      <c r="A290" s="49">
        <f>'A) Base RI'!A291</f>
        <v>5909</v>
      </c>
      <c r="B290" s="286" t="str">
        <f>'A) Base RI'!B291</f>
        <v>Cheseaux-Noréaz</v>
      </c>
      <c r="C290" s="95">
        <f>'B) D RI'!U291</f>
        <v>36898.573134328355</v>
      </c>
      <c r="D290" s="110">
        <f>'E) PCS'!G296/C290</f>
        <v>16.447016647232331</v>
      </c>
      <c r="E290" s="136">
        <f>'H) Péréquation directe'!I300/C290</f>
        <v>16.351148719421879</v>
      </c>
      <c r="F290" s="405"/>
      <c r="G290" s="136">
        <f t="shared" si="17"/>
        <v>32.79816536665421</v>
      </c>
      <c r="H290" s="110">
        <f t="shared" si="18"/>
        <v>32.79816536665421</v>
      </c>
      <c r="I290" s="136">
        <f t="shared" si="19"/>
        <v>0</v>
      </c>
      <c r="J290" s="55">
        <f t="shared" si="20"/>
        <v>0</v>
      </c>
      <c r="K290" s="36"/>
    </row>
    <row r="291" spans="1:11" x14ac:dyDescent="0.25">
      <c r="A291" s="49">
        <f>'A) Base RI'!A292</f>
        <v>5910</v>
      </c>
      <c r="B291" s="286" t="str">
        <f>'A) Base RI'!B292</f>
        <v>Cronay</v>
      </c>
      <c r="C291" s="95">
        <f>'B) D RI'!U292</f>
        <v>10600.416103896103</v>
      </c>
      <c r="D291" s="110">
        <f>'E) PCS'!G297/C291</f>
        <v>14.917875903746193</v>
      </c>
      <c r="E291" s="136">
        <f>'H) Péréquation directe'!I301/C291</f>
        <v>-5.8606955544549431</v>
      </c>
      <c r="F291" s="405"/>
      <c r="G291" s="136">
        <f t="shared" si="17"/>
        <v>9.0571803492912508</v>
      </c>
      <c r="H291" s="110">
        <f t="shared" si="18"/>
        <v>9.0571803492912508</v>
      </c>
      <c r="I291" s="136">
        <f t="shared" si="19"/>
        <v>0</v>
      </c>
      <c r="J291" s="55">
        <f t="shared" si="20"/>
        <v>0</v>
      </c>
      <c r="K291" s="36"/>
    </row>
    <row r="292" spans="1:11" x14ac:dyDescent="0.25">
      <c r="A292" s="49">
        <f>'A) Base RI'!A293</f>
        <v>5911</v>
      </c>
      <c r="B292" s="286" t="str">
        <f>'A) Base RI'!B293</f>
        <v>Cuarny</v>
      </c>
      <c r="C292" s="95">
        <f>'B) D RI'!U293</f>
        <v>7504.0945454545454</v>
      </c>
      <c r="D292" s="110">
        <f>'E) PCS'!G298/C292</f>
        <v>15.425010331368354</v>
      </c>
      <c r="E292" s="136">
        <f>'H) Péréquation directe'!I302/C292</f>
        <v>0.96996947854633087</v>
      </c>
      <c r="F292" s="405"/>
      <c r="G292" s="136">
        <f t="shared" si="17"/>
        <v>16.394979809914684</v>
      </c>
      <c r="H292" s="110">
        <f t="shared" si="18"/>
        <v>16.394979809914684</v>
      </c>
      <c r="I292" s="136">
        <f t="shared" si="19"/>
        <v>0</v>
      </c>
      <c r="J292" s="55">
        <f t="shared" si="20"/>
        <v>0</v>
      </c>
      <c r="K292" s="36"/>
    </row>
    <row r="293" spans="1:11" x14ac:dyDescent="0.25">
      <c r="A293" s="49">
        <f>'A) Base RI'!A294</f>
        <v>5912</v>
      </c>
      <c r="B293" s="286" t="str">
        <f>'A) Base RI'!B294</f>
        <v>Démoret</v>
      </c>
      <c r="C293" s="95">
        <f>'B) D RI'!U294</f>
        <v>4722.5551851851851</v>
      </c>
      <c r="D293" s="110">
        <f>'E) PCS'!G299/C293</f>
        <v>15.763263149825788</v>
      </c>
      <c r="E293" s="136">
        <f>'H) Péréquation directe'!I303/C293</f>
        <v>-3.3961058443816357</v>
      </c>
      <c r="F293" s="405"/>
      <c r="G293" s="136">
        <f t="shared" si="17"/>
        <v>12.367157305444152</v>
      </c>
      <c r="H293" s="110">
        <f t="shared" si="18"/>
        <v>12.367157305444152</v>
      </c>
      <c r="I293" s="136">
        <f t="shared" si="19"/>
        <v>0</v>
      </c>
      <c r="J293" s="55">
        <f t="shared" si="20"/>
        <v>0</v>
      </c>
      <c r="K293" s="36"/>
    </row>
    <row r="294" spans="1:11" x14ac:dyDescent="0.25">
      <c r="A294" s="49">
        <f>'A) Base RI'!A295</f>
        <v>5913</v>
      </c>
      <c r="B294" s="286" t="str">
        <f>'A) Base RI'!B295</f>
        <v>Donneloye</v>
      </c>
      <c r="C294" s="95">
        <f>'B) D RI'!U295</f>
        <v>23893.322465753423</v>
      </c>
      <c r="D294" s="110">
        <f>'E) PCS'!G300/C294</f>
        <v>15.558673748759269</v>
      </c>
      <c r="E294" s="136">
        <f>'H) Péréquation directe'!I304/C294</f>
        <v>-3.0036464235839424</v>
      </c>
      <c r="F294" s="405"/>
      <c r="G294" s="136">
        <f t="shared" si="17"/>
        <v>12.555027325175326</v>
      </c>
      <c r="H294" s="110">
        <f t="shared" si="18"/>
        <v>12.555027325175326</v>
      </c>
      <c r="I294" s="136">
        <f t="shared" si="19"/>
        <v>0</v>
      </c>
      <c r="J294" s="55">
        <f t="shared" si="20"/>
        <v>0</v>
      </c>
      <c r="K294" s="36"/>
    </row>
    <row r="295" spans="1:11" x14ac:dyDescent="0.25">
      <c r="A295" s="49">
        <f>'A) Base RI'!A296</f>
        <v>5914</v>
      </c>
      <c r="B295" s="286" t="str">
        <f>'A) Base RI'!B296</f>
        <v>Ependes</v>
      </c>
      <c r="C295" s="95">
        <f>'B) D RI'!U296</f>
        <v>9829.5133333333324</v>
      </c>
      <c r="D295" s="110">
        <f>'E) PCS'!G301/C295</f>
        <v>18.702836421473279</v>
      </c>
      <c r="E295" s="136">
        <f>'H) Péréquation directe'!I305/C295</f>
        <v>-4.9601358904545592</v>
      </c>
      <c r="F295" s="405"/>
      <c r="G295" s="136">
        <f t="shared" si="17"/>
        <v>13.74270053101872</v>
      </c>
      <c r="H295" s="110">
        <f t="shared" si="18"/>
        <v>13.74270053101872</v>
      </c>
      <c r="I295" s="136">
        <f t="shared" si="19"/>
        <v>0</v>
      </c>
      <c r="J295" s="55">
        <f t="shared" si="20"/>
        <v>0</v>
      </c>
      <c r="K295" s="36"/>
    </row>
    <row r="296" spans="1:11" x14ac:dyDescent="0.25">
      <c r="A296" s="49">
        <f>'A) Base RI'!A297</f>
        <v>5919</v>
      </c>
      <c r="B296" s="286" t="str">
        <f>'A) Base RI'!B297</f>
        <v>Mathod</v>
      </c>
      <c r="C296" s="95">
        <f>'B) D RI'!U297</f>
        <v>18684.885972222222</v>
      </c>
      <c r="D296" s="110">
        <f>'E) PCS'!G302/C296</f>
        <v>14.750939339425756</v>
      </c>
      <c r="E296" s="136">
        <f>'H) Péréquation directe'!I306/C296</f>
        <v>-1.4428958066607244E-2</v>
      </c>
      <c r="F296" s="405"/>
      <c r="G296" s="136">
        <f t="shared" si="17"/>
        <v>14.736510381359148</v>
      </c>
      <c r="H296" s="110">
        <f t="shared" si="18"/>
        <v>14.736510381359148</v>
      </c>
      <c r="I296" s="136">
        <f t="shared" si="19"/>
        <v>0</v>
      </c>
      <c r="J296" s="55">
        <f t="shared" si="20"/>
        <v>0</v>
      </c>
      <c r="K296" s="36"/>
    </row>
    <row r="297" spans="1:11" x14ac:dyDescent="0.25">
      <c r="A297" s="49">
        <f>'A) Base RI'!A298</f>
        <v>5921</v>
      </c>
      <c r="B297" s="286" t="str">
        <f>'A) Base RI'!B298</f>
        <v>Molondin</v>
      </c>
      <c r="C297" s="95">
        <f>'B) D RI'!U298</f>
        <v>5874.9966666666678</v>
      </c>
      <c r="D297" s="110">
        <f>'E) PCS'!G303/C297</f>
        <v>12.967791536842789</v>
      </c>
      <c r="E297" s="136">
        <f>'H) Péréquation directe'!I307/C297</f>
        <v>-11.699910483824805</v>
      </c>
      <c r="F297" s="405"/>
      <c r="G297" s="136">
        <f t="shared" si="17"/>
        <v>1.2678810530179838</v>
      </c>
      <c r="H297" s="110">
        <f t="shared" si="18"/>
        <v>1.2678810530179838</v>
      </c>
      <c r="I297" s="136">
        <f t="shared" si="19"/>
        <v>0</v>
      </c>
      <c r="J297" s="55">
        <f t="shared" si="20"/>
        <v>0</v>
      </c>
      <c r="K297" s="36"/>
    </row>
    <row r="298" spans="1:11" x14ac:dyDescent="0.25">
      <c r="A298" s="49">
        <f>'A) Base RI'!A299</f>
        <v>5922</v>
      </c>
      <c r="B298" s="286" t="str">
        <f>'A) Base RI'!B299</f>
        <v>Montagny-près-Yverdon</v>
      </c>
      <c r="C298" s="95">
        <f>'B) D RI'!U299</f>
        <v>39614.024961240313</v>
      </c>
      <c r="D298" s="110">
        <f>'E) PCS'!G304/C298</f>
        <v>19.846602586812597</v>
      </c>
      <c r="E298" s="136">
        <f>'H) Péréquation directe'!I308/C298</f>
        <v>16.371854718134589</v>
      </c>
      <c r="F298" s="405"/>
      <c r="G298" s="136">
        <f t="shared" si="17"/>
        <v>36.218457304947187</v>
      </c>
      <c r="H298" s="110">
        <f t="shared" si="18"/>
        <v>36.218457304947187</v>
      </c>
      <c r="I298" s="136">
        <f t="shared" si="19"/>
        <v>0</v>
      </c>
      <c r="J298" s="55">
        <f t="shared" si="20"/>
        <v>0</v>
      </c>
      <c r="K298" s="36"/>
    </row>
    <row r="299" spans="1:11" x14ac:dyDescent="0.25">
      <c r="A299" s="49">
        <f>'A) Base RI'!A300</f>
        <v>5923</v>
      </c>
      <c r="B299" s="286" t="str">
        <f>'A) Base RI'!B300</f>
        <v>Oppens</v>
      </c>
      <c r="C299" s="95">
        <f>'B) D RI'!U300</f>
        <v>5094.8359259259259</v>
      </c>
      <c r="D299" s="110">
        <f>'E) PCS'!G305/C299</f>
        <v>19.010119447275869</v>
      </c>
      <c r="E299" s="136">
        <f>'H) Péréquation directe'!I309/C299</f>
        <v>-9.9856218792076685</v>
      </c>
      <c r="F299" s="405"/>
      <c r="G299" s="136">
        <f t="shared" si="17"/>
        <v>9.0244975680682007</v>
      </c>
      <c r="H299" s="110">
        <f t="shared" si="18"/>
        <v>9.0244975680682007</v>
      </c>
      <c r="I299" s="136">
        <f t="shared" si="19"/>
        <v>0</v>
      </c>
      <c r="J299" s="55">
        <f t="shared" si="20"/>
        <v>0</v>
      </c>
      <c r="K299" s="36"/>
    </row>
    <row r="300" spans="1:11" x14ac:dyDescent="0.25">
      <c r="A300" s="49">
        <f>'A) Base RI'!A301</f>
        <v>5924</v>
      </c>
      <c r="B300" s="286" t="str">
        <f>'A) Base RI'!B301</f>
        <v>Orges</v>
      </c>
      <c r="C300" s="95">
        <f>'B) D RI'!U301</f>
        <v>13110.169864864867</v>
      </c>
      <c r="D300" s="110">
        <f>'E) PCS'!G306/C300</f>
        <v>15.755261492364715</v>
      </c>
      <c r="E300" s="136">
        <f>'H) Péréquation directe'!I310/C300</f>
        <v>7.5370247571808626</v>
      </c>
      <c r="F300" s="405"/>
      <c r="G300" s="136">
        <f t="shared" si="17"/>
        <v>23.292286249545576</v>
      </c>
      <c r="H300" s="110">
        <f t="shared" si="18"/>
        <v>23.292286249545576</v>
      </c>
      <c r="I300" s="136">
        <f t="shared" si="19"/>
        <v>0</v>
      </c>
      <c r="J300" s="55">
        <f t="shared" si="20"/>
        <v>0</v>
      </c>
      <c r="K300" s="36"/>
    </row>
    <row r="301" spans="1:11" x14ac:dyDescent="0.25">
      <c r="A301" s="49">
        <f>'A) Base RI'!A302</f>
        <v>5925</v>
      </c>
      <c r="B301" s="286" t="str">
        <f>'A) Base RI'!B302</f>
        <v>Orzens</v>
      </c>
      <c r="C301" s="95">
        <f>'B) D RI'!U302</f>
        <v>5230.5868354430377</v>
      </c>
      <c r="D301" s="110">
        <f>'E) PCS'!G307/C301</f>
        <v>25.320415322459503</v>
      </c>
      <c r="E301" s="136">
        <f>'H) Péréquation directe'!I311/C301</f>
        <v>-7.7112937835500315</v>
      </c>
      <c r="F301" s="405"/>
      <c r="G301" s="136">
        <f t="shared" si="17"/>
        <v>17.60912153890947</v>
      </c>
      <c r="H301" s="110">
        <f t="shared" si="18"/>
        <v>17.60912153890947</v>
      </c>
      <c r="I301" s="136">
        <f t="shared" si="19"/>
        <v>0</v>
      </c>
      <c r="J301" s="55">
        <f t="shared" si="20"/>
        <v>0</v>
      </c>
      <c r="K301" s="36"/>
    </row>
    <row r="302" spans="1:11" x14ac:dyDescent="0.25">
      <c r="A302" s="49">
        <f>'A) Base RI'!A303</f>
        <v>5926</v>
      </c>
      <c r="B302" s="286" t="str">
        <f>'A) Base RI'!B303</f>
        <v>Pomy</v>
      </c>
      <c r="C302" s="95">
        <f>'B) D RI'!U303</f>
        <v>27875.103943661972</v>
      </c>
      <c r="D302" s="110">
        <f>'E) PCS'!G308/C302</f>
        <v>16.012427500371611</v>
      </c>
      <c r="E302" s="136">
        <f>'H) Péréquation directe'!I312/C302</f>
        <v>5.8782804859763473</v>
      </c>
      <c r="F302" s="405"/>
      <c r="G302" s="136">
        <f t="shared" si="17"/>
        <v>21.890707986347959</v>
      </c>
      <c r="H302" s="110">
        <f t="shared" si="18"/>
        <v>21.890707986347959</v>
      </c>
      <c r="I302" s="136">
        <f t="shared" si="19"/>
        <v>0</v>
      </c>
      <c r="J302" s="55">
        <f t="shared" si="20"/>
        <v>0</v>
      </c>
      <c r="K302" s="36"/>
    </row>
    <row r="303" spans="1:11" x14ac:dyDescent="0.25">
      <c r="A303" s="49">
        <f>'A) Base RI'!A304</f>
        <v>5928</v>
      </c>
      <c r="B303" s="286" t="str">
        <f>'A) Base RI'!B304</f>
        <v>Rovray</v>
      </c>
      <c r="C303" s="95">
        <f>'B) D RI'!U304</f>
        <v>5459.4606993006983</v>
      </c>
      <c r="D303" s="110">
        <f>'E) PCS'!G309/C303</f>
        <v>14.577222276089898</v>
      </c>
      <c r="E303" s="136">
        <f>'H) Péréquation directe'!I313/C303</f>
        <v>-2.7979255802040175</v>
      </c>
      <c r="F303" s="405"/>
      <c r="G303" s="136">
        <f t="shared" si="17"/>
        <v>11.779296695885881</v>
      </c>
      <c r="H303" s="110">
        <f t="shared" si="18"/>
        <v>11.779296695885881</v>
      </c>
      <c r="I303" s="136">
        <f t="shared" si="19"/>
        <v>0</v>
      </c>
      <c r="J303" s="55">
        <f t="shared" si="20"/>
        <v>0</v>
      </c>
      <c r="K303" s="36"/>
    </row>
    <row r="304" spans="1:11" x14ac:dyDescent="0.25">
      <c r="A304" s="49">
        <f>'A) Base RI'!A305</f>
        <v>5929</v>
      </c>
      <c r="B304" s="286" t="str">
        <f>'A) Base RI'!B305</f>
        <v>Suchy</v>
      </c>
      <c r="C304" s="95">
        <f>'B) D RI'!U305</f>
        <v>20266.988392857143</v>
      </c>
      <c r="D304" s="110">
        <f>'E) PCS'!G310/C304</f>
        <v>15.821652715322081</v>
      </c>
      <c r="E304" s="136">
        <f>'H) Péréquation directe'!I314/C304</f>
        <v>3.6612192740320491</v>
      </c>
      <c r="F304" s="405"/>
      <c r="G304" s="136">
        <f t="shared" si="17"/>
        <v>19.48287198935413</v>
      </c>
      <c r="H304" s="110">
        <f t="shared" si="18"/>
        <v>19.48287198935413</v>
      </c>
      <c r="I304" s="136">
        <f t="shared" si="19"/>
        <v>0</v>
      </c>
      <c r="J304" s="55">
        <f t="shared" si="20"/>
        <v>0</v>
      </c>
      <c r="K304" s="36"/>
    </row>
    <row r="305" spans="1:13" x14ac:dyDescent="0.25">
      <c r="A305" s="49">
        <f>'A) Base RI'!A306</f>
        <v>5930</v>
      </c>
      <c r="B305" s="286" t="str">
        <f>'A) Base RI'!B306</f>
        <v>Suscévaz</v>
      </c>
      <c r="C305" s="95">
        <f>'B) D RI'!U306</f>
        <v>6661.8138888888889</v>
      </c>
      <c r="D305" s="110">
        <f>'E) PCS'!G311/C305</f>
        <v>18.185833667819896</v>
      </c>
      <c r="E305" s="136">
        <f>'H) Péréquation directe'!I315/C305</f>
        <v>3.1236134080823974</v>
      </c>
      <c r="F305" s="405"/>
      <c r="G305" s="136">
        <f t="shared" si="17"/>
        <v>21.309447075902295</v>
      </c>
      <c r="H305" s="110">
        <f t="shared" si="18"/>
        <v>21.309447075902295</v>
      </c>
      <c r="I305" s="136">
        <f t="shared" si="19"/>
        <v>0</v>
      </c>
      <c r="J305" s="55">
        <f t="shared" si="20"/>
        <v>0</v>
      </c>
      <c r="K305" s="36"/>
    </row>
    <row r="306" spans="1:13" x14ac:dyDescent="0.25">
      <c r="A306" s="49">
        <f>'A) Base RI'!A307</f>
        <v>5931</v>
      </c>
      <c r="B306" s="286" t="str">
        <f>'A) Base RI'!B307</f>
        <v>Treycovagnes</v>
      </c>
      <c r="C306" s="95">
        <f>'B) D RI'!U307</f>
        <v>15271.093466666664</v>
      </c>
      <c r="D306" s="110">
        <f>'E) PCS'!G312/C306</f>
        <v>17.513952351947975</v>
      </c>
      <c r="E306" s="136">
        <f>'H) Péréquation directe'!I316/C306</f>
        <v>2.3580666884448522</v>
      </c>
      <c r="F306" s="405"/>
      <c r="G306" s="136">
        <f t="shared" si="17"/>
        <v>19.872019040392829</v>
      </c>
      <c r="H306" s="110">
        <f t="shared" si="18"/>
        <v>19.872019040392829</v>
      </c>
      <c r="I306" s="136">
        <f t="shared" si="19"/>
        <v>0</v>
      </c>
      <c r="J306" s="55">
        <f t="shared" si="20"/>
        <v>0</v>
      </c>
      <c r="K306" s="36"/>
    </row>
    <row r="307" spans="1:13" x14ac:dyDescent="0.25">
      <c r="A307" s="49">
        <f>'A) Base RI'!A308</f>
        <v>5932</v>
      </c>
      <c r="B307" s="286" t="str">
        <f>'A) Base RI'!B308</f>
        <v>Ursins</v>
      </c>
      <c r="C307" s="95">
        <f>'B) D RI'!U308</f>
        <v>7703.3244000000022</v>
      </c>
      <c r="D307" s="110">
        <f>'E) PCS'!G313/C307</f>
        <v>12.832586613422455</v>
      </c>
      <c r="E307" s="136">
        <f>'H) Péréquation directe'!I317/C307</f>
        <v>5.3786824511661839</v>
      </c>
      <c r="F307" s="405"/>
      <c r="G307" s="136">
        <f t="shared" si="17"/>
        <v>18.211269064588638</v>
      </c>
      <c r="H307" s="110">
        <f t="shared" si="18"/>
        <v>18.211269064588638</v>
      </c>
      <c r="I307" s="136">
        <f t="shared" si="19"/>
        <v>0</v>
      </c>
      <c r="J307" s="55">
        <f t="shared" si="20"/>
        <v>0</v>
      </c>
      <c r="K307" s="36"/>
    </row>
    <row r="308" spans="1:13" x14ac:dyDescent="0.25">
      <c r="A308" s="49">
        <f>'A) Base RI'!A309</f>
        <v>5933</v>
      </c>
      <c r="B308" s="286" t="str">
        <f>'A) Base RI'!B309</f>
        <v>Valeyres-sous-Montagny</v>
      </c>
      <c r="C308" s="95">
        <f>'B) D RI'!U309</f>
        <v>19607.073049645387</v>
      </c>
      <c r="D308" s="110">
        <f>'E) PCS'!G314/C308</f>
        <v>15.837812009182636</v>
      </c>
      <c r="E308" s="136">
        <f>'H) Péréquation directe'!I318/C308</f>
        <v>4.5402515421203639E-2</v>
      </c>
      <c r="F308" s="405"/>
      <c r="G308" s="136">
        <f t="shared" si="17"/>
        <v>15.88321452460384</v>
      </c>
      <c r="H308" s="110">
        <f t="shared" si="18"/>
        <v>15.88321452460384</v>
      </c>
      <c r="I308" s="136">
        <f t="shared" si="19"/>
        <v>0</v>
      </c>
      <c r="J308" s="55">
        <f t="shared" si="20"/>
        <v>0</v>
      </c>
      <c r="K308" s="36"/>
    </row>
    <row r="309" spans="1:13" x14ac:dyDescent="0.25">
      <c r="A309" s="49">
        <f>'A) Base RI'!A310</f>
        <v>5934</v>
      </c>
      <c r="B309" s="286" t="str">
        <f>'A) Base RI'!B310</f>
        <v>Valeyres-sous-Ursins</v>
      </c>
      <c r="C309" s="95">
        <f>'B) D RI'!U310</f>
        <v>7018.283636363637</v>
      </c>
      <c r="D309" s="110">
        <f>'E) PCS'!G315/C309</f>
        <v>13.051758048625389</v>
      </c>
      <c r="E309" s="136">
        <f>'H) Péréquation directe'!I319/C309</f>
        <v>-2.2681001642347276</v>
      </c>
      <c r="F309" s="405"/>
      <c r="G309" s="136">
        <f t="shared" si="17"/>
        <v>10.783657884390662</v>
      </c>
      <c r="H309" s="110">
        <f t="shared" si="18"/>
        <v>10.783657884390662</v>
      </c>
      <c r="I309" s="136">
        <f t="shared" si="19"/>
        <v>0</v>
      </c>
      <c r="J309" s="55">
        <f t="shared" si="20"/>
        <v>0</v>
      </c>
      <c r="K309" s="36"/>
    </row>
    <row r="310" spans="1:13" x14ac:dyDescent="0.25">
      <c r="A310" s="49">
        <f>'A) Base RI'!A311</f>
        <v>5935</v>
      </c>
      <c r="B310" s="286" t="str">
        <f>'A) Base RI'!B311</f>
        <v>Villars-Epeney</v>
      </c>
      <c r="C310" s="95">
        <f>'B) D RI'!U311</f>
        <v>3448.2304999999997</v>
      </c>
      <c r="D310" s="110">
        <f>'E) PCS'!G316/C310</f>
        <v>13.660755933251586</v>
      </c>
      <c r="E310" s="136">
        <f>'H) Péréquation directe'!I320/C310</f>
        <v>10.567540513647556</v>
      </c>
      <c r="F310" s="405"/>
      <c r="G310" s="136">
        <f t="shared" si="17"/>
        <v>24.228296446899144</v>
      </c>
      <c r="H310" s="110">
        <f t="shared" si="18"/>
        <v>24.228296446899144</v>
      </c>
      <c r="I310" s="136">
        <f t="shared" si="19"/>
        <v>0</v>
      </c>
      <c r="J310" s="55">
        <f t="shared" si="20"/>
        <v>0</v>
      </c>
      <c r="K310" s="36"/>
    </row>
    <row r="311" spans="1:13" x14ac:dyDescent="0.25">
      <c r="A311" s="49">
        <f>'A) Base RI'!A312</f>
        <v>5937</v>
      </c>
      <c r="B311" s="286" t="str">
        <f>'A) Base RI'!B312</f>
        <v>Vugelles-La Mothe</v>
      </c>
      <c r="C311" s="95">
        <f>'B) D RI'!U312</f>
        <v>3471.6885918367348</v>
      </c>
      <c r="D311" s="110">
        <f>'E) PCS'!G317/C311</f>
        <v>13.666683061408898</v>
      </c>
      <c r="E311" s="136">
        <f>'H) Péréquation directe'!I321/C311</f>
        <v>-4.8794692052739643</v>
      </c>
      <c r="F311" s="405"/>
      <c r="G311" s="136">
        <f t="shared" si="17"/>
        <v>8.7872138561349331</v>
      </c>
      <c r="H311" s="110">
        <f t="shared" si="18"/>
        <v>8.7872138561349331</v>
      </c>
      <c r="I311" s="136">
        <f t="shared" si="19"/>
        <v>0</v>
      </c>
      <c r="J311" s="55">
        <f t="shared" si="20"/>
        <v>0</v>
      </c>
      <c r="K311" s="36"/>
    </row>
    <row r="312" spans="1:13" x14ac:dyDescent="0.25">
      <c r="A312" s="49">
        <f>'A) Base RI'!A313</f>
        <v>5938</v>
      </c>
      <c r="B312" s="286" t="str">
        <f>'A) Base RI'!B313</f>
        <v>Yverdon-les-Bains</v>
      </c>
      <c r="C312" s="95">
        <f>'B) D RI'!U313</f>
        <v>762770.29813333345</v>
      </c>
      <c r="D312" s="110">
        <f>'E) PCS'!G318/C312</f>
        <v>18.203368733666618</v>
      </c>
      <c r="E312" s="136">
        <f>'H) Péréquation directe'!I322/C312</f>
        <v>-34.109542481015488</v>
      </c>
      <c r="F312" s="405"/>
      <c r="G312" s="136">
        <f t="shared" si="17"/>
        <v>-15.90617374734887</v>
      </c>
      <c r="H312" s="110">
        <f t="shared" si="18"/>
        <v>-15.90617374734887</v>
      </c>
      <c r="I312" s="136">
        <f t="shared" si="19"/>
        <v>-7.9061737473488698</v>
      </c>
      <c r="J312" s="55">
        <f t="shared" si="20"/>
        <v>6030594.5063592317</v>
      </c>
      <c r="K312" s="36"/>
    </row>
    <row r="313" spans="1:13" x14ac:dyDescent="0.25">
      <c r="A313" s="49">
        <f>'A) Base RI'!A314</f>
        <v>5939</v>
      </c>
      <c r="B313" s="286" t="str">
        <f>'A) Base RI'!B314</f>
        <v>Yvonand</v>
      </c>
      <c r="C313" s="95">
        <f>'B) D RI'!U314</f>
        <v>105336.86867132869</v>
      </c>
      <c r="D313" s="110">
        <f>'E) PCS'!G319/C313</f>
        <v>15.549652603609616</v>
      </c>
      <c r="E313" s="136">
        <f>'H) Péréquation directe'!I323/C313</f>
        <v>-3.986534568144271</v>
      </c>
      <c r="F313" s="405"/>
      <c r="G313" s="136">
        <f t="shared" si="17"/>
        <v>11.563118035465344</v>
      </c>
      <c r="H313" s="110">
        <f t="shared" si="18"/>
        <v>11.563118035465344</v>
      </c>
      <c r="I313" s="136">
        <f t="shared" si="19"/>
        <v>0</v>
      </c>
      <c r="J313" s="55">
        <f t="shared" si="20"/>
        <v>0</v>
      </c>
      <c r="K313" s="36"/>
    </row>
    <row r="314" spans="1:13" x14ac:dyDescent="0.25">
      <c r="A314" s="30"/>
      <c r="B314" s="292">
        <f>COUNTA(B6:B313)</f>
        <v>308</v>
      </c>
      <c r="C314" s="97">
        <f>'B) D RI'!U315</f>
        <v>39896757.238841556</v>
      </c>
      <c r="D314" s="299">
        <f>'E) PCS'!G320/C314</f>
        <v>19.935004723283441</v>
      </c>
      <c r="E314" s="109">
        <f>'H) Péréquation directe'!I324/C314</f>
        <v>4.3310226296309748</v>
      </c>
      <c r="F314" s="299">
        <f>'I) Dépenses thématiques'!T314</f>
        <v>-4.5</v>
      </c>
      <c r="G314" s="109">
        <f t="shared" ref="G314" si="21">SUM(D314:F314)</f>
        <v>19.766027352914417</v>
      </c>
      <c r="H314" s="299">
        <f t="shared" ref="H314" si="22">G314-F314</f>
        <v>24.266027352914417</v>
      </c>
      <c r="I314" s="109"/>
      <c r="J314" s="37">
        <f>SUM(J6:J313)</f>
        <v>8712558.4547571689</v>
      </c>
      <c r="L314" s="12"/>
      <c r="M314" s="12"/>
    </row>
    <row r="315" spans="1:13" x14ac:dyDescent="0.25">
      <c r="I315" s="28"/>
      <c r="J315" s="6"/>
    </row>
    <row r="316" spans="1:13" x14ac:dyDescent="0.25">
      <c r="I316" s="28"/>
    </row>
  </sheetData>
  <mergeCells count="9">
    <mergeCell ref="C4:C5"/>
    <mergeCell ref="B4:B5"/>
    <mergeCell ref="A4:A5"/>
    <mergeCell ref="J4:J5"/>
    <mergeCell ref="H4:H5"/>
    <mergeCell ref="G4:G5"/>
    <mergeCell ref="F4:F5"/>
    <mergeCell ref="E4:E5"/>
    <mergeCell ref="D4:D5"/>
  </mergeCells>
  <phoneticPr fontId="21" type="noConversion"/>
  <pageMargins left="0.78740157499999996" right="0.78740157499999996" top="0.984251969" bottom="0.984251969" header="0.4921259845" footer="0.4921259845"/>
  <pageSetup paperSize="9" orientation="portrait" horizontalDpi="4294967292" verticalDpi="4294967292"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Feuil15">
    <tabColor rgb="FF00B050"/>
  </sheetPr>
  <dimension ref="A1:V320"/>
  <sheetViews>
    <sheetView workbookViewId="0">
      <pane ySplit="6" topLeftCell="A291" activePane="bottomLeft" state="frozen"/>
      <selection pane="bottomLeft" activeCell="Q33" sqref="Q33"/>
    </sheetView>
  </sheetViews>
  <sheetFormatPr baseColWidth="10" defaultColWidth="10.75" defaultRowHeight="15" x14ac:dyDescent="0.25"/>
  <cols>
    <col min="1" max="1" width="7.25" style="13" customWidth="1"/>
    <col min="2" max="2" width="18" style="13" customWidth="1"/>
    <col min="3" max="3" width="11.125" style="6" customWidth="1"/>
    <col min="4" max="4" width="14.75" style="6" customWidth="1"/>
    <col min="5" max="5" width="11.25" style="6" bestFit="1" customWidth="1"/>
    <col min="6" max="6" width="12.125" style="6" bestFit="1" customWidth="1"/>
    <col min="7" max="7" width="11" style="6" customWidth="1"/>
    <col min="8" max="8" width="11" style="13" customWidth="1"/>
    <col min="9" max="9" width="16.5" style="13" customWidth="1"/>
    <col min="10" max="10" width="12.5" style="13" customWidth="1"/>
    <col min="11" max="11" width="10" style="13" customWidth="1"/>
    <col min="12" max="12" width="8.875" style="15" bestFit="1" customWidth="1"/>
    <col min="13" max="13" width="10.375" style="15" customWidth="1"/>
    <col min="14" max="14" width="13.375" style="15" customWidth="1"/>
    <col min="15" max="15" width="6.75" style="13" customWidth="1"/>
    <col min="16" max="16" width="12.25" style="13" customWidth="1"/>
    <col min="17" max="17" width="12.625" style="13" customWidth="1"/>
    <col min="18" max="18" width="8.25" style="13" customWidth="1"/>
    <col min="19" max="19" width="8.125" style="13" customWidth="1"/>
    <col min="20" max="20" width="9.625" style="13" customWidth="1"/>
    <col min="21" max="21" width="11.25" style="6" bestFit="1" customWidth="1"/>
    <col min="22" max="16384" width="10.75" style="13"/>
  </cols>
  <sheetData>
    <row r="1" spans="1:22" s="43" customFormat="1" ht="21" x14ac:dyDescent="0.25">
      <c r="A1" s="51" t="s">
        <v>124</v>
      </c>
      <c r="B1" s="42"/>
      <c r="C1" s="44"/>
      <c r="D1" s="44"/>
      <c r="E1" s="44"/>
      <c r="F1" s="44"/>
      <c r="G1" s="44"/>
      <c r="H1" s="68"/>
      <c r="I1" s="68"/>
      <c r="J1" s="68"/>
      <c r="K1" s="68"/>
      <c r="L1" s="134"/>
      <c r="M1" s="134"/>
      <c r="N1" s="134"/>
      <c r="O1" s="68"/>
      <c r="P1" s="68"/>
      <c r="Q1" s="68"/>
      <c r="R1" s="68"/>
      <c r="S1" s="68"/>
      <c r="T1" s="68"/>
      <c r="U1" s="6"/>
    </row>
    <row r="2" spans="1:22" s="43" customFormat="1" ht="21" x14ac:dyDescent="0.25">
      <c r="A2" s="200" t="str">
        <f>Paramètres!B5</f>
        <v>décompte provisoire 2021</v>
      </c>
      <c r="B2" s="42"/>
      <c r="C2" s="44"/>
      <c r="D2" s="44"/>
      <c r="E2" s="44"/>
      <c r="F2" s="44"/>
      <c r="G2" s="44"/>
      <c r="H2" s="404"/>
      <c r="I2" s="404"/>
      <c r="J2" s="404"/>
      <c r="K2" s="404"/>
      <c r="L2" s="134"/>
      <c r="M2" s="134"/>
      <c r="N2" s="134"/>
      <c r="O2" s="404"/>
      <c r="P2" s="404"/>
      <c r="Q2" s="404"/>
      <c r="R2" s="404"/>
      <c r="S2" s="404"/>
      <c r="T2" s="404"/>
      <c r="U2" s="6"/>
    </row>
    <row r="3" spans="1:22" x14ac:dyDescent="0.25">
      <c r="H3" s="141"/>
      <c r="I3" s="141"/>
    </row>
    <row r="4" spans="1:22" x14ac:dyDescent="0.25">
      <c r="C4" s="608" t="str">
        <f>Paramètres!B6</f>
        <v>Décompte 2020</v>
      </c>
      <c r="D4" s="609"/>
      <c r="E4" s="609"/>
      <c r="F4" s="609"/>
      <c r="G4" s="609"/>
      <c r="H4" s="609"/>
      <c r="I4" s="610"/>
    </row>
    <row r="5" spans="1:22" ht="30" x14ac:dyDescent="0.25">
      <c r="A5" s="581" t="s">
        <v>46</v>
      </c>
      <c r="B5" s="581" t="s">
        <v>94</v>
      </c>
      <c r="C5" s="578" t="s">
        <v>562</v>
      </c>
      <c r="D5" s="578" t="s">
        <v>565</v>
      </c>
      <c r="E5" s="578" t="s">
        <v>424</v>
      </c>
      <c r="F5" s="578" t="s">
        <v>246</v>
      </c>
      <c r="G5" s="578" t="s">
        <v>247</v>
      </c>
      <c r="H5" s="581" t="s">
        <v>561</v>
      </c>
      <c r="I5" s="61" t="s">
        <v>359</v>
      </c>
      <c r="J5" s="61" t="s">
        <v>359</v>
      </c>
      <c r="K5" s="595" t="s">
        <v>442</v>
      </c>
      <c r="L5" s="602" t="s">
        <v>351</v>
      </c>
      <c r="M5" s="602" t="s">
        <v>256</v>
      </c>
      <c r="N5" s="602" t="s">
        <v>257</v>
      </c>
      <c r="O5" s="597" t="s">
        <v>123</v>
      </c>
      <c r="P5" s="112" t="s">
        <v>124</v>
      </c>
      <c r="Q5" s="595" t="s">
        <v>360</v>
      </c>
      <c r="R5" s="581" t="s">
        <v>125</v>
      </c>
      <c r="S5" s="581" t="s">
        <v>250</v>
      </c>
      <c r="T5" s="142"/>
    </row>
    <row r="6" spans="1:22" x14ac:dyDescent="0.25">
      <c r="A6" s="583"/>
      <c r="B6" s="583"/>
      <c r="C6" s="579"/>
      <c r="D6" s="580"/>
      <c r="E6" s="579"/>
      <c r="F6" s="580"/>
      <c r="G6" s="579"/>
      <c r="H6" s="583"/>
      <c r="I6" s="495" t="str">
        <f>Paramètres!B6</f>
        <v>Décompte 2020</v>
      </c>
      <c r="J6" s="500" t="str">
        <f>Paramètres!B5</f>
        <v>décompte provisoire 2021</v>
      </c>
      <c r="K6" s="596"/>
      <c r="L6" s="603"/>
      <c r="M6" s="603"/>
      <c r="N6" s="603"/>
      <c r="O6" s="598"/>
      <c r="P6" s="375">
        <f>Paramètres!B45</f>
        <v>93.882000000000005</v>
      </c>
      <c r="Q6" s="596"/>
      <c r="R6" s="583"/>
      <c r="S6" s="583"/>
      <c r="T6" s="137"/>
    </row>
    <row r="7" spans="1:22" x14ac:dyDescent="0.25">
      <c r="A7" s="46">
        <f>'A) Base RI'!A7</f>
        <v>5401</v>
      </c>
      <c r="B7" s="346" t="str">
        <f>'A) Base RI'!B7</f>
        <v>Aigle</v>
      </c>
      <c r="C7" s="505">
        <v>4943333.9870172413</v>
      </c>
      <c r="D7" s="505">
        <v>-3892855.6507904809</v>
      </c>
      <c r="E7" s="506">
        <v>0</v>
      </c>
      <c r="F7" s="506">
        <v>0</v>
      </c>
      <c r="G7" s="506">
        <v>0</v>
      </c>
      <c r="H7" s="503">
        <f>SUM(C7:G7)</f>
        <v>1050478.3362267604</v>
      </c>
      <c r="I7" s="506">
        <v>284723.80196969694</v>
      </c>
      <c r="J7" s="347">
        <f>'B) D RI'!U7</f>
        <v>280991.46517676767</v>
      </c>
      <c r="K7" s="67">
        <f>H7/I7</f>
        <v>3.6894644176554037</v>
      </c>
      <c r="L7" s="87">
        <f>'B) D RI'!S7</f>
        <v>66</v>
      </c>
      <c r="M7" s="443">
        <f>L7-K7</f>
        <v>62.310535582344599</v>
      </c>
      <c r="N7" s="87">
        <f>+'J) Plafonnement effort'!H6+'J) Plafonnement effort'!I6-'K) Plafonnement aide'!I6</f>
        <v>-4.5978468158141101</v>
      </c>
      <c r="O7" s="143">
        <f>M7+N7</f>
        <v>57.712688766530491</v>
      </c>
      <c r="P7" s="47">
        <f>IF(O7&gt;$P$6,$P$6-O7,0)</f>
        <v>0</v>
      </c>
      <c r="Q7" s="100">
        <f>P7*J7</f>
        <v>0</v>
      </c>
      <c r="R7" s="143">
        <f>O7+P7</f>
        <v>57.712688766530491</v>
      </c>
      <c r="S7" s="123">
        <f>R7-L7</f>
        <v>-8.2873112334695094</v>
      </c>
      <c r="T7" s="144">
        <f>+C7+D7+E7+F7+G7-H7</f>
        <v>0</v>
      </c>
      <c r="V7" s="12"/>
    </row>
    <row r="8" spans="1:22" x14ac:dyDescent="0.25">
      <c r="A8" s="49">
        <f>'A) Base RI'!A8</f>
        <v>5402</v>
      </c>
      <c r="B8" s="344" t="str">
        <f>'A) Base RI'!B8</f>
        <v>Bex</v>
      </c>
      <c r="C8" s="505">
        <v>3040280.9186381535</v>
      </c>
      <c r="D8" s="505">
        <v>-4058786.487212169</v>
      </c>
      <c r="E8" s="506">
        <v>0</v>
      </c>
      <c r="F8" s="506">
        <v>0</v>
      </c>
      <c r="G8" s="506">
        <v>0</v>
      </c>
      <c r="H8" s="503">
        <f t="shared" ref="H8:H70" si="0">SUM(C8:G8)</f>
        <v>-1018505.5685740155</v>
      </c>
      <c r="I8" s="506">
        <v>179259.20338028169</v>
      </c>
      <c r="J8" s="348">
        <f>'B) D RI'!U8</f>
        <v>192706.98084507044</v>
      </c>
      <c r="K8" s="62">
        <f t="shared" ref="K8:K70" si="1">H8/I8</f>
        <v>-5.6817477115155475</v>
      </c>
      <c r="L8" s="33">
        <f>'B) D RI'!S8</f>
        <v>71</v>
      </c>
      <c r="M8" s="442">
        <f t="shared" ref="M8:M60" si="2">L8-K8</f>
        <v>76.681747711515541</v>
      </c>
      <c r="N8" s="437">
        <f>+'J) Plafonnement effort'!H7+'J) Plafonnement effort'!I7-'K) Plafonnement aide'!I7</f>
        <v>-8.6391015290304374</v>
      </c>
      <c r="O8" s="145">
        <f t="shared" ref="O8:O60" si="3">M8+N8</f>
        <v>68.0426461824851</v>
      </c>
      <c r="P8" s="47">
        <f t="shared" ref="P8:P60" si="4">IF(O8&gt;$P$6,$P$6-O8,0)</f>
        <v>0</v>
      </c>
      <c r="Q8" s="55">
        <f t="shared" ref="Q8:Q62" si="5">P8*J8</f>
        <v>0</v>
      </c>
      <c r="R8" s="145">
        <f t="shared" ref="R8:R60" si="6">O8+P8</f>
        <v>68.0426461824851</v>
      </c>
      <c r="S8" s="125">
        <f t="shared" ref="S8:S60" si="7">R8-L8</f>
        <v>-2.9573538175148997</v>
      </c>
      <c r="T8" s="144">
        <f t="shared" ref="T8:T70" si="8">+C8+D8+E8+F8+G8-H8</f>
        <v>0</v>
      </c>
      <c r="V8" s="12"/>
    </row>
    <row r="9" spans="1:22" x14ac:dyDescent="0.25">
      <c r="A9" s="49">
        <f>'A) Base RI'!A9</f>
        <v>5403</v>
      </c>
      <c r="B9" s="344" t="str">
        <f>'A) Base RI'!B9</f>
        <v>Chessel</v>
      </c>
      <c r="C9" s="505">
        <v>204617.73413892073</v>
      </c>
      <c r="D9" s="505">
        <v>-80774.817688420153</v>
      </c>
      <c r="E9" s="506">
        <v>0</v>
      </c>
      <c r="F9" s="506">
        <v>0</v>
      </c>
      <c r="G9" s="506">
        <v>0</v>
      </c>
      <c r="H9" s="503">
        <f t="shared" si="0"/>
        <v>123842.91645050058</v>
      </c>
      <c r="I9" s="506">
        <v>10797.740270270273</v>
      </c>
      <c r="J9" s="348">
        <f>'B) D RI'!U9</f>
        <v>12090.332702702703</v>
      </c>
      <c r="K9" s="62">
        <f t="shared" si="1"/>
        <v>11.469336486216548</v>
      </c>
      <c r="L9" s="33">
        <f>'B) D RI'!S9</f>
        <v>74</v>
      </c>
      <c r="M9" s="442">
        <f t="shared" si="2"/>
        <v>62.530663513783452</v>
      </c>
      <c r="N9" s="437">
        <f>+'J) Plafonnement effort'!H8+'J) Plafonnement effort'!I8-'K) Plafonnement aide'!I8</f>
        <v>4.1949616117483188</v>
      </c>
      <c r="O9" s="145">
        <f t="shared" si="3"/>
        <v>66.725625125531764</v>
      </c>
      <c r="P9" s="47">
        <f t="shared" si="4"/>
        <v>0</v>
      </c>
      <c r="Q9" s="55">
        <f t="shared" si="5"/>
        <v>0</v>
      </c>
      <c r="R9" s="145">
        <f t="shared" si="6"/>
        <v>66.725625125531764</v>
      </c>
      <c r="S9" s="125">
        <f t="shared" si="7"/>
        <v>-7.2743748744682364</v>
      </c>
      <c r="T9" s="144">
        <f t="shared" si="8"/>
        <v>0</v>
      </c>
      <c r="V9" s="12"/>
    </row>
    <row r="10" spans="1:22" x14ac:dyDescent="0.25">
      <c r="A10" s="49">
        <f>'A) Base RI'!A10</f>
        <v>5404</v>
      </c>
      <c r="B10" s="344" t="str">
        <f>'A) Base RI'!B10</f>
        <v>Corbeyrier</v>
      </c>
      <c r="C10" s="505">
        <v>212640.53123471828</v>
      </c>
      <c r="D10" s="505">
        <v>-62618.760894710722</v>
      </c>
      <c r="E10" s="506">
        <v>0</v>
      </c>
      <c r="F10" s="506">
        <v>0</v>
      </c>
      <c r="G10" s="506">
        <v>0</v>
      </c>
      <c r="H10" s="503">
        <f t="shared" si="0"/>
        <v>150021.77034000756</v>
      </c>
      <c r="I10" s="506">
        <v>11267.87027027027</v>
      </c>
      <c r="J10" s="348">
        <f>'B) D RI'!U10</f>
        <v>11581.118783783784</v>
      </c>
      <c r="K10" s="62">
        <f t="shared" si="1"/>
        <v>13.314119415789932</v>
      </c>
      <c r="L10" s="33">
        <f>'B) D RI'!S10</f>
        <v>74</v>
      </c>
      <c r="M10" s="442">
        <f t="shared" si="2"/>
        <v>60.685880584210068</v>
      </c>
      <c r="N10" s="437">
        <f>+'J) Plafonnement effort'!H9+'J) Plafonnement effort'!I9-'K) Plafonnement aide'!I9</f>
        <v>7.9867308551578207</v>
      </c>
      <c r="O10" s="145">
        <f t="shared" si="3"/>
        <v>68.672611439367884</v>
      </c>
      <c r="P10" s="47">
        <f t="shared" si="4"/>
        <v>0</v>
      </c>
      <c r="Q10" s="55">
        <f t="shared" si="5"/>
        <v>0</v>
      </c>
      <c r="R10" s="145">
        <f t="shared" si="6"/>
        <v>68.672611439367884</v>
      </c>
      <c r="S10" s="125">
        <f t="shared" si="7"/>
        <v>-5.3273885606321159</v>
      </c>
      <c r="T10" s="144">
        <f t="shared" si="8"/>
        <v>0</v>
      </c>
      <c r="V10" s="12"/>
    </row>
    <row r="11" spans="1:22" x14ac:dyDescent="0.25">
      <c r="A11" s="49">
        <f>'A) Base RI'!A11</f>
        <v>5405</v>
      </c>
      <c r="B11" s="344" t="str">
        <f>'A) Base RI'!B11</f>
        <v>Gryon</v>
      </c>
      <c r="C11" s="505">
        <v>1370568.8160692726</v>
      </c>
      <c r="D11" s="505">
        <v>1051486.3490439896</v>
      </c>
      <c r="E11" s="506">
        <v>0</v>
      </c>
      <c r="F11" s="506">
        <v>0</v>
      </c>
      <c r="G11" s="506">
        <v>0</v>
      </c>
      <c r="H11" s="503">
        <f t="shared" si="0"/>
        <v>2422055.1651132619</v>
      </c>
      <c r="I11" s="506">
        <v>68185.794013605453</v>
      </c>
      <c r="J11" s="348">
        <f>'B) D RI'!U11</f>
        <v>78111.135102040818</v>
      </c>
      <c r="K11" s="62">
        <f t="shared" si="1"/>
        <v>35.521404423771571</v>
      </c>
      <c r="L11" s="33">
        <f>'B) D RI'!S11</f>
        <v>73.5</v>
      </c>
      <c r="M11" s="442">
        <f t="shared" si="2"/>
        <v>37.978595576228429</v>
      </c>
      <c r="N11" s="437">
        <f>+'J) Plafonnement effort'!H10+'J) Plafonnement effort'!I10-'K) Plafonnement aide'!I10</f>
        <v>29.805825611241232</v>
      </c>
      <c r="O11" s="145">
        <f t="shared" si="3"/>
        <v>67.784421187469661</v>
      </c>
      <c r="P11" s="47">
        <f t="shared" si="4"/>
        <v>0</v>
      </c>
      <c r="Q11" s="55">
        <f t="shared" si="5"/>
        <v>0</v>
      </c>
      <c r="R11" s="145">
        <f t="shared" si="6"/>
        <v>67.784421187469661</v>
      </c>
      <c r="S11" s="125">
        <f t="shared" si="7"/>
        <v>-5.7155788125303388</v>
      </c>
      <c r="T11" s="144">
        <f t="shared" si="8"/>
        <v>0</v>
      </c>
      <c r="V11" s="12"/>
    </row>
    <row r="12" spans="1:22" x14ac:dyDescent="0.25">
      <c r="A12" s="49">
        <f>'A) Base RI'!A12</f>
        <v>5406</v>
      </c>
      <c r="B12" s="344" t="str">
        <f>'A) Base RI'!B12</f>
        <v>Lavey-Morcles</v>
      </c>
      <c r="C12" s="505">
        <v>400336.71453558351</v>
      </c>
      <c r="D12" s="505">
        <v>-183109.95767579926</v>
      </c>
      <c r="E12" s="506">
        <v>0</v>
      </c>
      <c r="F12" s="506">
        <v>0</v>
      </c>
      <c r="G12" s="506">
        <v>0</v>
      </c>
      <c r="H12" s="503">
        <f t="shared" si="0"/>
        <v>217226.75685978425</v>
      </c>
      <c r="I12" s="506">
        <v>21842.545067240455</v>
      </c>
      <c r="J12" s="348">
        <f>'B) D RI'!U12</f>
        <v>21513.822183969878</v>
      </c>
      <c r="K12" s="62">
        <f t="shared" si="1"/>
        <v>9.9451211473328662</v>
      </c>
      <c r="L12" s="33">
        <f>'B) D RI'!S12</f>
        <v>71.5</v>
      </c>
      <c r="M12" s="442">
        <f t="shared" si="2"/>
        <v>61.55487885266713</v>
      </c>
      <c r="N12" s="437">
        <f>+'J) Plafonnement effort'!H11+'J) Plafonnement effort'!I11-'K) Plafonnement aide'!I11</f>
        <v>1.4075858921127198</v>
      </c>
      <c r="O12" s="145">
        <f t="shared" si="3"/>
        <v>62.962464744779851</v>
      </c>
      <c r="P12" s="47">
        <f t="shared" si="4"/>
        <v>0</v>
      </c>
      <c r="Q12" s="55">
        <f t="shared" si="5"/>
        <v>0</v>
      </c>
      <c r="R12" s="145">
        <f t="shared" si="6"/>
        <v>62.962464744779851</v>
      </c>
      <c r="S12" s="125">
        <f t="shared" si="7"/>
        <v>-8.5375352552201491</v>
      </c>
      <c r="T12" s="144">
        <f t="shared" si="8"/>
        <v>0</v>
      </c>
      <c r="V12" s="12"/>
    </row>
    <row r="13" spans="1:22" x14ac:dyDescent="0.25">
      <c r="A13" s="49">
        <f>'A) Base RI'!A13</f>
        <v>5407</v>
      </c>
      <c r="B13" s="344" t="str">
        <f>'A) Base RI'!B13</f>
        <v>Leysin</v>
      </c>
      <c r="C13" s="505">
        <v>1621216.1786620524</v>
      </c>
      <c r="D13" s="505">
        <v>-1466555.1515884602</v>
      </c>
      <c r="E13" s="506">
        <v>0</v>
      </c>
      <c r="F13" s="506">
        <v>0</v>
      </c>
      <c r="G13" s="506">
        <v>0</v>
      </c>
      <c r="H13" s="503">
        <f t="shared" si="0"/>
        <v>154661.02707359218</v>
      </c>
      <c r="I13" s="506">
        <v>90822.200982905983</v>
      </c>
      <c r="J13" s="348">
        <f>'B) D RI'!U13</f>
        <v>90687.443803418792</v>
      </c>
      <c r="K13" s="62">
        <f t="shared" si="1"/>
        <v>1.7028989101761756</v>
      </c>
      <c r="L13" s="33">
        <f>'B) D RI'!S13</f>
        <v>78</v>
      </c>
      <c r="M13" s="442">
        <f t="shared" si="2"/>
        <v>76.297101089823826</v>
      </c>
      <c r="N13" s="437">
        <f>+'J) Plafonnement effort'!H12+'J) Plafonnement effort'!I12-'K) Plafonnement aide'!I12</f>
        <v>-4.4877959356562762</v>
      </c>
      <c r="O13" s="145">
        <f t="shared" si="3"/>
        <v>71.809305154167546</v>
      </c>
      <c r="P13" s="47">
        <f t="shared" si="4"/>
        <v>0</v>
      </c>
      <c r="Q13" s="55">
        <f t="shared" si="5"/>
        <v>0</v>
      </c>
      <c r="R13" s="145">
        <f t="shared" si="6"/>
        <v>71.809305154167546</v>
      </c>
      <c r="S13" s="125">
        <f t="shared" si="7"/>
        <v>-6.1906948458324536</v>
      </c>
      <c r="T13" s="144">
        <f t="shared" si="8"/>
        <v>0</v>
      </c>
      <c r="V13" s="12"/>
    </row>
    <row r="14" spans="1:22" x14ac:dyDescent="0.25">
      <c r="A14" s="49">
        <f>'A) Base RI'!A14</f>
        <v>5408</v>
      </c>
      <c r="B14" s="344" t="str">
        <f>'A) Base RI'!B14</f>
        <v>Noville</v>
      </c>
      <c r="C14" s="505">
        <v>746271.3943303033</v>
      </c>
      <c r="D14" s="505">
        <v>347649.66872412007</v>
      </c>
      <c r="E14" s="506">
        <v>0</v>
      </c>
      <c r="F14" s="506">
        <v>0</v>
      </c>
      <c r="G14" s="506">
        <v>0</v>
      </c>
      <c r="H14" s="503">
        <f t="shared" si="0"/>
        <v>1093921.0630544233</v>
      </c>
      <c r="I14" s="506">
        <v>43840.045520169842</v>
      </c>
      <c r="J14" s="348">
        <f>'B) D RI'!U14</f>
        <v>41389.442632696395</v>
      </c>
      <c r="K14" s="62">
        <f t="shared" si="1"/>
        <v>24.952553084169001</v>
      </c>
      <c r="L14" s="33">
        <f>'B) D RI'!S14</f>
        <v>78.5</v>
      </c>
      <c r="M14" s="442">
        <f t="shared" si="2"/>
        <v>53.547446915831003</v>
      </c>
      <c r="N14" s="437">
        <f>+'J) Plafonnement effort'!H13+'J) Plafonnement effort'!I13-'K) Plafonnement aide'!I13</f>
        <v>17.508227583048136</v>
      </c>
      <c r="O14" s="145">
        <f t="shared" si="3"/>
        <v>71.055674498879142</v>
      </c>
      <c r="P14" s="47">
        <f t="shared" si="4"/>
        <v>0</v>
      </c>
      <c r="Q14" s="55">
        <f t="shared" si="5"/>
        <v>0</v>
      </c>
      <c r="R14" s="145">
        <f t="shared" si="6"/>
        <v>71.055674498879142</v>
      </c>
      <c r="S14" s="125">
        <f t="shared" si="7"/>
        <v>-7.4443255011208578</v>
      </c>
      <c r="T14" s="144">
        <f t="shared" si="8"/>
        <v>0</v>
      </c>
      <c r="V14" s="12"/>
    </row>
    <row r="15" spans="1:22" x14ac:dyDescent="0.25">
      <c r="A15" s="49">
        <f>'A) Base RI'!A15</f>
        <v>5409</v>
      </c>
      <c r="B15" s="344" t="str">
        <f>'A) Base RI'!B15</f>
        <v>Ollon</v>
      </c>
      <c r="C15" s="505">
        <v>7298371.7334683128</v>
      </c>
      <c r="D15" s="505">
        <v>4080400.2260906426</v>
      </c>
      <c r="E15" s="506">
        <v>0</v>
      </c>
      <c r="F15" s="506">
        <v>0</v>
      </c>
      <c r="G15" s="506">
        <v>0</v>
      </c>
      <c r="H15" s="503">
        <f t="shared" si="0"/>
        <v>11378771.959558956</v>
      </c>
      <c r="I15" s="506">
        <v>389186.78990950214</v>
      </c>
      <c r="J15" s="348">
        <f>'B) D RI'!U15</f>
        <v>428262.96074660635</v>
      </c>
      <c r="K15" s="62">
        <f t="shared" si="1"/>
        <v>29.23730263867607</v>
      </c>
      <c r="L15" s="33">
        <f>'B) D RI'!S15</f>
        <v>68</v>
      </c>
      <c r="M15" s="442">
        <f t="shared" si="2"/>
        <v>38.76269736132393</v>
      </c>
      <c r="N15" s="437">
        <f>+'J) Plafonnement effort'!H14+'J) Plafonnement effort'!I14-'K) Plafonnement aide'!I14</f>
        <v>24.137757406630126</v>
      </c>
      <c r="O15" s="145">
        <f t="shared" si="3"/>
        <v>62.900454767954059</v>
      </c>
      <c r="P15" s="47">
        <f t="shared" si="4"/>
        <v>0</v>
      </c>
      <c r="Q15" s="55">
        <f t="shared" si="5"/>
        <v>0</v>
      </c>
      <c r="R15" s="145">
        <f t="shared" si="6"/>
        <v>62.900454767954059</v>
      </c>
      <c r="S15" s="125">
        <f t="shared" si="7"/>
        <v>-5.0995452320459407</v>
      </c>
      <c r="T15" s="144">
        <f t="shared" si="8"/>
        <v>0</v>
      </c>
      <c r="V15" s="12"/>
    </row>
    <row r="16" spans="1:22" x14ac:dyDescent="0.25">
      <c r="A16" s="49">
        <f>'A) Base RI'!A16</f>
        <v>5410</v>
      </c>
      <c r="B16" s="344" t="str">
        <f>'A) Base RI'!B16</f>
        <v>Ormont-Dessous</v>
      </c>
      <c r="C16" s="505">
        <v>753560.19707566872</v>
      </c>
      <c r="D16" s="505">
        <v>158991.19743413641</v>
      </c>
      <c r="E16" s="506">
        <v>0</v>
      </c>
      <c r="F16" s="506">
        <v>0</v>
      </c>
      <c r="G16" s="506">
        <v>0</v>
      </c>
      <c r="H16" s="503">
        <f t="shared" si="0"/>
        <v>912551.39450980513</v>
      </c>
      <c r="I16" s="506">
        <v>39522.545108225109</v>
      </c>
      <c r="J16" s="348">
        <f>'B) D RI'!U16</f>
        <v>38607.205194805196</v>
      </c>
      <c r="K16" s="62">
        <f t="shared" si="1"/>
        <v>23.089388398721631</v>
      </c>
      <c r="L16" s="33">
        <f>'B) D RI'!S16</f>
        <v>77</v>
      </c>
      <c r="M16" s="442">
        <f t="shared" si="2"/>
        <v>53.910611601278369</v>
      </c>
      <c r="N16" s="437">
        <f>+'J) Plafonnement effort'!H15+'J) Plafonnement effort'!I15-'K) Plafonnement aide'!I15</f>
        <v>15.46664025889752</v>
      </c>
      <c r="O16" s="145">
        <f t="shared" si="3"/>
        <v>69.377251860175889</v>
      </c>
      <c r="P16" s="47">
        <f t="shared" si="4"/>
        <v>0</v>
      </c>
      <c r="Q16" s="55">
        <f t="shared" si="5"/>
        <v>0</v>
      </c>
      <c r="R16" s="145">
        <f t="shared" si="6"/>
        <v>69.377251860175889</v>
      </c>
      <c r="S16" s="125">
        <f t="shared" si="7"/>
        <v>-7.622748139824111</v>
      </c>
      <c r="T16" s="144">
        <f t="shared" si="8"/>
        <v>0</v>
      </c>
      <c r="V16" s="12"/>
    </row>
    <row r="17" spans="1:22" x14ac:dyDescent="0.25">
      <c r="A17" s="49">
        <f>'A) Base RI'!A17</f>
        <v>5411</v>
      </c>
      <c r="B17" s="344" t="str">
        <f>'A) Base RI'!B17</f>
        <v>Ormont-Dessus</v>
      </c>
      <c r="C17" s="505">
        <v>1382661.0879914465</v>
      </c>
      <c r="D17" s="505">
        <v>958836.16049225815</v>
      </c>
      <c r="E17" s="506">
        <v>0</v>
      </c>
      <c r="F17" s="506">
        <v>0</v>
      </c>
      <c r="G17" s="506">
        <v>0</v>
      </c>
      <c r="H17" s="503">
        <f t="shared" si="0"/>
        <v>2341497.2484837044</v>
      </c>
      <c r="I17" s="506">
        <v>68049.385526315804</v>
      </c>
      <c r="J17" s="348">
        <f>'B) D RI'!U17</f>
        <v>77411.411228070181</v>
      </c>
      <c r="K17" s="62">
        <f t="shared" si="1"/>
        <v>34.408793413398413</v>
      </c>
      <c r="L17" s="33">
        <f>'B) D RI'!S17</f>
        <v>76</v>
      </c>
      <c r="M17" s="442">
        <f t="shared" si="2"/>
        <v>41.591206586601587</v>
      </c>
      <c r="N17" s="437">
        <f>+'J) Plafonnement effort'!H16+'J) Plafonnement effort'!I16-'K) Plafonnement aide'!I16</f>
        <v>28.762416844828227</v>
      </c>
      <c r="O17" s="145">
        <f t="shared" si="3"/>
        <v>70.35362343142981</v>
      </c>
      <c r="P17" s="47">
        <f t="shared" si="4"/>
        <v>0</v>
      </c>
      <c r="Q17" s="55">
        <f t="shared" si="5"/>
        <v>0</v>
      </c>
      <c r="R17" s="145">
        <f t="shared" si="6"/>
        <v>70.35362343142981</v>
      </c>
      <c r="S17" s="125">
        <f t="shared" si="7"/>
        <v>-5.6463765685701901</v>
      </c>
      <c r="T17" s="144">
        <f t="shared" si="8"/>
        <v>0</v>
      </c>
      <c r="V17" s="12"/>
    </row>
    <row r="18" spans="1:22" x14ac:dyDescent="0.25">
      <c r="A18" s="49">
        <f>'A) Base RI'!A18</f>
        <v>5412</v>
      </c>
      <c r="B18" s="344" t="str">
        <f>'A) Base RI'!B18</f>
        <v>Rennaz</v>
      </c>
      <c r="C18" s="505">
        <v>630929.94476936117</v>
      </c>
      <c r="D18" s="505">
        <v>665.71095895790495</v>
      </c>
      <c r="E18" s="506">
        <v>0</v>
      </c>
      <c r="F18" s="506">
        <v>0</v>
      </c>
      <c r="G18" s="506">
        <v>0</v>
      </c>
      <c r="H18" s="503">
        <f t="shared" si="0"/>
        <v>631595.65572831908</v>
      </c>
      <c r="I18" s="506">
        <v>24274.281449275361</v>
      </c>
      <c r="J18" s="348">
        <f>'B) D RI'!U18</f>
        <v>28875.999420289856</v>
      </c>
      <c r="K18" s="62">
        <f t="shared" si="1"/>
        <v>26.019128807092809</v>
      </c>
      <c r="L18" s="33">
        <f>'B) D RI'!S18</f>
        <v>69</v>
      </c>
      <c r="M18" s="442">
        <f t="shared" si="2"/>
        <v>42.980871192907188</v>
      </c>
      <c r="N18" s="437">
        <f>+'J) Plafonnement effort'!H17+'J) Plafonnement effort'!I17-'K) Plafonnement aide'!I17</f>
        <v>18.041474492012519</v>
      </c>
      <c r="O18" s="145">
        <f t="shared" si="3"/>
        <v>61.022345684919706</v>
      </c>
      <c r="P18" s="47">
        <f t="shared" si="4"/>
        <v>0</v>
      </c>
      <c r="Q18" s="55">
        <f t="shared" si="5"/>
        <v>0</v>
      </c>
      <c r="R18" s="145">
        <f t="shared" si="6"/>
        <v>61.022345684919706</v>
      </c>
      <c r="S18" s="125">
        <f t="shared" si="7"/>
        <v>-7.9776543150802937</v>
      </c>
      <c r="T18" s="144">
        <f t="shared" si="8"/>
        <v>0</v>
      </c>
      <c r="V18" s="12"/>
    </row>
    <row r="19" spans="1:22" x14ac:dyDescent="0.25">
      <c r="A19" s="49">
        <f>'A) Base RI'!A19</f>
        <v>5413</v>
      </c>
      <c r="B19" s="344" t="str">
        <f>'A) Base RI'!B19</f>
        <v>Roche</v>
      </c>
      <c r="C19" s="505">
        <v>871395.67222638091</v>
      </c>
      <c r="D19" s="505">
        <v>-283999.95806668384</v>
      </c>
      <c r="E19" s="506">
        <v>0</v>
      </c>
      <c r="F19" s="506">
        <v>0</v>
      </c>
      <c r="G19" s="506">
        <v>0</v>
      </c>
      <c r="H19" s="503">
        <f t="shared" si="0"/>
        <v>587395.71415969706</v>
      </c>
      <c r="I19" s="506">
        <v>48007.468357843129</v>
      </c>
      <c r="J19" s="348">
        <f>'B) D RI'!U19</f>
        <v>43148.541249999987</v>
      </c>
      <c r="K19" s="62">
        <f t="shared" si="1"/>
        <v>12.235506979482961</v>
      </c>
      <c r="L19" s="33">
        <f>'B) D RI'!S19</f>
        <v>68</v>
      </c>
      <c r="M19" s="442">
        <f t="shared" si="2"/>
        <v>55.764493020517037</v>
      </c>
      <c r="N19" s="437">
        <f>+'J) Plafonnement effort'!H18+'J) Plafonnement effort'!I18-'K) Plafonnement aide'!I18</f>
        <v>0.65012584513791438</v>
      </c>
      <c r="O19" s="145">
        <f t="shared" si="3"/>
        <v>56.414618865654951</v>
      </c>
      <c r="P19" s="47">
        <f t="shared" si="4"/>
        <v>0</v>
      </c>
      <c r="Q19" s="55">
        <f t="shared" si="5"/>
        <v>0</v>
      </c>
      <c r="R19" s="145">
        <f t="shared" si="6"/>
        <v>56.414618865654951</v>
      </c>
      <c r="S19" s="125">
        <f t="shared" si="7"/>
        <v>-11.585381134345049</v>
      </c>
      <c r="T19" s="144">
        <f t="shared" si="8"/>
        <v>0</v>
      </c>
      <c r="V19" s="12"/>
    </row>
    <row r="20" spans="1:22" x14ac:dyDescent="0.25">
      <c r="A20" s="49">
        <f>'A) Base RI'!A20</f>
        <v>5414</v>
      </c>
      <c r="B20" s="344" t="str">
        <f>'A) Base RI'!B20</f>
        <v>Villeneuve</v>
      </c>
      <c r="C20" s="505">
        <v>3034530.5167182516</v>
      </c>
      <c r="D20" s="505">
        <v>-1476991.6255055014</v>
      </c>
      <c r="E20" s="506">
        <v>0</v>
      </c>
      <c r="F20" s="506">
        <v>0</v>
      </c>
      <c r="G20" s="506">
        <v>0</v>
      </c>
      <c r="H20" s="503">
        <f t="shared" si="0"/>
        <v>1557538.8912127502</v>
      </c>
      <c r="I20" s="506">
        <v>159468.65911111108</v>
      </c>
      <c r="J20" s="348">
        <f>'B) D RI'!U20</f>
        <v>185712.20711111111</v>
      </c>
      <c r="K20" s="62">
        <f t="shared" si="1"/>
        <v>9.7670532874269824</v>
      </c>
      <c r="L20" s="33">
        <f>'B) D RI'!S20</f>
        <v>67.5</v>
      </c>
      <c r="M20" s="442">
        <f t="shared" si="2"/>
        <v>57.732946712573018</v>
      </c>
      <c r="N20" s="437">
        <f>+'J) Plafonnement effort'!H19+'J) Plafonnement effort'!I19-'K) Plafonnement aide'!I19</f>
        <v>8.3231274622100919</v>
      </c>
      <c r="O20" s="145">
        <f t="shared" si="3"/>
        <v>66.056074174783106</v>
      </c>
      <c r="P20" s="47">
        <f t="shared" si="4"/>
        <v>0</v>
      </c>
      <c r="Q20" s="55">
        <f t="shared" si="5"/>
        <v>0</v>
      </c>
      <c r="R20" s="145">
        <f t="shared" si="6"/>
        <v>66.056074174783106</v>
      </c>
      <c r="S20" s="125">
        <f t="shared" si="7"/>
        <v>-1.4439258252168941</v>
      </c>
      <c r="T20" s="144">
        <f t="shared" si="8"/>
        <v>0</v>
      </c>
      <c r="V20" s="12"/>
    </row>
    <row r="21" spans="1:22" x14ac:dyDescent="0.25">
      <c r="A21" s="49">
        <f>'A) Base RI'!A21</f>
        <v>5415</v>
      </c>
      <c r="B21" s="344" t="str">
        <f>'A) Base RI'!B21</f>
        <v>Yvorne</v>
      </c>
      <c r="C21" s="505">
        <v>698787.83639668697</v>
      </c>
      <c r="D21" s="505">
        <v>308349.21045519912</v>
      </c>
      <c r="E21" s="506">
        <v>0</v>
      </c>
      <c r="F21" s="506">
        <v>0</v>
      </c>
      <c r="G21" s="506">
        <v>0</v>
      </c>
      <c r="H21" s="503">
        <f t="shared" si="0"/>
        <v>1007137.0468518861</v>
      </c>
      <c r="I21" s="506">
        <v>38155.020093240091</v>
      </c>
      <c r="J21" s="348">
        <f>'B) D RI'!U21</f>
        <v>35910.274638694631</v>
      </c>
      <c r="K21" s="62">
        <f t="shared" si="1"/>
        <v>26.395924950130485</v>
      </c>
      <c r="L21" s="33">
        <f>'B) D RI'!S21</f>
        <v>71.5</v>
      </c>
      <c r="M21" s="442">
        <f t="shared" si="2"/>
        <v>45.104075049869515</v>
      </c>
      <c r="N21" s="437">
        <f>+'J) Plafonnement effort'!H20+'J) Plafonnement effort'!I20-'K) Plafonnement aide'!I20</f>
        <v>18.993725893807905</v>
      </c>
      <c r="O21" s="145">
        <f t="shared" si="3"/>
        <v>64.097800943677413</v>
      </c>
      <c r="P21" s="47">
        <f t="shared" si="4"/>
        <v>0</v>
      </c>
      <c r="Q21" s="55">
        <f t="shared" si="5"/>
        <v>0</v>
      </c>
      <c r="R21" s="145">
        <f t="shared" si="6"/>
        <v>64.097800943677413</v>
      </c>
      <c r="S21" s="125">
        <f t="shared" si="7"/>
        <v>-7.402199056322587</v>
      </c>
      <c r="T21" s="144">
        <f t="shared" si="8"/>
        <v>0</v>
      </c>
      <c r="V21" s="12"/>
    </row>
    <row r="22" spans="1:22" x14ac:dyDescent="0.25">
      <c r="A22" s="49">
        <f>'A) Base RI'!A22</f>
        <v>5421</v>
      </c>
      <c r="B22" s="344" t="str">
        <f>'A) Base RI'!B22</f>
        <v>Apples</v>
      </c>
      <c r="C22" s="505">
        <v>998180.19375907292</v>
      </c>
      <c r="D22" s="505">
        <v>903175.11435195012</v>
      </c>
      <c r="E22" s="506">
        <v>0</v>
      </c>
      <c r="F22" s="506">
        <v>0</v>
      </c>
      <c r="G22" s="506">
        <v>0</v>
      </c>
      <c r="H22" s="503">
        <f t="shared" si="0"/>
        <v>1901355.3081110232</v>
      </c>
      <c r="I22" s="506">
        <v>66313.601621621623</v>
      </c>
      <c r="J22" s="348">
        <f>'B) D RI'!U22</f>
        <v>68531.648243243253</v>
      </c>
      <c r="K22" s="62">
        <f t="shared" si="1"/>
        <v>28.672176772420759</v>
      </c>
      <c r="L22" s="33">
        <f>'B) D RI'!S22</f>
        <v>74</v>
      </c>
      <c r="M22" s="442">
        <f t="shared" si="2"/>
        <v>45.327823227579245</v>
      </c>
      <c r="N22" s="437">
        <f>+'J) Plafonnement effort'!H21+'J) Plafonnement effort'!I21-'K) Plafonnement aide'!I21</f>
        <v>25.962946523344989</v>
      </c>
      <c r="O22" s="145">
        <f t="shared" si="3"/>
        <v>71.290769750924227</v>
      </c>
      <c r="P22" s="47">
        <f t="shared" si="4"/>
        <v>0</v>
      </c>
      <c r="Q22" s="55">
        <f t="shared" si="5"/>
        <v>0</v>
      </c>
      <c r="R22" s="145">
        <f t="shared" si="6"/>
        <v>71.290769750924227</v>
      </c>
      <c r="S22" s="125">
        <f t="shared" si="7"/>
        <v>-2.7092302490757731</v>
      </c>
      <c r="T22" s="144">
        <f t="shared" si="8"/>
        <v>0</v>
      </c>
      <c r="V22" s="12"/>
    </row>
    <row r="23" spans="1:22" x14ac:dyDescent="0.25">
      <c r="A23" s="49">
        <f>'A) Base RI'!A23</f>
        <v>5422</v>
      </c>
      <c r="B23" s="344" t="str">
        <f>'A) Base RI'!B23</f>
        <v>Aubonne</v>
      </c>
      <c r="C23" s="505">
        <v>5996176.6289724242</v>
      </c>
      <c r="D23" s="505">
        <v>3759492.0226858528</v>
      </c>
      <c r="E23" s="506">
        <v>0</v>
      </c>
      <c r="F23" s="506">
        <v>0</v>
      </c>
      <c r="G23" s="506">
        <v>0</v>
      </c>
      <c r="H23" s="503">
        <f t="shared" si="0"/>
        <v>9755668.651658278</v>
      </c>
      <c r="I23" s="506">
        <v>258817.70941605841</v>
      </c>
      <c r="J23" s="348">
        <f>'B) D RI'!U23</f>
        <v>364706.48499999999</v>
      </c>
      <c r="K23" s="62">
        <f t="shared" si="1"/>
        <v>37.693203736594789</v>
      </c>
      <c r="L23" s="33">
        <f>'B) D RI'!S23</f>
        <v>70</v>
      </c>
      <c r="M23" s="442">
        <f t="shared" si="2"/>
        <v>32.306796263405211</v>
      </c>
      <c r="N23" s="437">
        <f>+'J) Plafonnement effort'!H22+'J) Plafonnement effort'!I22-'K) Plafonnement aide'!I22</f>
        <v>39.162592727817824</v>
      </c>
      <c r="O23" s="145">
        <f t="shared" si="3"/>
        <v>71.469388991223042</v>
      </c>
      <c r="P23" s="47">
        <f t="shared" si="4"/>
        <v>0</v>
      </c>
      <c r="Q23" s="55">
        <f t="shared" si="5"/>
        <v>0</v>
      </c>
      <c r="R23" s="145">
        <f t="shared" si="6"/>
        <v>71.469388991223042</v>
      </c>
      <c r="S23" s="125">
        <f t="shared" si="7"/>
        <v>1.4693889912230418</v>
      </c>
      <c r="T23" s="144">
        <f t="shared" si="8"/>
        <v>0</v>
      </c>
      <c r="V23" s="12"/>
    </row>
    <row r="24" spans="1:22" x14ac:dyDescent="0.25">
      <c r="A24" s="49">
        <f>'A) Base RI'!A24</f>
        <v>5423</v>
      </c>
      <c r="B24" s="344" t="str">
        <f>'A) Base RI'!B24</f>
        <v>Ballens</v>
      </c>
      <c r="C24" s="505">
        <v>270031.11508308817</v>
      </c>
      <c r="D24" s="505">
        <v>45432.726429744973</v>
      </c>
      <c r="E24" s="506">
        <v>0</v>
      </c>
      <c r="F24" s="506">
        <v>0</v>
      </c>
      <c r="G24" s="506">
        <v>0</v>
      </c>
      <c r="H24" s="503">
        <f t="shared" si="0"/>
        <v>315463.84151283314</v>
      </c>
      <c r="I24" s="506">
        <v>17114.745479452053</v>
      </c>
      <c r="J24" s="348">
        <f>'B) D RI'!U24</f>
        <v>16194.440273972601</v>
      </c>
      <c r="K24" s="62">
        <f t="shared" si="1"/>
        <v>18.432283547048872</v>
      </c>
      <c r="L24" s="33">
        <f>'B) D RI'!S24</f>
        <v>73</v>
      </c>
      <c r="M24" s="442">
        <f t="shared" si="2"/>
        <v>54.567716452951132</v>
      </c>
      <c r="N24" s="437">
        <f>+'J) Plafonnement effort'!H23+'J) Plafonnement effort'!I23-'K) Plafonnement aide'!I23</f>
        <v>11.824406775419693</v>
      </c>
      <c r="O24" s="145">
        <f t="shared" si="3"/>
        <v>66.392123228370821</v>
      </c>
      <c r="P24" s="47">
        <f t="shared" si="4"/>
        <v>0</v>
      </c>
      <c r="Q24" s="55">
        <f t="shared" si="5"/>
        <v>0</v>
      </c>
      <c r="R24" s="145">
        <f t="shared" si="6"/>
        <v>66.392123228370821</v>
      </c>
      <c r="S24" s="125">
        <f t="shared" si="7"/>
        <v>-6.6078767716291793</v>
      </c>
      <c r="T24" s="144">
        <f t="shared" si="8"/>
        <v>0</v>
      </c>
      <c r="V24" s="12"/>
    </row>
    <row r="25" spans="1:22" x14ac:dyDescent="0.25">
      <c r="A25" s="49">
        <f>'A) Base RI'!A25</f>
        <v>5424</v>
      </c>
      <c r="B25" s="344" t="str">
        <f>'A) Base RI'!B25</f>
        <v>Berolle</v>
      </c>
      <c r="C25" s="505">
        <v>145105.80618564234</v>
      </c>
      <c r="D25" s="505">
        <v>-479.92328635745798</v>
      </c>
      <c r="E25" s="506">
        <v>0</v>
      </c>
      <c r="F25" s="506">
        <v>0</v>
      </c>
      <c r="G25" s="506">
        <v>0</v>
      </c>
      <c r="H25" s="503">
        <f t="shared" si="0"/>
        <v>144625.88289928489</v>
      </c>
      <c r="I25" s="506">
        <v>9114.9769536423846</v>
      </c>
      <c r="J25" s="348">
        <f>'B) D RI'!U25</f>
        <v>8301.8684768211915</v>
      </c>
      <c r="K25" s="62">
        <f t="shared" si="1"/>
        <v>15.866840216364096</v>
      </c>
      <c r="L25" s="33">
        <f>'B) D RI'!S25</f>
        <v>75.5</v>
      </c>
      <c r="M25" s="442">
        <f t="shared" si="2"/>
        <v>59.633159783635904</v>
      </c>
      <c r="N25" s="437">
        <f>+'J) Plafonnement effort'!H24+'J) Plafonnement effort'!I24-'K) Plafonnement aide'!I24</f>
        <v>8.2280965756297686</v>
      </c>
      <c r="O25" s="145">
        <f t="shared" si="3"/>
        <v>67.861256359265667</v>
      </c>
      <c r="P25" s="47">
        <f t="shared" si="4"/>
        <v>0</v>
      </c>
      <c r="Q25" s="55">
        <f t="shared" si="5"/>
        <v>0</v>
      </c>
      <c r="R25" s="145">
        <f t="shared" si="6"/>
        <v>67.861256359265667</v>
      </c>
      <c r="S25" s="125">
        <f t="shared" si="7"/>
        <v>-7.638743640734333</v>
      </c>
      <c r="T25" s="144">
        <f t="shared" si="8"/>
        <v>0</v>
      </c>
      <c r="V25" s="12"/>
    </row>
    <row r="26" spans="1:22" x14ac:dyDescent="0.25">
      <c r="A26" s="49">
        <f>'A) Base RI'!A26</f>
        <v>5425</v>
      </c>
      <c r="B26" s="344" t="str">
        <f>'A) Base RI'!B26</f>
        <v>Bière</v>
      </c>
      <c r="C26" s="505">
        <v>686867.31148288108</v>
      </c>
      <c r="D26" s="505">
        <v>-299953.06502520188</v>
      </c>
      <c r="E26" s="506">
        <v>0</v>
      </c>
      <c r="F26" s="506">
        <v>0</v>
      </c>
      <c r="G26" s="506">
        <v>0</v>
      </c>
      <c r="H26" s="503">
        <f t="shared" si="0"/>
        <v>386914.2464576792</v>
      </c>
      <c r="I26" s="506">
        <v>40211.969135432286</v>
      </c>
      <c r="J26" s="348">
        <f>'B) D RI'!U26</f>
        <v>44230.498130934531</v>
      </c>
      <c r="K26" s="62">
        <f t="shared" si="1"/>
        <v>9.6218676870701767</v>
      </c>
      <c r="L26" s="33">
        <f>'B) D RI'!S26</f>
        <v>69</v>
      </c>
      <c r="M26" s="442">
        <f t="shared" si="2"/>
        <v>59.378132312929822</v>
      </c>
      <c r="N26" s="437">
        <f>+'J) Plafonnement effort'!H25+'J) Plafonnement effort'!I25-'K) Plafonnement aide'!I25</f>
        <v>8.1645100107222941</v>
      </c>
      <c r="O26" s="145">
        <f t="shared" si="3"/>
        <v>67.542642323652117</v>
      </c>
      <c r="P26" s="47">
        <f t="shared" si="4"/>
        <v>0</v>
      </c>
      <c r="Q26" s="55">
        <f t="shared" si="5"/>
        <v>0</v>
      </c>
      <c r="R26" s="145">
        <f t="shared" si="6"/>
        <v>67.542642323652117</v>
      </c>
      <c r="S26" s="125">
        <f t="shared" si="7"/>
        <v>-1.4573576763478826</v>
      </c>
      <c r="T26" s="144">
        <f t="shared" si="8"/>
        <v>0</v>
      </c>
      <c r="V26" s="12"/>
    </row>
    <row r="27" spans="1:22" x14ac:dyDescent="0.25">
      <c r="A27" s="49">
        <f>'A) Base RI'!A27</f>
        <v>5426</v>
      </c>
      <c r="B27" s="344" t="str">
        <f>'A) Base RI'!B27</f>
        <v>Bougy-Villars</v>
      </c>
      <c r="C27" s="505">
        <v>1695770.1312950472</v>
      </c>
      <c r="D27" s="505">
        <v>1006428.879596116</v>
      </c>
      <c r="E27" s="506">
        <v>0</v>
      </c>
      <c r="F27" s="506">
        <v>0</v>
      </c>
      <c r="G27" s="506">
        <v>0</v>
      </c>
      <c r="H27" s="503">
        <f t="shared" si="0"/>
        <v>2702199.0108911633</v>
      </c>
      <c r="I27" s="506">
        <v>55602.775012919898</v>
      </c>
      <c r="J27" s="348">
        <f>'B) D RI'!U27</f>
        <v>53043.718423772611</v>
      </c>
      <c r="K27" s="62">
        <f t="shared" si="1"/>
        <v>48.598276079984828</v>
      </c>
      <c r="L27" s="33">
        <f>'B) D RI'!S27</f>
        <v>64.5</v>
      </c>
      <c r="M27" s="442">
        <f t="shared" si="2"/>
        <v>15.901723920015172</v>
      </c>
      <c r="N27" s="437">
        <f>+'J) Plafonnement effort'!H26+'J) Plafonnement effort'!I26-'K) Plafonnement aide'!I26</f>
        <v>42.479042387389732</v>
      </c>
      <c r="O27" s="145">
        <f t="shared" si="3"/>
        <v>58.380766307404905</v>
      </c>
      <c r="P27" s="47">
        <f t="shared" si="4"/>
        <v>0</v>
      </c>
      <c r="Q27" s="55">
        <f t="shared" si="5"/>
        <v>0</v>
      </c>
      <c r="R27" s="145">
        <f t="shared" si="6"/>
        <v>58.380766307404905</v>
      </c>
      <c r="S27" s="125">
        <f t="shared" si="7"/>
        <v>-6.1192336925950954</v>
      </c>
      <c r="T27" s="144">
        <f t="shared" si="8"/>
        <v>0</v>
      </c>
      <c r="V27" s="12"/>
    </row>
    <row r="28" spans="1:22" x14ac:dyDescent="0.25">
      <c r="A28" s="49">
        <f>'A) Base RI'!A28</f>
        <v>5427</v>
      </c>
      <c r="B28" s="344" t="str">
        <f>'A) Base RI'!B28</f>
        <v>Féchy</v>
      </c>
      <c r="C28" s="505">
        <v>1855545.8224665741</v>
      </c>
      <c r="D28" s="505">
        <v>1368264.4197907394</v>
      </c>
      <c r="E28" s="506">
        <v>0</v>
      </c>
      <c r="F28" s="506">
        <v>0</v>
      </c>
      <c r="G28" s="506">
        <v>0</v>
      </c>
      <c r="H28" s="503">
        <f t="shared" si="0"/>
        <v>3223810.2422573138</v>
      </c>
      <c r="I28" s="506">
        <v>77020.028293269235</v>
      </c>
      <c r="J28" s="348">
        <f>'B) D RI'!U28</f>
        <v>88218.508882211536</v>
      </c>
      <c r="K28" s="62">
        <f t="shared" si="1"/>
        <v>41.856778213350019</v>
      </c>
      <c r="L28" s="33">
        <f>'B) D RI'!S28</f>
        <v>64</v>
      </c>
      <c r="M28" s="442">
        <f t="shared" si="2"/>
        <v>22.143221786649981</v>
      </c>
      <c r="N28" s="437">
        <f>+'J) Plafonnement effort'!H27+'J) Plafonnement effort'!I27-'K) Plafonnement aide'!I27</f>
        <v>40.723598026346032</v>
      </c>
      <c r="O28" s="145">
        <f t="shared" si="3"/>
        <v>62.866819812996013</v>
      </c>
      <c r="P28" s="47">
        <f t="shared" si="4"/>
        <v>0</v>
      </c>
      <c r="Q28" s="55">
        <f t="shared" si="5"/>
        <v>0</v>
      </c>
      <c r="R28" s="145">
        <f t="shared" si="6"/>
        <v>62.866819812996013</v>
      </c>
      <c r="S28" s="125">
        <f t="shared" si="7"/>
        <v>-1.1331801870039868</v>
      </c>
      <c r="T28" s="144">
        <f t="shared" si="8"/>
        <v>0</v>
      </c>
      <c r="V28" s="12"/>
    </row>
    <row r="29" spans="1:22" x14ac:dyDescent="0.25">
      <c r="A29" s="49">
        <f>'A) Base RI'!A29</f>
        <v>5428</v>
      </c>
      <c r="B29" s="344" t="str">
        <f>'A) Base RI'!B29</f>
        <v>Gimel</v>
      </c>
      <c r="C29" s="505">
        <v>1441074.1351725673</v>
      </c>
      <c r="D29" s="505">
        <v>-144077.00505621242</v>
      </c>
      <c r="E29" s="506">
        <v>0</v>
      </c>
      <c r="F29" s="506">
        <v>0</v>
      </c>
      <c r="G29" s="506">
        <v>0</v>
      </c>
      <c r="H29" s="503">
        <f t="shared" si="0"/>
        <v>1296997.1301163549</v>
      </c>
      <c r="I29" s="506">
        <v>70193.222975391502</v>
      </c>
      <c r="J29" s="348">
        <f>'B) D RI'!U29</f>
        <v>70558.698881431759</v>
      </c>
      <c r="K29" s="62">
        <f t="shared" si="1"/>
        <v>18.477526392698326</v>
      </c>
      <c r="L29" s="33">
        <f>'B) D RI'!S29</f>
        <v>74.5</v>
      </c>
      <c r="M29" s="442">
        <f t="shared" si="2"/>
        <v>56.022473607301677</v>
      </c>
      <c r="N29" s="437">
        <f>+'J) Plafonnement effort'!H28+'J) Plafonnement effort'!I28-'K) Plafonnement aide'!I28</f>
        <v>7.9100193325067361</v>
      </c>
      <c r="O29" s="145">
        <f t="shared" si="3"/>
        <v>63.932492939808412</v>
      </c>
      <c r="P29" s="47">
        <f t="shared" si="4"/>
        <v>0</v>
      </c>
      <c r="Q29" s="55">
        <f t="shared" si="5"/>
        <v>0</v>
      </c>
      <c r="R29" s="145">
        <f t="shared" si="6"/>
        <v>63.932492939808412</v>
      </c>
      <c r="S29" s="125">
        <f t="shared" si="7"/>
        <v>-10.567507060191588</v>
      </c>
      <c r="T29" s="144">
        <f t="shared" si="8"/>
        <v>0</v>
      </c>
      <c r="V29" s="12"/>
    </row>
    <row r="30" spans="1:22" x14ac:dyDescent="0.25">
      <c r="A30" s="49">
        <f>'A) Base RI'!A30</f>
        <v>5429</v>
      </c>
      <c r="B30" s="344" t="str">
        <f>'A) Base RI'!B30</f>
        <v>Longirod</v>
      </c>
      <c r="C30" s="505">
        <v>264749.12640232185</v>
      </c>
      <c r="D30" s="505">
        <v>63607.007232236036</v>
      </c>
      <c r="E30" s="506">
        <v>0</v>
      </c>
      <c r="F30" s="506">
        <v>0</v>
      </c>
      <c r="G30" s="506">
        <v>0</v>
      </c>
      <c r="H30" s="503">
        <f t="shared" si="0"/>
        <v>328356.13363455789</v>
      </c>
      <c r="I30" s="506">
        <v>16140.77393548387</v>
      </c>
      <c r="J30" s="348">
        <f>'B) D RI'!U30</f>
        <v>18574.452387096771</v>
      </c>
      <c r="K30" s="62">
        <f t="shared" si="1"/>
        <v>20.343270709758219</v>
      </c>
      <c r="L30" s="33">
        <f>'B) D RI'!S30</f>
        <v>77.5</v>
      </c>
      <c r="M30" s="442">
        <f t="shared" si="2"/>
        <v>57.156729290241785</v>
      </c>
      <c r="N30" s="437">
        <f>+'J) Plafonnement effort'!H29+'J) Plafonnement effort'!I29-'K) Plafonnement aide'!I29</f>
        <v>18.974244019573298</v>
      </c>
      <c r="O30" s="145">
        <f t="shared" si="3"/>
        <v>76.13097330981509</v>
      </c>
      <c r="P30" s="47">
        <f t="shared" si="4"/>
        <v>0</v>
      </c>
      <c r="Q30" s="55">
        <f t="shared" si="5"/>
        <v>0</v>
      </c>
      <c r="R30" s="145">
        <f t="shared" si="6"/>
        <v>76.13097330981509</v>
      </c>
      <c r="S30" s="125">
        <f t="shared" si="7"/>
        <v>-1.36902669018491</v>
      </c>
      <c r="T30" s="144">
        <f t="shared" si="8"/>
        <v>0</v>
      </c>
      <c r="V30" s="12"/>
    </row>
    <row r="31" spans="1:22" x14ac:dyDescent="0.25">
      <c r="A31" s="49">
        <f>'A) Base RI'!A31</f>
        <v>5430</v>
      </c>
      <c r="B31" s="344" t="str">
        <f>'A) Base RI'!B31</f>
        <v>Marchissy</v>
      </c>
      <c r="C31" s="505">
        <v>244564.96261596799</v>
      </c>
      <c r="D31" s="505">
        <v>24401.025331301556</v>
      </c>
      <c r="E31" s="506">
        <v>0</v>
      </c>
      <c r="F31" s="506">
        <v>0</v>
      </c>
      <c r="G31" s="506">
        <v>0</v>
      </c>
      <c r="H31" s="503">
        <f t="shared" si="0"/>
        <v>268965.98794726958</v>
      </c>
      <c r="I31" s="506">
        <v>14848.450709677421</v>
      </c>
      <c r="J31" s="348">
        <f>'B) D RI'!U31</f>
        <v>15580.981548387101</v>
      </c>
      <c r="K31" s="62">
        <f t="shared" si="1"/>
        <v>18.114077569855286</v>
      </c>
      <c r="L31" s="33">
        <f>'B) D RI'!S31</f>
        <v>77.5</v>
      </c>
      <c r="M31" s="442">
        <f t="shared" si="2"/>
        <v>59.385922430144717</v>
      </c>
      <c r="N31" s="437">
        <f>+'J) Plafonnement effort'!H30+'J) Plafonnement effort'!I30-'K) Plafonnement aide'!I30</f>
        <v>14.942083620547615</v>
      </c>
      <c r="O31" s="145">
        <f t="shared" si="3"/>
        <v>74.328006050692338</v>
      </c>
      <c r="P31" s="47">
        <f t="shared" si="4"/>
        <v>0</v>
      </c>
      <c r="Q31" s="55">
        <f t="shared" si="5"/>
        <v>0</v>
      </c>
      <c r="R31" s="145">
        <f t="shared" si="6"/>
        <v>74.328006050692338</v>
      </c>
      <c r="S31" s="125">
        <f t="shared" si="7"/>
        <v>-3.1719939493076623</v>
      </c>
      <c r="T31" s="144">
        <f t="shared" si="8"/>
        <v>0</v>
      </c>
      <c r="V31" s="12"/>
    </row>
    <row r="32" spans="1:22" x14ac:dyDescent="0.25">
      <c r="A32" s="49">
        <f>'A) Base RI'!A32</f>
        <v>5431</v>
      </c>
      <c r="B32" s="344" t="str">
        <f>'A) Base RI'!B32</f>
        <v>Mollens</v>
      </c>
      <c r="C32" s="505">
        <v>212755.2158720911</v>
      </c>
      <c r="D32" s="505">
        <v>-6226.8259283067018</v>
      </c>
      <c r="E32" s="506">
        <v>0</v>
      </c>
      <c r="F32" s="506">
        <v>0</v>
      </c>
      <c r="G32" s="506">
        <v>0</v>
      </c>
      <c r="H32" s="503">
        <f t="shared" si="0"/>
        <v>206528.38994378439</v>
      </c>
      <c r="I32" s="506">
        <v>9333.4747297297308</v>
      </c>
      <c r="J32" s="348">
        <f>'B) D RI'!U32</f>
        <v>10464.972567567567</v>
      </c>
      <c r="K32" s="62">
        <f t="shared" si="1"/>
        <v>22.127706553480412</v>
      </c>
      <c r="L32" s="33">
        <f>'B) D RI'!S32</f>
        <v>74</v>
      </c>
      <c r="M32" s="442">
        <f t="shared" si="2"/>
        <v>51.872293446519592</v>
      </c>
      <c r="N32" s="437">
        <f>+'J) Plafonnement effort'!H31+'J) Plafonnement effort'!I31-'K) Plafonnement aide'!I31</f>
        <v>16.781591088299571</v>
      </c>
      <c r="O32" s="145">
        <f t="shared" si="3"/>
        <v>68.653884534819156</v>
      </c>
      <c r="P32" s="47">
        <f t="shared" si="4"/>
        <v>0</v>
      </c>
      <c r="Q32" s="55">
        <f t="shared" si="5"/>
        <v>0</v>
      </c>
      <c r="R32" s="145">
        <f t="shared" si="6"/>
        <v>68.653884534819156</v>
      </c>
      <c r="S32" s="125">
        <f t="shared" si="7"/>
        <v>-5.3461154651808442</v>
      </c>
      <c r="T32" s="144">
        <f t="shared" si="8"/>
        <v>0</v>
      </c>
      <c r="V32" s="12"/>
    </row>
    <row r="33" spans="1:22" x14ac:dyDescent="0.25">
      <c r="A33" s="49">
        <f>'A) Base RI'!A33</f>
        <v>5434</v>
      </c>
      <c r="B33" s="344" t="str">
        <f>'A) Base RI'!B33</f>
        <v>Saint-George</v>
      </c>
      <c r="C33" s="505">
        <v>666217.45320125658</v>
      </c>
      <c r="D33" s="505">
        <v>420193.36487809673</v>
      </c>
      <c r="E33" s="506">
        <v>0</v>
      </c>
      <c r="F33" s="506">
        <v>0</v>
      </c>
      <c r="G33" s="506">
        <v>0</v>
      </c>
      <c r="H33" s="503">
        <f t="shared" si="0"/>
        <v>1086410.8180793533</v>
      </c>
      <c r="I33" s="506">
        <v>40796.774220623498</v>
      </c>
      <c r="J33" s="348">
        <f>'B) D RI'!U33</f>
        <v>43544.748513189443</v>
      </c>
      <c r="K33" s="62">
        <f t="shared" si="1"/>
        <v>26.6298215688375</v>
      </c>
      <c r="L33" s="33">
        <f>'B) D RI'!S33</f>
        <v>69.5</v>
      </c>
      <c r="M33" s="442">
        <f t="shared" si="2"/>
        <v>42.8701784311625</v>
      </c>
      <c r="N33" s="437">
        <f>+'J) Plafonnement effort'!H32+'J) Plafonnement effort'!I32-'K) Plafonnement aide'!I32</f>
        <v>23.853520885754637</v>
      </c>
      <c r="O33" s="145">
        <f t="shared" si="3"/>
        <v>66.723699316917134</v>
      </c>
      <c r="P33" s="47">
        <f t="shared" si="4"/>
        <v>0</v>
      </c>
      <c r="Q33" s="55">
        <f t="shared" si="5"/>
        <v>0</v>
      </c>
      <c r="R33" s="145">
        <f t="shared" si="6"/>
        <v>66.723699316917134</v>
      </c>
      <c r="S33" s="125">
        <f t="shared" si="7"/>
        <v>-2.7763006830828658</v>
      </c>
      <c r="T33" s="144">
        <f t="shared" si="8"/>
        <v>0</v>
      </c>
      <c r="V33" s="12"/>
    </row>
    <row r="34" spans="1:22" x14ac:dyDescent="0.25">
      <c r="A34" s="49">
        <f>'A) Base RI'!A34</f>
        <v>5435</v>
      </c>
      <c r="B34" s="344" t="str">
        <f>'A) Base RI'!B34</f>
        <v>Saint-Livres</v>
      </c>
      <c r="C34" s="505">
        <v>425661.82819980953</v>
      </c>
      <c r="D34" s="505">
        <v>295043.63035584945</v>
      </c>
      <c r="E34" s="506">
        <v>0</v>
      </c>
      <c r="F34" s="506">
        <v>0</v>
      </c>
      <c r="G34" s="506">
        <v>0</v>
      </c>
      <c r="H34" s="503">
        <f t="shared" si="0"/>
        <v>720705.45855565905</v>
      </c>
      <c r="I34" s="506">
        <v>26346.510144927532</v>
      </c>
      <c r="J34" s="348">
        <f>'B) D RI'!U34</f>
        <v>25854.309855072468</v>
      </c>
      <c r="K34" s="62">
        <f t="shared" si="1"/>
        <v>27.354873741956133</v>
      </c>
      <c r="L34" s="33">
        <f>'B) D RI'!S34</f>
        <v>69</v>
      </c>
      <c r="M34" s="442">
        <f t="shared" si="2"/>
        <v>41.645126258043867</v>
      </c>
      <c r="N34" s="437">
        <f>+'J) Plafonnement effort'!H33+'J) Plafonnement effort'!I33-'K) Plafonnement aide'!I33</f>
        <v>22.760050580228157</v>
      </c>
      <c r="O34" s="145">
        <f t="shared" si="3"/>
        <v>64.405176838272027</v>
      </c>
      <c r="P34" s="47">
        <f t="shared" si="4"/>
        <v>0</v>
      </c>
      <c r="Q34" s="55">
        <f t="shared" si="5"/>
        <v>0</v>
      </c>
      <c r="R34" s="145">
        <f t="shared" si="6"/>
        <v>64.405176838272027</v>
      </c>
      <c r="S34" s="125">
        <f t="shared" si="7"/>
        <v>-4.5948231617279731</v>
      </c>
      <c r="T34" s="144">
        <f t="shared" si="8"/>
        <v>0</v>
      </c>
      <c r="V34" s="12"/>
    </row>
    <row r="35" spans="1:22" x14ac:dyDescent="0.25">
      <c r="A35" s="49">
        <f>'A) Base RI'!A35</f>
        <v>5436</v>
      </c>
      <c r="B35" s="344" t="str">
        <f>'A) Base RI'!B35</f>
        <v>Saint-Oyens</v>
      </c>
      <c r="C35" s="505">
        <v>257285.63680064943</v>
      </c>
      <c r="D35" s="505">
        <v>120472.6428907587</v>
      </c>
      <c r="E35" s="506">
        <v>0</v>
      </c>
      <c r="F35" s="506">
        <v>0</v>
      </c>
      <c r="G35" s="506">
        <v>0</v>
      </c>
      <c r="H35" s="503">
        <f t="shared" si="0"/>
        <v>377758.27969140816</v>
      </c>
      <c r="I35" s="506">
        <v>16755.63848765432</v>
      </c>
      <c r="J35" s="348">
        <f>'B) D RI'!U35</f>
        <v>16868.339629629631</v>
      </c>
      <c r="K35" s="62">
        <f t="shared" si="1"/>
        <v>22.545143831417899</v>
      </c>
      <c r="L35" s="33">
        <f>'B) D RI'!S35</f>
        <v>81</v>
      </c>
      <c r="M35" s="442">
        <f t="shared" si="2"/>
        <v>58.454856168582097</v>
      </c>
      <c r="N35" s="437">
        <f>+'J) Plafonnement effort'!H34+'J) Plafonnement effort'!I34-'K) Plafonnement aide'!I34</f>
        <v>19.362642776869432</v>
      </c>
      <c r="O35" s="145">
        <f t="shared" si="3"/>
        <v>77.817498945451533</v>
      </c>
      <c r="P35" s="47">
        <f t="shared" si="4"/>
        <v>0</v>
      </c>
      <c r="Q35" s="55">
        <f t="shared" si="5"/>
        <v>0</v>
      </c>
      <c r="R35" s="145">
        <f t="shared" si="6"/>
        <v>77.817498945451533</v>
      </c>
      <c r="S35" s="125">
        <f t="shared" si="7"/>
        <v>-3.1825010545484673</v>
      </c>
      <c r="T35" s="144">
        <f t="shared" si="8"/>
        <v>0</v>
      </c>
      <c r="V35" s="12"/>
    </row>
    <row r="36" spans="1:22" x14ac:dyDescent="0.25">
      <c r="A36" s="49">
        <f>'A) Base RI'!A36</f>
        <v>5437</v>
      </c>
      <c r="B36" s="344" t="str">
        <f>'A) Base RI'!B36</f>
        <v>Saubraz</v>
      </c>
      <c r="C36" s="505">
        <v>234708.5287260167</v>
      </c>
      <c r="D36" s="505">
        <v>24871.733167522063</v>
      </c>
      <c r="E36" s="506">
        <v>0</v>
      </c>
      <c r="F36" s="506">
        <v>0</v>
      </c>
      <c r="G36" s="506">
        <v>0</v>
      </c>
      <c r="H36" s="503">
        <f t="shared" si="0"/>
        <v>259580.26189353876</v>
      </c>
      <c r="I36" s="506">
        <v>13391.905875</v>
      </c>
      <c r="J36" s="348">
        <f>'B) D RI'!U36</f>
        <v>13551.757374999997</v>
      </c>
      <c r="K36" s="62">
        <f t="shared" si="1"/>
        <v>19.383369650030396</v>
      </c>
      <c r="L36" s="33">
        <f>'B) D RI'!S36</f>
        <v>80</v>
      </c>
      <c r="M36" s="442">
        <f t="shared" si="2"/>
        <v>60.616630349969604</v>
      </c>
      <c r="N36" s="437">
        <f>+'J) Plafonnement effort'!H35+'J) Plafonnement effort'!I35-'K) Plafonnement aide'!I35</f>
        <v>11.913417439900851</v>
      </c>
      <c r="O36" s="145">
        <f>M36+N36</f>
        <v>72.530047789870451</v>
      </c>
      <c r="P36" s="47">
        <f t="shared" si="4"/>
        <v>0</v>
      </c>
      <c r="Q36" s="55">
        <f t="shared" si="5"/>
        <v>0</v>
      </c>
      <c r="R36" s="145">
        <f t="shared" si="6"/>
        <v>72.530047789870451</v>
      </c>
      <c r="S36" s="125">
        <f t="shared" si="7"/>
        <v>-7.4699522101295486</v>
      </c>
      <c r="T36" s="144">
        <f t="shared" si="8"/>
        <v>0</v>
      </c>
      <c r="V36" s="12"/>
    </row>
    <row r="37" spans="1:22" x14ac:dyDescent="0.25">
      <c r="A37" s="49">
        <f>'A) Base RI'!A37</f>
        <v>5451</v>
      </c>
      <c r="B37" s="344" t="str">
        <f>'A) Base RI'!B37</f>
        <v>Avenches</v>
      </c>
      <c r="C37" s="505">
        <v>2222140.2158954246</v>
      </c>
      <c r="D37" s="505">
        <v>-604466.77899071341</v>
      </c>
      <c r="E37" s="506">
        <v>0</v>
      </c>
      <c r="F37" s="506">
        <v>0</v>
      </c>
      <c r="G37" s="506">
        <v>0</v>
      </c>
      <c r="H37" s="503">
        <f t="shared" si="0"/>
        <v>1617673.4369047112</v>
      </c>
      <c r="I37" s="506">
        <v>129500.81187969925</v>
      </c>
      <c r="J37" s="348">
        <f>'B) D RI'!U37</f>
        <v>137890.8513283208</v>
      </c>
      <c r="K37" s="62">
        <f t="shared" si="1"/>
        <v>12.491608457308059</v>
      </c>
      <c r="L37" s="33">
        <f>'B) D RI'!S37</f>
        <v>66.5</v>
      </c>
      <c r="M37" s="442">
        <f t="shared" si="2"/>
        <v>54.008391542691939</v>
      </c>
      <c r="N37" s="437">
        <f>+'J) Plafonnement effort'!H36+'J) Plafonnement effort'!I36-'K) Plafonnement aide'!I36</f>
        <v>8.2088105002167264</v>
      </c>
      <c r="O37" s="145">
        <f t="shared" si="3"/>
        <v>62.217202042908667</v>
      </c>
      <c r="P37" s="47">
        <f t="shared" si="4"/>
        <v>0</v>
      </c>
      <c r="Q37" s="55">
        <f t="shared" si="5"/>
        <v>0</v>
      </c>
      <c r="R37" s="145">
        <f t="shared" si="6"/>
        <v>62.217202042908667</v>
      </c>
      <c r="S37" s="125">
        <f t="shared" si="7"/>
        <v>-4.2827979570913328</v>
      </c>
      <c r="T37" s="144">
        <f t="shared" si="8"/>
        <v>0</v>
      </c>
      <c r="V37" s="12"/>
    </row>
    <row r="38" spans="1:22" x14ac:dyDescent="0.25">
      <c r="A38" s="49">
        <f>'A) Base RI'!A38</f>
        <v>5456</v>
      </c>
      <c r="B38" s="344" t="str">
        <f>'A) Base RI'!B38</f>
        <v>Cudrefin</v>
      </c>
      <c r="C38" s="505">
        <v>1050337.9907301257</v>
      </c>
      <c r="D38" s="505">
        <v>535580.73544656765</v>
      </c>
      <c r="E38" s="506">
        <v>0</v>
      </c>
      <c r="F38" s="506">
        <v>0</v>
      </c>
      <c r="G38" s="506">
        <v>0</v>
      </c>
      <c r="H38" s="503">
        <f t="shared" si="0"/>
        <v>1585918.7261766933</v>
      </c>
      <c r="I38" s="506">
        <v>64226.933276836171</v>
      </c>
      <c r="J38" s="348">
        <f>'B) D RI'!U38</f>
        <v>64144.951694915253</v>
      </c>
      <c r="K38" s="62">
        <f t="shared" si="1"/>
        <v>24.692424895034875</v>
      </c>
      <c r="L38" s="33">
        <f>'B) D RI'!S38</f>
        <v>59</v>
      </c>
      <c r="M38" s="442">
        <f t="shared" si="2"/>
        <v>34.307575104965125</v>
      </c>
      <c r="N38" s="437">
        <f>+'J) Plafonnement effort'!H37+'J) Plafonnement effort'!I37-'K) Plafonnement aide'!I37</f>
        <v>19.137022697603381</v>
      </c>
      <c r="O38" s="145">
        <f t="shared" si="3"/>
        <v>53.444597802568509</v>
      </c>
      <c r="P38" s="47">
        <f t="shared" si="4"/>
        <v>0</v>
      </c>
      <c r="Q38" s="55">
        <f t="shared" si="5"/>
        <v>0</v>
      </c>
      <c r="R38" s="145">
        <f t="shared" si="6"/>
        <v>53.444597802568509</v>
      </c>
      <c r="S38" s="125">
        <f t="shared" si="7"/>
        <v>-5.5554021974314907</v>
      </c>
      <c r="T38" s="144">
        <f t="shared" si="8"/>
        <v>0</v>
      </c>
      <c r="V38" s="12"/>
    </row>
    <row r="39" spans="1:22" x14ac:dyDescent="0.25">
      <c r="A39" s="49">
        <f>'A) Base RI'!A39</f>
        <v>5458</v>
      </c>
      <c r="B39" s="344" t="str">
        <f>'A) Base RI'!B39</f>
        <v>Faoug</v>
      </c>
      <c r="C39" s="505">
        <v>517602.24189887341</v>
      </c>
      <c r="D39" s="505">
        <v>328874.91830026335</v>
      </c>
      <c r="E39" s="506">
        <v>0</v>
      </c>
      <c r="F39" s="506">
        <v>0</v>
      </c>
      <c r="G39" s="506">
        <v>0</v>
      </c>
      <c r="H39" s="503">
        <f t="shared" si="0"/>
        <v>846477.16019913671</v>
      </c>
      <c r="I39" s="506">
        <v>32198.404090909091</v>
      </c>
      <c r="J39" s="348">
        <f>'B) D RI'!U39</f>
        <v>34721.352769230762</v>
      </c>
      <c r="K39" s="62">
        <f t="shared" si="1"/>
        <v>26.28941353146541</v>
      </c>
      <c r="L39" s="33">
        <f>'B) D RI'!S39</f>
        <v>65</v>
      </c>
      <c r="M39" s="442">
        <f t="shared" si="2"/>
        <v>38.710586468534586</v>
      </c>
      <c r="N39" s="437">
        <f>+'J) Plafonnement effort'!H38+'J) Plafonnement effort'!I38-'K) Plafonnement aide'!I38</f>
        <v>24.385156786525066</v>
      </c>
      <c r="O39" s="145">
        <f t="shared" si="3"/>
        <v>63.095743255059652</v>
      </c>
      <c r="P39" s="47">
        <f t="shared" si="4"/>
        <v>0</v>
      </c>
      <c r="Q39" s="55">
        <f t="shared" si="5"/>
        <v>0</v>
      </c>
      <c r="R39" s="145">
        <f t="shared" si="6"/>
        <v>63.095743255059652</v>
      </c>
      <c r="S39" s="125">
        <f t="shared" si="7"/>
        <v>-1.9042567449403478</v>
      </c>
      <c r="T39" s="144">
        <f t="shared" si="8"/>
        <v>0</v>
      </c>
      <c r="V39" s="12"/>
    </row>
    <row r="40" spans="1:22" x14ac:dyDescent="0.25">
      <c r="A40" s="49">
        <f>'A) Base RI'!A40</f>
        <v>5464</v>
      </c>
      <c r="B40" s="344" t="str">
        <f>'A) Base RI'!B40</f>
        <v>Vully-les-Lacs</v>
      </c>
      <c r="C40" s="505">
        <v>1740133.7180594238</v>
      </c>
      <c r="D40" s="505">
        <v>236707.51185056055</v>
      </c>
      <c r="E40" s="506">
        <v>0</v>
      </c>
      <c r="F40" s="506">
        <v>0</v>
      </c>
      <c r="G40" s="506">
        <v>0</v>
      </c>
      <c r="H40" s="503">
        <f t="shared" si="0"/>
        <v>1976841.2299099844</v>
      </c>
      <c r="I40" s="506">
        <v>111597.31895522389</v>
      </c>
      <c r="J40" s="348">
        <f>'B) D RI'!U40</f>
        <v>119169.3065671642</v>
      </c>
      <c r="K40" s="62">
        <f t="shared" si="1"/>
        <v>17.714056649543267</v>
      </c>
      <c r="L40" s="33">
        <f>'B) D RI'!S40</f>
        <v>67</v>
      </c>
      <c r="M40" s="442">
        <f t="shared" si="2"/>
        <v>49.285943350456733</v>
      </c>
      <c r="N40" s="437">
        <f>+'J) Plafonnement effort'!H39+'J) Plafonnement effort'!I39-'K) Plafonnement aide'!I39</f>
        <v>14.828520852274767</v>
      </c>
      <c r="O40" s="145">
        <f t="shared" si="3"/>
        <v>64.114464202731497</v>
      </c>
      <c r="P40" s="47">
        <f t="shared" si="4"/>
        <v>0</v>
      </c>
      <c r="Q40" s="55">
        <f t="shared" si="5"/>
        <v>0</v>
      </c>
      <c r="R40" s="145">
        <f t="shared" si="6"/>
        <v>64.114464202731497</v>
      </c>
      <c r="S40" s="125">
        <f t="shared" si="7"/>
        <v>-2.8855357972685027</v>
      </c>
      <c r="T40" s="144">
        <f t="shared" si="8"/>
        <v>0</v>
      </c>
      <c r="V40" s="12"/>
    </row>
    <row r="41" spans="1:22" x14ac:dyDescent="0.25">
      <c r="A41" s="49">
        <f>'A) Base RI'!A41</f>
        <v>5471</v>
      </c>
      <c r="B41" s="344" t="str">
        <f>'A) Base RI'!B41</f>
        <v>Bettens</v>
      </c>
      <c r="C41" s="505">
        <v>310700.391942747</v>
      </c>
      <c r="D41" s="505">
        <v>110290.92464166251</v>
      </c>
      <c r="E41" s="506">
        <v>0</v>
      </c>
      <c r="F41" s="506">
        <v>0</v>
      </c>
      <c r="G41" s="506">
        <v>0</v>
      </c>
      <c r="H41" s="503">
        <f t="shared" si="0"/>
        <v>420991.31658440951</v>
      </c>
      <c r="I41" s="506">
        <v>20385.282730158731</v>
      </c>
      <c r="J41" s="348">
        <f>'B) D RI'!U41</f>
        <v>22893.023698412693</v>
      </c>
      <c r="K41" s="62">
        <f t="shared" si="1"/>
        <v>20.651728119599714</v>
      </c>
      <c r="L41" s="33">
        <f>'B) D RI'!S41</f>
        <v>70</v>
      </c>
      <c r="M41" s="442">
        <f t="shared" si="2"/>
        <v>49.34827188040029</v>
      </c>
      <c r="N41" s="437">
        <f>+'J) Plafonnement effort'!H40+'J) Plafonnement effort'!I40-'K) Plafonnement aide'!I40</f>
        <v>21.245502347031533</v>
      </c>
      <c r="O41" s="145">
        <f t="shared" si="3"/>
        <v>70.593774227431823</v>
      </c>
      <c r="P41" s="47">
        <f t="shared" si="4"/>
        <v>0</v>
      </c>
      <c r="Q41" s="55">
        <f t="shared" si="5"/>
        <v>0</v>
      </c>
      <c r="R41" s="145">
        <f t="shared" si="6"/>
        <v>70.593774227431823</v>
      </c>
      <c r="S41" s="125">
        <f t="shared" si="7"/>
        <v>0.59377422743182251</v>
      </c>
      <c r="T41" s="144">
        <f t="shared" si="8"/>
        <v>0</v>
      </c>
      <c r="V41" s="12"/>
    </row>
    <row r="42" spans="1:22" x14ac:dyDescent="0.25">
      <c r="A42" s="49">
        <f>'A) Base RI'!A42</f>
        <v>5472</v>
      </c>
      <c r="B42" s="344" t="str">
        <f>'A) Base RI'!B42</f>
        <v>Bournens</v>
      </c>
      <c r="C42" s="505">
        <v>359320.07481085369</v>
      </c>
      <c r="D42" s="505">
        <v>253308.47047368335</v>
      </c>
      <c r="E42" s="506">
        <v>0</v>
      </c>
      <c r="F42" s="506">
        <v>0</v>
      </c>
      <c r="G42" s="506">
        <v>0</v>
      </c>
      <c r="H42" s="503">
        <f t="shared" si="0"/>
        <v>612628.54528453702</v>
      </c>
      <c r="I42" s="506">
        <v>20143.161388888886</v>
      </c>
      <c r="J42" s="348">
        <f>'B) D RI'!U42</f>
        <v>22178.441944444447</v>
      </c>
      <c r="K42" s="62">
        <f t="shared" si="1"/>
        <v>30.413723717790763</v>
      </c>
      <c r="L42" s="33">
        <f>'B) D RI'!S42</f>
        <v>72</v>
      </c>
      <c r="M42" s="442">
        <f t="shared" si="2"/>
        <v>41.586276282209241</v>
      </c>
      <c r="N42" s="437">
        <f>+'J) Plafonnement effort'!H41+'J) Plafonnement effort'!I41-'K) Plafonnement aide'!I41</f>
        <v>25.936756005118909</v>
      </c>
      <c r="O42" s="145">
        <f t="shared" si="3"/>
        <v>67.523032287328149</v>
      </c>
      <c r="P42" s="47">
        <f t="shared" si="4"/>
        <v>0</v>
      </c>
      <c r="Q42" s="55">
        <f t="shared" si="5"/>
        <v>0</v>
      </c>
      <c r="R42" s="145">
        <f t="shared" si="6"/>
        <v>67.523032287328149</v>
      </c>
      <c r="S42" s="125">
        <f t="shared" si="7"/>
        <v>-4.4769677126718506</v>
      </c>
      <c r="T42" s="144">
        <f t="shared" si="8"/>
        <v>0</v>
      </c>
      <c r="V42" s="12"/>
    </row>
    <row r="43" spans="1:22" x14ac:dyDescent="0.25">
      <c r="A43" s="49">
        <f>'A) Base RI'!A43</f>
        <v>5473</v>
      </c>
      <c r="B43" s="344" t="str">
        <f>'A) Base RI'!B43</f>
        <v>Boussens</v>
      </c>
      <c r="C43" s="505">
        <v>558880.25441498891</v>
      </c>
      <c r="D43" s="505">
        <v>410930.01252501004</v>
      </c>
      <c r="E43" s="506">
        <v>0</v>
      </c>
      <c r="F43" s="506">
        <v>0</v>
      </c>
      <c r="G43" s="506">
        <v>0</v>
      </c>
      <c r="H43" s="503">
        <f t="shared" si="0"/>
        <v>969810.26693999895</v>
      </c>
      <c r="I43" s="506">
        <v>37775.140592592586</v>
      </c>
      <c r="J43" s="348">
        <f>'B) D RI'!U43</f>
        <v>37059.012888888894</v>
      </c>
      <c r="K43" s="62">
        <f t="shared" si="1"/>
        <v>25.673240436070575</v>
      </c>
      <c r="L43" s="33">
        <f>'B) D RI'!S43</f>
        <v>67.5</v>
      </c>
      <c r="M43" s="442">
        <f t="shared" si="2"/>
        <v>41.826759563929429</v>
      </c>
      <c r="N43" s="437">
        <f>+'J) Plafonnement effort'!H42+'J) Plafonnement effort'!I42-'K) Plafonnement aide'!I42</f>
        <v>22.020667024918282</v>
      </c>
      <c r="O43" s="145">
        <f t="shared" si="3"/>
        <v>63.847426588847711</v>
      </c>
      <c r="P43" s="47">
        <f t="shared" si="4"/>
        <v>0</v>
      </c>
      <c r="Q43" s="55">
        <f t="shared" si="5"/>
        <v>0</v>
      </c>
      <c r="R43" s="145">
        <f t="shared" si="6"/>
        <v>63.847426588847711</v>
      </c>
      <c r="S43" s="125">
        <f t="shared" si="7"/>
        <v>-3.6525734111522894</v>
      </c>
      <c r="T43" s="144">
        <f t="shared" si="8"/>
        <v>0</v>
      </c>
      <c r="V43" s="12"/>
    </row>
    <row r="44" spans="1:22" x14ac:dyDescent="0.25">
      <c r="A44" s="49">
        <f>'A) Base RI'!A44</f>
        <v>5474</v>
      </c>
      <c r="B44" s="344" t="str">
        <f>'A) Base RI'!B44</f>
        <v>La Chaux (Cossonay)</v>
      </c>
      <c r="C44" s="505">
        <v>232375.585287258</v>
      </c>
      <c r="D44" s="505">
        <v>69709.533632893523</v>
      </c>
      <c r="E44" s="506">
        <v>0</v>
      </c>
      <c r="F44" s="506">
        <v>0</v>
      </c>
      <c r="G44" s="506">
        <v>0</v>
      </c>
      <c r="H44" s="503">
        <f t="shared" si="0"/>
        <v>302085.11892015149</v>
      </c>
      <c r="I44" s="506">
        <v>13182.521580086577</v>
      </c>
      <c r="J44" s="348">
        <f>'B) D RI'!U44</f>
        <v>12905.016929824562</v>
      </c>
      <c r="K44" s="62">
        <f t="shared" si="1"/>
        <v>22.915579321067003</v>
      </c>
      <c r="L44" s="33">
        <f>'B) D RI'!S44</f>
        <v>76</v>
      </c>
      <c r="M44" s="442">
        <f t="shared" si="2"/>
        <v>53.084420678933</v>
      </c>
      <c r="N44" s="437">
        <f>+'J) Plafonnement effort'!H43+'J) Plafonnement effort'!I43-'K) Plafonnement aide'!I43</f>
        <v>15.765657661907024</v>
      </c>
      <c r="O44" s="145">
        <f t="shared" si="3"/>
        <v>68.850078340840028</v>
      </c>
      <c r="P44" s="47">
        <f t="shared" si="4"/>
        <v>0</v>
      </c>
      <c r="Q44" s="55">
        <f t="shared" si="5"/>
        <v>0</v>
      </c>
      <c r="R44" s="145">
        <f t="shared" si="6"/>
        <v>68.850078340840028</v>
      </c>
      <c r="S44" s="125">
        <f t="shared" si="7"/>
        <v>-7.1499216591599719</v>
      </c>
      <c r="T44" s="144">
        <f t="shared" si="8"/>
        <v>0</v>
      </c>
      <c r="V44" s="12"/>
    </row>
    <row r="45" spans="1:22" x14ac:dyDescent="0.25">
      <c r="A45" s="49">
        <f>'A) Base RI'!A45</f>
        <v>5475</v>
      </c>
      <c r="B45" s="344" t="str">
        <f>'A) Base RI'!B45</f>
        <v>Chavannes-le-Veyron</v>
      </c>
      <c r="C45" s="505">
        <v>64111.943237806358</v>
      </c>
      <c r="D45" s="505">
        <v>-26589.906947290568</v>
      </c>
      <c r="E45" s="506">
        <v>0</v>
      </c>
      <c r="F45" s="506">
        <v>0</v>
      </c>
      <c r="G45" s="506">
        <v>0</v>
      </c>
      <c r="H45" s="503">
        <f t="shared" si="0"/>
        <v>37522.036290515789</v>
      </c>
      <c r="I45" s="506">
        <v>3874.6645454545451</v>
      </c>
      <c r="J45" s="348">
        <f>'B) D RI'!U45</f>
        <v>4277.2722666666668</v>
      </c>
      <c r="K45" s="62">
        <f t="shared" si="1"/>
        <v>9.6839444680530402</v>
      </c>
      <c r="L45" s="33">
        <f>'B) D RI'!S45</f>
        <v>75</v>
      </c>
      <c r="M45" s="442">
        <f t="shared" si="2"/>
        <v>65.316055531946958</v>
      </c>
      <c r="N45" s="437">
        <f>+'J) Plafonnement effort'!H44+'J) Plafonnement effort'!I44-'K) Plafonnement aide'!I44</f>
        <v>9.5137774947768712</v>
      </c>
      <c r="O45" s="145">
        <f t="shared" si="3"/>
        <v>74.829833026723833</v>
      </c>
      <c r="P45" s="47">
        <f t="shared" si="4"/>
        <v>0</v>
      </c>
      <c r="Q45" s="55">
        <f t="shared" si="5"/>
        <v>0</v>
      </c>
      <c r="R45" s="145">
        <f t="shared" si="6"/>
        <v>74.829833026723833</v>
      </c>
      <c r="S45" s="125">
        <f t="shared" si="7"/>
        <v>-0.17016697327616725</v>
      </c>
      <c r="T45" s="144">
        <f t="shared" si="8"/>
        <v>0</v>
      </c>
      <c r="V45" s="12"/>
    </row>
    <row r="46" spans="1:22" x14ac:dyDescent="0.25">
      <c r="A46" s="49">
        <f>'A) Base RI'!A46</f>
        <v>5476</v>
      </c>
      <c r="B46" s="344" t="str">
        <f>'A) Base RI'!B46</f>
        <v>Chevilly</v>
      </c>
      <c r="C46" s="505">
        <v>166569.84954299193</v>
      </c>
      <c r="D46" s="505">
        <v>112221.32839966327</v>
      </c>
      <c r="E46" s="506">
        <v>0</v>
      </c>
      <c r="F46" s="506">
        <v>0</v>
      </c>
      <c r="G46" s="506">
        <v>0</v>
      </c>
      <c r="H46" s="503">
        <f t="shared" si="0"/>
        <v>278791.17794265517</v>
      </c>
      <c r="I46" s="506">
        <v>11839.396756756756</v>
      </c>
      <c r="J46" s="348">
        <f>'B) D RI'!U46</f>
        <v>12075.307586206898</v>
      </c>
      <c r="K46" s="62">
        <f t="shared" si="1"/>
        <v>23.547751939603575</v>
      </c>
      <c r="L46" s="33">
        <f>'B) D RI'!S46</f>
        <v>72.5</v>
      </c>
      <c r="M46" s="442">
        <f t="shared" si="2"/>
        <v>48.952248060396428</v>
      </c>
      <c r="N46" s="437">
        <f>+'J) Plafonnement effort'!H45+'J) Plafonnement effort'!I45-'K) Plafonnement aide'!I45</f>
        <v>21.558940080156379</v>
      </c>
      <c r="O46" s="145">
        <f t="shared" si="3"/>
        <v>70.511188140552804</v>
      </c>
      <c r="P46" s="47">
        <f t="shared" si="4"/>
        <v>0</v>
      </c>
      <c r="Q46" s="55">
        <f t="shared" si="5"/>
        <v>0</v>
      </c>
      <c r="R46" s="145">
        <f t="shared" si="6"/>
        <v>70.511188140552804</v>
      </c>
      <c r="S46" s="125">
        <f t="shared" si="7"/>
        <v>-1.9888118594471962</v>
      </c>
      <c r="T46" s="144">
        <f t="shared" si="8"/>
        <v>0</v>
      </c>
      <c r="V46" s="12"/>
    </row>
    <row r="47" spans="1:22" x14ac:dyDescent="0.25">
      <c r="A47" s="49">
        <f>'A) Base RI'!A47</f>
        <v>5477</v>
      </c>
      <c r="B47" s="344" t="str">
        <f>'A) Base RI'!B47</f>
        <v>Cossonay</v>
      </c>
      <c r="C47" s="505">
        <v>2341531.6328706099</v>
      </c>
      <c r="D47" s="505">
        <v>-773025.7851063204</v>
      </c>
      <c r="E47" s="506">
        <v>0</v>
      </c>
      <c r="F47" s="506">
        <v>0</v>
      </c>
      <c r="G47" s="506">
        <v>0</v>
      </c>
      <c r="H47" s="503">
        <f t="shared" si="0"/>
        <v>1568505.8477642895</v>
      </c>
      <c r="I47" s="506">
        <v>119154.03251798562</v>
      </c>
      <c r="J47" s="348">
        <f>'B) D RI'!U47</f>
        <v>142597.98359712231</v>
      </c>
      <c r="K47" s="62">
        <f t="shared" si="1"/>
        <v>13.163682458900688</v>
      </c>
      <c r="L47" s="33">
        <f>'B) D RI'!S47</f>
        <v>69.5</v>
      </c>
      <c r="M47" s="442">
        <f t="shared" si="2"/>
        <v>56.336317541099312</v>
      </c>
      <c r="N47" s="437">
        <f>+'J) Plafonnement effort'!H46+'J) Plafonnement effort'!I46-'K) Plafonnement aide'!I46</f>
        <v>11.535392054010334</v>
      </c>
      <c r="O47" s="145">
        <f t="shared" si="3"/>
        <v>67.87170959510965</v>
      </c>
      <c r="P47" s="47">
        <f t="shared" si="4"/>
        <v>0</v>
      </c>
      <c r="Q47" s="55">
        <f t="shared" si="5"/>
        <v>0</v>
      </c>
      <c r="R47" s="145">
        <f t="shared" si="6"/>
        <v>67.87170959510965</v>
      </c>
      <c r="S47" s="125">
        <f t="shared" si="7"/>
        <v>-1.6282904048903504</v>
      </c>
      <c r="T47" s="144">
        <f t="shared" si="8"/>
        <v>0</v>
      </c>
      <c r="V47" s="12"/>
    </row>
    <row r="48" spans="1:22" x14ac:dyDescent="0.25">
      <c r="A48" s="49">
        <f>'A) Base RI'!A48</f>
        <v>5478</v>
      </c>
      <c r="B48" s="344" t="str">
        <f>'A) Base RI'!B48</f>
        <v>Cottens</v>
      </c>
      <c r="C48" s="505">
        <v>224742.43287433332</v>
      </c>
      <c r="D48" s="505">
        <v>89638.610510121158</v>
      </c>
      <c r="E48" s="506">
        <v>0</v>
      </c>
      <c r="F48" s="506">
        <v>0</v>
      </c>
      <c r="G48" s="506">
        <v>0</v>
      </c>
      <c r="H48" s="503">
        <f t="shared" si="0"/>
        <v>314381.04338445445</v>
      </c>
      <c r="I48" s="506">
        <v>16291.497837837833</v>
      </c>
      <c r="J48" s="348">
        <f>'B) D RI'!U48</f>
        <v>15741.229189189189</v>
      </c>
      <c r="K48" s="62">
        <f t="shared" si="1"/>
        <v>19.297246116577966</v>
      </c>
      <c r="L48" s="33">
        <f>'B) D RI'!S48</f>
        <v>74</v>
      </c>
      <c r="M48" s="442">
        <f t="shared" si="2"/>
        <v>54.702753883422034</v>
      </c>
      <c r="N48" s="437">
        <f>+'J) Plafonnement effort'!H47+'J) Plafonnement effort'!I47-'K) Plafonnement aide'!I47</f>
        <v>16.468079448082303</v>
      </c>
      <c r="O48" s="145">
        <f t="shared" si="3"/>
        <v>71.17083333150434</v>
      </c>
      <c r="P48" s="47">
        <f t="shared" si="4"/>
        <v>0</v>
      </c>
      <c r="Q48" s="55">
        <f t="shared" si="5"/>
        <v>0</v>
      </c>
      <c r="R48" s="145">
        <f t="shared" si="6"/>
        <v>71.17083333150434</v>
      </c>
      <c r="S48" s="125">
        <f t="shared" si="7"/>
        <v>-2.8291666684956596</v>
      </c>
      <c r="T48" s="144">
        <f t="shared" si="8"/>
        <v>0</v>
      </c>
      <c r="V48" s="12"/>
    </row>
    <row r="49" spans="1:22" x14ac:dyDescent="0.25">
      <c r="A49" s="49">
        <f>'A) Base RI'!A49</f>
        <v>5479</v>
      </c>
      <c r="B49" s="344" t="str">
        <f>'A) Base RI'!B49</f>
        <v>Cuarnens</v>
      </c>
      <c r="C49" s="505">
        <v>327821.51201724075</v>
      </c>
      <c r="D49" s="505">
        <v>106894.67537510977</v>
      </c>
      <c r="E49" s="506">
        <v>0</v>
      </c>
      <c r="F49" s="506">
        <v>0</v>
      </c>
      <c r="G49" s="506">
        <v>0</v>
      </c>
      <c r="H49" s="503">
        <f t="shared" si="0"/>
        <v>434716.18739235052</v>
      </c>
      <c r="I49" s="506">
        <v>18068.978311688308</v>
      </c>
      <c r="J49" s="348">
        <f>'B) D RI'!U49</f>
        <v>17984.87649350649</v>
      </c>
      <c r="K49" s="62">
        <f t="shared" si="1"/>
        <v>24.058703258896767</v>
      </c>
      <c r="L49" s="33">
        <f>'B) D RI'!S49</f>
        <v>77</v>
      </c>
      <c r="M49" s="442">
        <f t="shared" si="2"/>
        <v>52.94129674110323</v>
      </c>
      <c r="N49" s="437">
        <f>+'J) Plafonnement effort'!H48+'J) Plafonnement effort'!I48-'K) Plafonnement aide'!I48</f>
        <v>17.138179939968786</v>
      </c>
      <c r="O49" s="145">
        <f t="shared" si="3"/>
        <v>70.079476681072009</v>
      </c>
      <c r="P49" s="47">
        <f t="shared" si="4"/>
        <v>0</v>
      </c>
      <c r="Q49" s="55">
        <f t="shared" si="5"/>
        <v>0</v>
      </c>
      <c r="R49" s="145">
        <f t="shared" si="6"/>
        <v>70.079476681072009</v>
      </c>
      <c r="S49" s="125">
        <f t="shared" si="7"/>
        <v>-6.9205233189279909</v>
      </c>
      <c r="T49" s="144">
        <f t="shared" si="8"/>
        <v>0</v>
      </c>
      <c r="V49" s="12"/>
    </row>
    <row r="50" spans="1:22" x14ac:dyDescent="0.25">
      <c r="A50" s="49">
        <f>'A) Base RI'!A50</f>
        <v>5480</v>
      </c>
      <c r="B50" s="344" t="str">
        <f>'A) Base RI'!B50</f>
        <v>Daillens</v>
      </c>
      <c r="C50" s="505">
        <v>720121.89900183724</v>
      </c>
      <c r="D50" s="505">
        <v>478537.61739287269</v>
      </c>
      <c r="E50" s="506">
        <v>0</v>
      </c>
      <c r="F50" s="506">
        <v>0</v>
      </c>
      <c r="G50" s="506">
        <v>0</v>
      </c>
      <c r="H50" s="503">
        <f t="shared" si="0"/>
        <v>1198659.5163947099</v>
      </c>
      <c r="I50" s="506">
        <v>40977.441060606063</v>
      </c>
      <c r="J50" s="348">
        <f>'B) D RI'!U50</f>
        <v>41284.66095959596</v>
      </c>
      <c r="K50" s="62">
        <f t="shared" si="1"/>
        <v>29.251692769733474</v>
      </c>
      <c r="L50" s="33">
        <f>'B) D RI'!S50</f>
        <v>66</v>
      </c>
      <c r="M50" s="442">
        <f t="shared" si="2"/>
        <v>36.748307230266526</v>
      </c>
      <c r="N50" s="437">
        <f>+'J) Plafonnement effort'!H49+'J) Plafonnement effort'!I49-'K) Plafonnement aide'!I49</f>
        <v>23.499560003825216</v>
      </c>
      <c r="O50" s="145">
        <f t="shared" si="3"/>
        <v>60.247867234091743</v>
      </c>
      <c r="P50" s="47">
        <f t="shared" si="4"/>
        <v>0</v>
      </c>
      <c r="Q50" s="55">
        <f t="shared" si="5"/>
        <v>0</v>
      </c>
      <c r="R50" s="145">
        <f t="shared" si="6"/>
        <v>60.247867234091743</v>
      </c>
      <c r="S50" s="125">
        <f t="shared" si="7"/>
        <v>-5.7521327659082573</v>
      </c>
      <c r="T50" s="144">
        <f t="shared" si="8"/>
        <v>0</v>
      </c>
      <c r="V50" s="12"/>
    </row>
    <row r="51" spans="1:22" x14ac:dyDescent="0.25">
      <c r="A51" s="49">
        <f>'A) Base RI'!A51</f>
        <v>5481</v>
      </c>
      <c r="B51" s="344" t="str">
        <f>'A) Base RI'!B51</f>
        <v>Dizy</v>
      </c>
      <c r="C51" s="505">
        <v>113597.05253310376</v>
      </c>
      <c r="D51" s="505">
        <v>67756.845391760377</v>
      </c>
      <c r="E51" s="506">
        <v>0</v>
      </c>
      <c r="F51" s="506">
        <v>0</v>
      </c>
      <c r="G51" s="506">
        <v>0</v>
      </c>
      <c r="H51" s="503">
        <f t="shared" si="0"/>
        <v>181353.89792486414</v>
      </c>
      <c r="I51" s="506">
        <v>8124.1672000000008</v>
      </c>
      <c r="J51" s="348">
        <f>'B) D RI'!U51</f>
        <v>8120.887333333334</v>
      </c>
      <c r="K51" s="62">
        <f t="shared" si="1"/>
        <v>22.322767793954821</v>
      </c>
      <c r="L51" s="33">
        <f>'B) D RI'!S51</f>
        <v>75</v>
      </c>
      <c r="M51" s="442">
        <f t="shared" si="2"/>
        <v>52.677232206045176</v>
      </c>
      <c r="N51" s="437">
        <f>+'J) Plafonnement effort'!H50+'J) Plafonnement effort'!I50-'K) Plafonnement aide'!I50</f>
        <v>19.867106556316237</v>
      </c>
      <c r="O51" s="145">
        <f t="shared" si="3"/>
        <v>72.544338762361406</v>
      </c>
      <c r="P51" s="47">
        <f t="shared" si="4"/>
        <v>0</v>
      </c>
      <c r="Q51" s="55">
        <f t="shared" si="5"/>
        <v>0</v>
      </c>
      <c r="R51" s="145">
        <f t="shared" si="6"/>
        <v>72.544338762361406</v>
      </c>
      <c r="S51" s="125">
        <f t="shared" si="7"/>
        <v>-2.4556612376385942</v>
      </c>
      <c r="T51" s="144">
        <f t="shared" si="8"/>
        <v>0</v>
      </c>
      <c r="V51" s="12"/>
    </row>
    <row r="52" spans="1:22" x14ac:dyDescent="0.25">
      <c r="A52" s="49">
        <f>'A) Base RI'!A52</f>
        <v>5482</v>
      </c>
      <c r="B52" s="344" t="str">
        <f>'A) Base RI'!B52</f>
        <v>Eclépens</v>
      </c>
      <c r="C52" s="505">
        <v>1225755.4765885507</v>
      </c>
      <c r="D52" s="505">
        <v>1158585.0714791226</v>
      </c>
      <c r="E52" s="506">
        <v>0</v>
      </c>
      <c r="F52" s="506">
        <v>0</v>
      </c>
      <c r="G52" s="506">
        <v>0</v>
      </c>
      <c r="H52" s="503">
        <f t="shared" si="0"/>
        <v>2384340.5480676731</v>
      </c>
      <c r="I52" s="506">
        <v>70911.930217391302</v>
      </c>
      <c r="J52" s="348">
        <f>'B) D RI'!U52</f>
        <v>54196.336086956522</v>
      </c>
      <c r="K52" s="62">
        <f t="shared" si="1"/>
        <v>33.623969066391432</v>
      </c>
      <c r="L52" s="33">
        <f>'B) D RI'!S52</f>
        <v>46</v>
      </c>
      <c r="M52" s="442">
        <f t="shared" si="2"/>
        <v>12.376030933608568</v>
      </c>
      <c r="N52" s="437">
        <f>+'J) Plafonnement effort'!H51+'J) Plafonnement effort'!I51-'K) Plafonnement aide'!I51</f>
        <v>26.832130547812035</v>
      </c>
      <c r="O52" s="145">
        <f t="shared" si="3"/>
        <v>39.208161481420603</v>
      </c>
      <c r="P52" s="47">
        <f t="shared" si="4"/>
        <v>0</v>
      </c>
      <c r="Q52" s="55">
        <f t="shared" si="5"/>
        <v>0</v>
      </c>
      <c r="R52" s="145">
        <f t="shared" si="6"/>
        <v>39.208161481420603</v>
      </c>
      <c r="S52" s="125">
        <f t="shared" si="7"/>
        <v>-6.7918385185793966</v>
      </c>
      <c r="T52" s="144">
        <f t="shared" si="8"/>
        <v>0</v>
      </c>
      <c r="V52" s="12"/>
    </row>
    <row r="53" spans="1:22" x14ac:dyDescent="0.25">
      <c r="A53" s="49">
        <f>'A) Base RI'!A53</f>
        <v>5483</v>
      </c>
      <c r="B53" s="344" t="str">
        <f>'A) Base RI'!B53</f>
        <v>Ferreyres</v>
      </c>
      <c r="C53" s="505">
        <v>155784.50645867133</v>
      </c>
      <c r="D53" s="505">
        <v>62466.592116201413</v>
      </c>
      <c r="E53" s="506">
        <v>0</v>
      </c>
      <c r="F53" s="506">
        <v>0</v>
      </c>
      <c r="G53" s="506">
        <v>0</v>
      </c>
      <c r="H53" s="503">
        <f t="shared" si="0"/>
        <v>218251.09857487274</v>
      </c>
      <c r="I53" s="506">
        <v>10820.315000000001</v>
      </c>
      <c r="J53" s="348">
        <f>'B) D RI'!U53</f>
        <v>10537.122500000001</v>
      </c>
      <c r="K53" s="62">
        <f t="shared" si="1"/>
        <v>20.170493980523926</v>
      </c>
      <c r="L53" s="33">
        <f>'B) D RI'!S53</f>
        <v>76</v>
      </c>
      <c r="M53" s="442">
        <f t="shared" si="2"/>
        <v>55.829506019476071</v>
      </c>
      <c r="N53" s="437">
        <f>+'J) Plafonnement effort'!H52+'J) Plafonnement effort'!I52-'K) Plafonnement aide'!I52</f>
        <v>16.470040592406647</v>
      </c>
      <c r="O53" s="145">
        <f t="shared" si="3"/>
        <v>72.299546611882718</v>
      </c>
      <c r="P53" s="47">
        <f t="shared" si="4"/>
        <v>0</v>
      </c>
      <c r="Q53" s="55">
        <f t="shared" si="5"/>
        <v>0</v>
      </c>
      <c r="R53" s="145">
        <f t="shared" si="6"/>
        <v>72.299546611882718</v>
      </c>
      <c r="S53" s="125">
        <f t="shared" si="7"/>
        <v>-3.7004533881172819</v>
      </c>
      <c r="T53" s="144">
        <f t="shared" si="8"/>
        <v>0</v>
      </c>
      <c r="V53" s="12"/>
    </row>
    <row r="54" spans="1:22" x14ac:dyDescent="0.25">
      <c r="A54" s="49">
        <f>'A) Base RI'!A54</f>
        <v>5484</v>
      </c>
      <c r="B54" s="344" t="str">
        <f>'A) Base RI'!B54</f>
        <v>Gollion</v>
      </c>
      <c r="C54" s="505">
        <v>585204.41946574033</v>
      </c>
      <c r="D54" s="505">
        <v>262022.47223691078</v>
      </c>
      <c r="E54" s="506">
        <v>0</v>
      </c>
      <c r="F54" s="506">
        <v>0</v>
      </c>
      <c r="G54" s="506">
        <v>0</v>
      </c>
      <c r="H54" s="503">
        <f t="shared" si="0"/>
        <v>847226.89170265105</v>
      </c>
      <c r="I54" s="506">
        <v>34996.98554054054</v>
      </c>
      <c r="J54" s="348">
        <f>'B) D RI'!U54</f>
        <v>35950.666081081094</v>
      </c>
      <c r="K54" s="62">
        <f t="shared" si="1"/>
        <v>24.208567641382217</v>
      </c>
      <c r="L54" s="33">
        <f>'B) D RI'!S54</f>
        <v>74</v>
      </c>
      <c r="M54" s="442">
        <f t="shared" si="2"/>
        <v>49.791432358617783</v>
      </c>
      <c r="N54" s="437">
        <f>+'J) Plafonnement effort'!H53+'J) Plafonnement effort'!I53-'K) Plafonnement aide'!I53</f>
        <v>19.235228971874456</v>
      </c>
      <c r="O54" s="145">
        <f t="shared" si="3"/>
        <v>69.026661330492232</v>
      </c>
      <c r="P54" s="47">
        <f t="shared" si="4"/>
        <v>0</v>
      </c>
      <c r="Q54" s="55">
        <f t="shared" si="5"/>
        <v>0</v>
      </c>
      <c r="R54" s="145">
        <f t="shared" si="6"/>
        <v>69.026661330492232</v>
      </c>
      <c r="S54" s="125">
        <f t="shared" si="7"/>
        <v>-4.9733386695077684</v>
      </c>
      <c r="T54" s="144">
        <f t="shared" si="8"/>
        <v>0</v>
      </c>
      <c r="V54" s="12"/>
    </row>
    <row r="55" spans="1:22" x14ac:dyDescent="0.25">
      <c r="A55" s="49">
        <f>'A) Base RI'!A55</f>
        <v>5485</v>
      </c>
      <c r="B55" s="344" t="str">
        <f>'A) Base RI'!B55</f>
        <v>Grancy</v>
      </c>
      <c r="C55" s="505">
        <v>277788.97400532977</v>
      </c>
      <c r="D55" s="505">
        <v>129770.43302166974</v>
      </c>
      <c r="E55" s="506">
        <v>0</v>
      </c>
      <c r="F55" s="506">
        <v>0</v>
      </c>
      <c r="G55" s="506">
        <v>0</v>
      </c>
      <c r="H55" s="503">
        <f t="shared" si="0"/>
        <v>407559.40702699951</v>
      </c>
      <c r="I55" s="506">
        <v>14542.352714285715</v>
      </c>
      <c r="J55" s="348">
        <f>'B) D RI'!U55</f>
        <v>24488.659571428572</v>
      </c>
      <c r="K55" s="62">
        <f t="shared" si="1"/>
        <v>28.025685735612267</v>
      </c>
      <c r="L55" s="33">
        <f>'B) D RI'!S55</f>
        <v>70</v>
      </c>
      <c r="M55" s="442">
        <f t="shared" si="2"/>
        <v>41.974314264387729</v>
      </c>
      <c r="N55" s="437">
        <f>+'J) Plafonnement effort'!H54+'J) Plafonnement effort'!I54-'K) Plafonnement aide'!I54</f>
        <v>30.419267091377478</v>
      </c>
      <c r="O55" s="145">
        <f t="shared" si="3"/>
        <v>72.393581355765207</v>
      </c>
      <c r="P55" s="47">
        <f t="shared" si="4"/>
        <v>0</v>
      </c>
      <c r="Q55" s="55">
        <f t="shared" si="5"/>
        <v>0</v>
      </c>
      <c r="R55" s="145">
        <f t="shared" si="6"/>
        <v>72.393581355765207</v>
      </c>
      <c r="S55" s="125">
        <f t="shared" si="7"/>
        <v>2.3935813557652068</v>
      </c>
      <c r="T55" s="144">
        <f t="shared" si="8"/>
        <v>0</v>
      </c>
      <c r="V55" s="12"/>
    </row>
    <row r="56" spans="1:22" x14ac:dyDescent="0.25">
      <c r="A56" s="49">
        <f>'A) Base RI'!A56</f>
        <v>5486</v>
      </c>
      <c r="B56" s="344" t="str">
        <f>'A) Base RI'!B56</f>
        <v>L'Isle</v>
      </c>
      <c r="C56" s="505">
        <v>578325.55807702662</v>
      </c>
      <c r="D56" s="505">
        <v>258959.96350214945</v>
      </c>
      <c r="E56" s="506">
        <v>0</v>
      </c>
      <c r="F56" s="506">
        <v>0</v>
      </c>
      <c r="G56" s="506">
        <v>0</v>
      </c>
      <c r="H56" s="503">
        <f t="shared" si="0"/>
        <v>837285.52157917607</v>
      </c>
      <c r="I56" s="506">
        <v>37459.560399999995</v>
      </c>
      <c r="J56" s="348">
        <f>'B) D RI'!U56</f>
        <v>29230.387866666671</v>
      </c>
      <c r="K56" s="62">
        <f t="shared" si="1"/>
        <v>22.351717762795108</v>
      </c>
      <c r="L56" s="33">
        <f>'B) D RI'!S56</f>
        <v>75</v>
      </c>
      <c r="M56" s="442">
        <f t="shared" si="2"/>
        <v>52.648282237204896</v>
      </c>
      <c r="N56" s="437">
        <f>+'J) Plafonnement effort'!H55+'J) Plafonnement effort'!I55-'K) Plafonnement aide'!I55</f>
        <v>8.0870641659646196</v>
      </c>
      <c r="O56" s="145">
        <f t="shared" si="3"/>
        <v>60.735346403169515</v>
      </c>
      <c r="P56" s="47">
        <f t="shared" si="4"/>
        <v>0</v>
      </c>
      <c r="Q56" s="55">
        <f t="shared" si="5"/>
        <v>0</v>
      </c>
      <c r="R56" s="145">
        <f t="shared" si="6"/>
        <v>60.735346403169515</v>
      </c>
      <c r="S56" s="125">
        <f t="shared" si="7"/>
        <v>-14.264653596830485</v>
      </c>
      <c r="T56" s="144">
        <f t="shared" si="8"/>
        <v>0</v>
      </c>
      <c r="V56" s="12"/>
    </row>
    <row r="57" spans="1:22" x14ac:dyDescent="0.25">
      <c r="A57" s="49">
        <f>'A) Base RI'!A57</f>
        <v>5487</v>
      </c>
      <c r="B57" s="344" t="str">
        <f>'A) Base RI'!B57</f>
        <v>Lussery-Villars</v>
      </c>
      <c r="C57" s="505">
        <v>189662.0410995066</v>
      </c>
      <c r="D57" s="505">
        <v>-17963.010787081876</v>
      </c>
      <c r="E57" s="506">
        <v>0</v>
      </c>
      <c r="F57" s="506">
        <v>0</v>
      </c>
      <c r="G57" s="506">
        <v>0</v>
      </c>
      <c r="H57" s="503">
        <f t="shared" si="0"/>
        <v>171699.03031242473</v>
      </c>
      <c r="I57" s="506">
        <v>12889.865466666668</v>
      </c>
      <c r="J57" s="348">
        <f>'B) D RI'!U57</f>
        <v>16622.441866666668</v>
      </c>
      <c r="K57" s="62">
        <f t="shared" si="1"/>
        <v>13.320467211736251</v>
      </c>
      <c r="L57" s="33">
        <f>'B) D RI'!S57</f>
        <v>75</v>
      </c>
      <c r="M57" s="442">
        <f t="shared" si="2"/>
        <v>61.679532788263749</v>
      </c>
      <c r="N57" s="437">
        <f>+'J) Plafonnement effort'!H56+'J) Plafonnement effort'!I56-'K) Plafonnement aide'!I56</f>
        <v>18.811966702000824</v>
      </c>
      <c r="O57" s="145">
        <f t="shared" si="3"/>
        <v>80.491499490264573</v>
      </c>
      <c r="P57" s="47">
        <f t="shared" si="4"/>
        <v>0</v>
      </c>
      <c r="Q57" s="55">
        <f t="shared" si="5"/>
        <v>0</v>
      </c>
      <c r="R57" s="145">
        <f t="shared" si="6"/>
        <v>80.491499490264573</v>
      </c>
      <c r="S57" s="125">
        <f t="shared" si="7"/>
        <v>5.4914994902645731</v>
      </c>
      <c r="T57" s="144">
        <f t="shared" si="8"/>
        <v>0</v>
      </c>
      <c r="V57" s="12"/>
    </row>
    <row r="58" spans="1:22" x14ac:dyDescent="0.25">
      <c r="A58" s="49">
        <f>'A) Base RI'!A58</f>
        <v>5488</v>
      </c>
      <c r="B58" s="344" t="str">
        <f>'A) Base RI'!B58</f>
        <v>Mauraz</v>
      </c>
      <c r="C58" s="505">
        <v>22051.081948237923</v>
      </c>
      <c r="D58" s="505">
        <v>-3545.6817698222621</v>
      </c>
      <c r="E58" s="506">
        <v>0</v>
      </c>
      <c r="F58" s="506">
        <v>0</v>
      </c>
      <c r="G58" s="506">
        <v>0</v>
      </c>
      <c r="H58" s="503">
        <f t="shared" si="0"/>
        <v>18505.400178415661</v>
      </c>
      <c r="I58" s="506">
        <v>1632.1631168831173</v>
      </c>
      <c r="J58" s="348">
        <f>'B) D RI'!U58</f>
        <v>1729.1857142857141</v>
      </c>
      <c r="K58" s="62">
        <f t="shared" si="1"/>
        <v>11.337960028011633</v>
      </c>
      <c r="L58" s="33">
        <f>'B) D RI'!S58</f>
        <v>77</v>
      </c>
      <c r="M58" s="442">
        <f t="shared" si="2"/>
        <v>65.662039971988364</v>
      </c>
      <c r="N58" s="437">
        <f>+'J) Plafonnement effort'!H57+'J) Plafonnement effort'!I57-'K) Plafonnement aide'!I57</f>
        <v>10.555530451568973</v>
      </c>
      <c r="O58" s="145">
        <f t="shared" si="3"/>
        <v>76.217570423557333</v>
      </c>
      <c r="P58" s="47">
        <f t="shared" si="4"/>
        <v>0</v>
      </c>
      <c r="Q58" s="55">
        <f t="shared" si="5"/>
        <v>0</v>
      </c>
      <c r="R58" s="145">
        <f t="shared" si="6"/>
        <v>76.217570423557333</v>
      </c>
      <c r="S58" s="125">
        <f t="shared" si="7"/>
        <v>-0.78242957644266653</v>
      </c>
      <c r="T58" s="144">
        <f t="shared" si="8"/>
        <v>0</v>
      </c>
      <c r="V58" s="12"/>
    </row>
    <row r="59" spans="1:22" x14ac:dyDescent="0.25">
      <c r="A59" s="49">
        <f>'A) Base RI'!A59</f>
        <v>5489</v>
      </c>
      <c r="B59" s="344" t="str">
        <f>'A) Base RI'!B59</f>
        <v>Mex</v>
      </c>
      <c r="C59" s="505">
        <v>1424347.9841138779</v>
      </c>
      <c r="D59" s="505">
        <v>1023423.7433761053</v>
      </c>
      <c r="E59" s="506">
        <v>0</v>
      </c>
      <c r="F59" s="506">
        <v>0</v>
      </c>
      <c r="G59" s="506">
        <v>0</v>
      </c>
      <c r="H59" s="503">
        <f t="shared" si="0"/>
        <v>2447771.7274899832</v>
      </c>
      <c r="I59" s="506">
        <v>58521.207563025193</v>
      </c>
      <c r="J59" s="348">
        <f>'B) D RI'!U59</f>
        <v>50879.929915966379</v>
      </c>
      <c r="K59" s="62">
        <f t="shared" si="1"/>
        <v>41.827088493582828</v>
      </c>
      <c r="L59" s="33">
        <f>'B) D RI'!S59</f>
        <v>59.5</v>
      </c>
      <c r="M59" s="442">
        <f t="shared" si="2"/>
        <v>17.672911506417172</v>
      </c>
      <c r="N59" s="437">
        <f>+'J) Plafonnement effort'!H58+'J) Plafonnement effort'!I58-'K) Plafonnement aide'!I58</f>
        <v>32.499972478054204</v>
      </c>
      <c r="O59" s="145">
        <f t="shared" si="3"/>
        <v>50.172883984471376</v>
      </c>
      <c r="P59" s="47">
        <f t="shared" si="4"/>
        <v>0</v>
      </c>
      <c r="Q59" s="55">
        <f t="shared" si="5"/>
        <v>0</v>
      </c>
      <c r="R59" s="145">
        <f t="shared" si="6"/>
        <v>50.172883984471376</v>
      </c>
      <c r="S59" s="125">
        <f t="shared" si="7"/>
        <v>-9.3271160155286239</v>
      </c>
      <c r="T59" s="144">
        <f t="shared" si="8"/>
        <v>0</v>
      </c>
      <c r="V59" s="12"/>
    </row>
    <row r="60" spans="1:22" x14ac:dyDescent="0.25">
      <c r="A60" s="49">
        <f>'A) Base RI'!A60</f>
        <v>5490</v>
      </c>
      <c r="B60" s="344" t="str">
        <f>'A) Base RI'!B60</f>
        <v>Moiry</v>
      </c>
      <c r="C60" s="505">
        <v>136770.47004198012</v>
      </c>
      <c r="D60" s="505">
        <v>-25089.835085024359</v>
      </c>
      <c r="E60" s="506">
        <v>0</v>
      </c>
      <c r="F60" s="506">
        <v>0</v>
      </c>
      <c r="G60" s="506">
        <v>0</v>
      </c>
      <c r="H60" s="503">
        <f t="shared" si="0"/>
        <v>111680.63495695576</v>
      </c>
      <c r="I60" s="506">
        <v>8655.909290322581</v>
      </c>
      <c r="J60" s="348">
        <f>'B) D RI'!U60</f>
        <v>9056.9</v>
      </c>
      <c r="K60" s="62">
        <f t="shared" si="1"/>
        <v>12.902241834005373</v>
      </c>
      <c r="L60" s="33">
        <f>'B) D RI'!S60</f>
        <v>77.5</v>
      </c>
      <c r="M60" s="442">
        <f t="shared" si="2"/>
        <v>64.597758165994634</v>
      </c>
      <c r="N60" s="437">
        <f>+'J) Plafonnement effort'!H59+'J) Plafonnement effort'!I59-'K) Plafonnement aide'!I59</f>
        <v>12.23019987415743</v>
      </c>
      <c r="O60" s="145">
        <f t="shared" si="3"/>
        <v>76.827958040152069</v>
      </c>
      <c r="P60" s="47">
        <f t="shared" si="4"/>
        <v>0</v>
      </c>
      <c r="Q60" s="55">
        <f t="shared" si="5"/>
        <v>0</v>
      </c>
      <c r="R60" s="145">
        <f t="shared" si="6"/>
        <v>76.827958040152069</v>
      </c>
      <c r="S60" s="125">
        <f t="shared" si="7"/>
        <v>-0.67204195984793103</v>
      </c>
      <c r="T60" s="144">
        <f t="shared" si="8"/>
        <v>0</v>
      </c>
      <c r="V60" s="12"/>
    </row>
    <row r="61" spans="1:22" x14ac:dyDescent="0.25">
      <c r="A61" s="49">
        <f>'A) Base RI'!A61</f>
        <v>5491</v>
      </c>
      <c r="B61" s="344" t="str">
        <f>'A) Base RI'!B61</f>
        <v>Mont-la-Ville</v>
      </c>
      <c r="C61" s="505">
        <v>240585.92070353532</v>
      </c>
      <c r="D61" s="505">
        <v>-1308.77508534136</v>
      </c>
      <c r="E61" s="506">
        <v>0</v>
      </c>
      <c r="F61" s="506">
        <v>0</v>
      </c>
      <c r="G61" s="506">
        <v>0</v>
      </c>
      <c r="H61" s="503">
        <f t="shared" si="0"/>
        <v>239277.14561819396</v>
      </c>
      <c r="I61" s="506">
        <v>14323.284736842104</v>
      </c>
      <c r="J61" s="348">
        <f>'B) D RI'!U61</f>
        <v>13648.930789473685</v>
      </c>
      <c r="K61" s="62">
        <f t="shared" si="1"/>
        <v>16.705465960802233</v>
      </c>
      <c r="L61" s="33">
        <f>'B) D RI'!S61</f>
        <v>76</v>
      </c>
      <c r="M61" s="442">
        <f t="shared" ref="M61:M114" si="9">L61-K61</f>
        <v>59.294534039197771</v>
      </c>
      <c r="N61" s="437">
        <f>+'J) Plafonnement effort'!H60+'J) Plafonnement effort'!I60-'K) Plafonnement aide'!I60</f>
        <v>7.8390856836976877</v>
      </c>
      <c r="O61" s="145">
        <f t="shared" ref="O61:O114" si="10">M61+N61</f>
        <v>67.13361972289546</v>
      </c>
      <c r="P61" s="47">
        <f t="shared" ref="P61:P114" si="11">IF(O61&gt;$P$6,$P$6-O61,0)</f>
        <v>0</v>
      </c>
      <c r="Q61" s="55">
        <f t="shared" si="5"/>
        <v>0</v>
      </c>
      <c r="R61" s="145">
        <f t="shared" ref="R61:R114" si="12">O61+P61</f>
        <v>67.13361972289546</v>
      </c>
      <c r="S61" s="125">
        <f t="shared" ref="S61:S114" si="13">R61-L61</f>
        <v>-8.8663802771045397</v>
      </c>
      <c r="T61" s="144">
        <f t="shared" si="8"/>
        <v>0</v>
      </c>
      <c r="V61" s="12"/>
    </row>
    <row r="62" spans="1:22" x14ac:dyDescent="0.25">
      <c r="A62" s="49">
        <f>'A) Base RI'!A62</f>
        <v>5492</v>
      </c>
      <c r="B62" s="344" t="str">
        <f>'A) Base RI'!B62</f>
        <v>Montricher</v>
      </c>
      <c r="C62" s="505">
        <v>5437267.2039612904</v>
      </c>
      <c r="D62" s="505">
        <v>2892194.4448842341</v>
      </c>
      <c r="E62" s="506">
        <v>0</v>
      </c>
      <c r="F62" s="506">
        <v>-416515.60654083517</v>
      </c>
      <c r="G62" s="506">
        <v>0</v>
      </c>
      <c r="H62" s="503">
        <f t="shared" si="0"/>
        <v>7912946.0423046891</v>
      </c>
      <c r="I62" s="506">
        <v>157154.96692708335</v>
      </c>
      <c r="J62" s="348">
        <f>'B) D RI'!U62</f>
        <v>175268.45531250001</v>
      </c>
      <c r="K62" s="62">
        <f t="shared" si="1"/>
        <v>50.351230998484013</v>
      </c>
      <c r="L62" s="33">
        <f>'B) D RI'!S62</f>
        <v>64</v>
      </c>
      <c r="M62" s="442">
        <f t="shared" si="9"/>
        <v>13.648769001515987</v>
      </c>
      <c r="N62" s="437">
        <f>+'J) Plafonnement effort'!H61+'J) Plafonnement effort'!I61-'K) Plafonnement aide'!I61</f>
        <v>48</v>
      </c>
      <c r="O62" s="145">
        <f t="shared" si="10"/>
        <v>61.648769001515987</v>
      </c>
      <c r="P62" s="47">
        <f t="shared" si="11"/>
        <v>0</v>
      </c>
      <c r="Q62" s="55">
        <f t="shared" si="5"/>
        <v>0</v>
      </c>
      <c r="R62" s="145">
        <f t="shared" si="12"/>
        <v>61.648769001515987</v>
      </c>
      <c r="S62" s="125">
        <f t="shared" si="13"/>
        <v>-2.351230998484013</v>
      </c>
      <c r="T62" s="144">
        <f t="shared" si="8"/>
        <v>0</v>
      </c>
      <c r="V62" s="12"/>
    </row>
    <row r="63" spans="1:22" x14ac:dyDescent="0.25">
      <c r="A63" s="49">
        <f>'A) Base RI'!A63</f>
        <v>5493</v>
      </c>
      <c r="B63" s="344" t="str">
        <f>'A) Base RI'!B63</f>
        <v>Orny</v>
      </c>
      <c r="C63" s="505">
        <v>257338.71643695302</v>
      </c>
      <c r="D63" s="505">
        <v>-10671.954023285594</v>
      </c>
      <c r="E63" s="506">
        <v>0</v>
      </c>
      <c r="F63" s="506">
        <v>0</v>
      </c>
      <c r="G63" s="506">
        <v>0</v>
      </c>
      <c r="H63" s="503">
        <f t="shared" si="0"/>
        <v>246666.76241366743</v>
      </c>
      <c r="I63" s="506">
        <v>12885.017723919913</v>
      </c>
      <c r="J63" s="348">
        <f>'B) D RI'!U63</f>
        <v>13489.946448893574</v>
      </c>
      <c r="K63" s="62">
        <f t="shared" si="1"/>
        <v>19.143688250870781</v>
      </c>
      <c r="L63" s="33">
        <f>'B) D RI'!S63</f>
        <v>73</v>
      </c>
      <c r="M63" s="442">
        <f t="shared" si="9"/>
        <v>53.856311749129219</v>
      </c>
      <c r="N63" s="437">
        <f>+'J) Plafonnement effort'!H62+'J) Plafonnement effort'!I62-'K) Plafonnement aide'!I62</f>
        <v>11.16531893639422</v>
      </c>
      <c r="O63" s="145">
        <f t="shared" si="10"/>
        <v>65.021630685523434</v>
      </c>
      <c r="P63" s="47">
        <f t="shared" si="11"/>
        <v>0</v>
      </c>
      <c r="Q63" s="55">
        <f t="shared" ref="Q63:Q117" si="14">P63*J63</f>
        <v>0</v>
      </c>
      <c r="R63" s="145">
        <f t="shared" si="12"/>
        <v>65.021630685523434</v>
      </c>
      <c r="S63" s="125">
        <f t="shared" si="13"/>
        <v>-7.9783693144765664</v>
      </c>
      <c r="T63" s="144">
        <f t="shared" si="8"/>
        <v>0</v>
      </c>
      <c r="V63" s="12"/>
    </row>
    <row r="64" spans="1:22" x14ac:dyDescent="0.25">
      <c r="A64" s="49">
        <f>'A) Base RI'!A64</f>
        <v>5494</v>
      </c>
      <c r="B64" s="344" t="str">
        <f>'A) Base RI'!B64</f>
        <v>Pampigny</v>
      </c>
      <c r="C64" s="505">
        <v>599336.06074266532</v>
      </c>
      <c r="D64" s="505">
        <v>154111.48296070262</v>
      </c>
      <c r="E64" s="506">
        <v>0</v>
      </c>
      <c r="F64" s="506">
        <v>0</v>
      </c>
      <c r="G64" s="506">
        <v>0</v>
      </c>
      <c r="H64" s="503">
        <f t="shared" si="0"/>
        <v>753447.54370336793</v>
      </c>
      <c r="I64" s="506">
        <v>36607.87342465754</v>
      </c>
      <c r="J64" s="348">
        <f>'B) D RI'!U64</f>
        <v>43210.558962818002</v>
      </c>
      <c r="K64" s="62">
        <f t="shared" si="1"/>
        <v>20.581570935936337</v>
      </c>
      <c r="L64" s="33">
        <f>'B) D RI'!S64</f>
        <v>73</v>
      </c>
      <c r="M64" s="442">
        <f t="shared" si="9"/>
        <v>52.418429064063659</v>
      </c>
      <c r="N64" s="437">
        <f>+'J) Plafonnement effort'!H63+'J) Plafonnement effort'!I63-'K) Plafonnement aide'!I63</f>
        <v>19.636606548328</v>
      </c>
      <c r="O64" s="145">
        <f t="shared" si="10"/>
        <v>72.055035612391663</v>
      </c>
      <c r="P64" s="47">
        <f t="shared" si="11"/>
        <v>0</v>
      </c>
      <c r="Q64" s="55">
        <f t="shared" si="14"/>
        <v>0</v>
      </c>
      <c r="R64" s="145">
        <f t="shared" si="12"/>
        <v>72.055035612391663</v>
      </c>
      <c r="S64" s="125">
        <f t="shared" si="13"/>
        <v>-0.94496438760833712</v>
      </c>
      <c r="T64" s="144">
        <f t="shared" si="8"/>
        <v>0</v>
      </c>
      <c r="V64" s="12"/>
    </row>
    <row r="65" spans="1:22" x14ac:dyDescent="0.25">
      <c r="A65" s="49">
        <f>'A) Base RI'!A65</f>
        <v>5495</v>
      </c>
      <c r="B65" s="344" t="str">
        <f>'A) Base RI'!B65</f>
        <v>Penthalaz</v>
      </c>
      <c r="C65" s="505">
        <v>1549880.4430886707</v>
      </c>
      <c r="D65" s="505">
        <v>-474596.08867585799</v>
      </c>
      <c r="E65" s="506">
        <v>0</v>
      </c>
      <c r="F65" s="506">
        <v>0</v>
      </c>
      <c r="G65" s="506">
        <v>0</v>
      </c>
      <c r="H65" s="503">
        <f t="shared" si="0"/>
        <v>1075284.3544128127</v>
      </c>
      <c r="I65" s="506">
        <v>93361.472702702697</v>
      </c>
      <c r="J65" s="348">
        <f>'B) D RI'!U65</f>
        <v>95314.520135135113</v>
      </c>
      <c r="K65" s="62">
        <f t="shared" si="1"/>
        <v>11.517431369542702</v>
      </c>
      <c r="L65" s="33">
        <f>'B) D RI'!S65</f>
        <v>74</v>
      </c>
      <c r="M65" s="442">
        <f t="shared" si="9"/>
        <v>62.482568630457294</v>
      </c>
      <c r="N65" s="437">
        <f>+'J) Plafonnement effort'!H64+'J) Plafonnement effort'!I64-'K) Plafonnement aide'!I64</f>
        <v>7.459911493849618</v>
      </c>
      <c r="O65" s="145">
        <f t="shared" si="10"/>
        <v>69.942480124306911</v>
      </c>
      <c r="P65" s="47">
        <f t="shared" si="11"/>
        <v>0</v>
      </c>
      <c r="Q65" s="55">
        <f t="shared" si="14"/>
        <v>0</v>
      </c>
      <c r="R65" s="145">
        <f t="shared" si="12"/>
        <v>69.942480124306911</v>
      </c>
      <c r="S65" s="125">
        <f t="shared" si="13"/>
        <v>-4.0575198756930888</v>
      </c>
      <c r="T65" s="144">
        <f t="shared" si="8"/>
        <v>0</v>
      </c>
      <c r="V65" s="12"/>
    </row>
    <row r="66" spans="1:22" x14ac:dyDescent="0.25">
      <c r="A66" s="49">
        <f>'A) Base RI'!A66</f>
        <v>5496</v>
      </c>
      <c r="B66" s="344" t="str">
        <f>'A) Base RI'!B66</f>
        <v>Penthaz</v>
      </c>
      <c r="C66" s="505">
        <v>992458.6058295496</v>
      </c>
      <c r="D66" s="505">
        <v>165201.4060787356</v>
      </c>
      <c r="E66" s="506">
        <v>0</v>
      </c>
      <c r="F66" s="506">
        <v>0</v>
      </c>
      <c r="G66" s="506">
        <v>0</v>
      </c>
      <c r="H66" s="503">
        <f t="shared" si="0"/>
        <v>1157660.0119082853</v>
      </c>
      <c r="I66" s="506">
        <v>60131.11913669065</v>
      </c>
      <c r="J66" s="348">
        <f>'B) D RI'!U66</f>
        <v>56267.911654676267</v>
      </c>
      <c r="K66" s="62">
        <f t="shared" si="1"/>
        <v>19.252261200671839</v>
      </c>
      <c r="L66" s="33">
        <f>'B) D RI'!S66</f>
        <v>69.5</v>
      </c>
      <c r="M66" s="442">
        <f t="shared" si="9"/>
        <v>50.247738799328161</v>
      </c>
      <c r="N66" s="437">
        <f>+'J) Plafonnement effort'!H65+'J) Plafonnement effort'!I65-'K) Plafonnement aide'!I65</f>
        <v>11.166754102305219</v>
      </c>
      <c r="O66" s="145">
        <f t="shared" si="10"/>
        <v>61.41449290163338</v>
      </c>
      <c r="P66" s="47">
        <f t="shared" si="11"/>
        <v>0</v>
      </c>
      <c r="Q66" s="55">
        <f t="shared" si="14"/>
        <v>0</v>
      </c>
      <c r="R66" s="145">
        <f t="shared" si="12"/>
        <v>61.41449290163338</v>
      </c>
      <c r="S66" s="125">
        <f t="shared" si="13"/>
        <v>-8.0855070983666195</v>
      </c>
      <c r="T66" s="144">
        <f t="shared" si="8"/>
        <v>0</v>
      </c>
      <c r="V66" s="12"/>
    </row>
    <row r="67" spans="1:22" x14ac:dyDescent="0.25">
      <c r="A67" s="49">
        <f>'A) Base RI'!A67</f>
        <v>5497</v>
      </c>
      <c r="B67" s="344" t="str">
        <f>'A) Base RI'!B67</f>
        <v>Pompaples</v>
      </c>
      <c r="C67" s="505">
        <v>355867.16293991171</v>
      </c>
      <c r="D67" s="505">
        <v>-70697.076277764456</v>
      </c>
      <c r="E67" s="506">
        <v>0</v>
      </c>
      <c r="F67" s="506">
        <v>0</v>
      </c>
      <c r="G67" s="506">
        <v>0</v>
      </c>
      <c r="H67" s="503">
        <f t="shared" si="0"/>
        <v>285170.08666214725</v>
      </c>
      <c r="I67" s="506">
        <v>20396.986060606061</v>
      </c>
      <c r="J67" s="348">
        <f>'B) D RI'!U67</f>
        <v>22253.499393939397</v>
      </c>
      <c r="K67" s="62">
        <f t="shared" si="1"/>
        <v>13.98099139818081</v>
      </c>
      <c r="L67" s="33">
        <f>'B) D RI'!S67</f>
        <v>66</v>
      </c>
      <c r="M67" s="442">
        <f t="shared" si="9"/>
        <v>52.019008601819188</v>
      </c>
      <c r="N67" s="437">
        <f>+'J) Plafonnement effort'!H66+'J) Plafonnement effort'!I66-'K) Plafonnement aide'!I66</f>
        <v>11.490696015955329</v>
      </c>
      <c r="O67" s="145">
        <f t="shared" si="10"/>
        <v>63.509704617774517</v>
      </c>
      <c r="P67" s="47">
        <f t="shared" si="11"/>
        <v>0</v>
      </c>
      <c r="Q67" s="55">
        <f t="shared" si="14"/>
        <v>0</v>
      </c>
      <c r="R67" s="145">
        <f t="shared" si="12"/>
        <v>63.509704617774517</v>
      </c>
      <c r="S67" s="125">
        <f t="shared" si="13"/>
        <v>-2.490295382225483</v>
      </c>
      <c r="T67" s="144">
        <f t="shared" si="8"/>
        <v>0</v>
      </c>
      <c r="V67" s="12"/>
    </row>
    <row r="68" spans="1:22" x14ac:dyDescent="0.25">
      <c r="A68" s="49">
        <f>'A) Base RI'!A68</f>
        <v>5498</v>
      </c>
      <c r="B68" s="344" t="str">
        <f>'A) Base RI'!B68</f>
        <v>La Sarraz</v>
      </c>
      <c r="C68" s="505">
        <v>1217727.7686985384</v>
      </c>
      <c r="D68" s="505">
        <v>-25925.788044286892</v>
      </c>
      <c r="E68" s="506">
        <v>0</v>
      </c>
      <c r="F68" s="506">
        <v>0</v>
      </c>
      <c r="G68" s="506">
        <v>0</v>
      </c>
      <c r="H68" s="503">
        <f t="shared" si="0"/>
        <v>1191801.9806542515</v>
      </c>
      <c r="I68" s="506">
        <v>77508.241969696974</v>
      </c>
      <c r="J68" s="348">
        <f>'B) D RI'!U68</f>
        <v>74682.149090909108</v>
      </c>
      <c r="K68" s="62">
        <f t="shared" si="1"/>
        <v>15.376454817801243</v>
      </c>
      <c r="L68" s="33">
        <f>'B) D RI'!S68</f>
        <v>66</v>
      </c>
      <c r="M68" s="442">
        <f t="shared" si="9"/>
        <v>50.623545182198754</v>
      </c>
      <c r="N68" s="437">
        <f>+'J) Plafonnement effort'!H67+'J) Plafonnement effort'!I67-'K) Plafonnement aide'!I67</f>
        <v>9.590556170701575</v>
      </c>
      <c r="O68" s="145">
        <f t="shared" si="10"/>
        <v>60.214101352900329</v>
      </c>
      <c r="P68" s="47">
        <f t="shared" si="11"/>
        <v>0</v>
      </c>
      <c r="Q68" s="55">
        <f t="shared" si="14"/>
        <v>0</v>
      </c>
      <c r="R68" s="145">
        <f t="shared" si="12"/>
        <v>60.214101352900329</v>
      </c>
      <c r="S68" s="125">
        <f t="shared" si="13"/>
        <v>-5.7858986470996712</v>
      </c>
      <c r="T68" s="144">
        <f t="shared" si="8"/>
        <v>0</v>
      </c>
      <c r="V68" s="12"/>
    </row>
    <row r="69" spans="1:22" x14ac:dyDescent="0.25">
      <c r="A69" s="49">
        <f>'A) Base RI'!A69</f>
        <v>5499</v>
      </c>
      <c r="B69" s="344" t="str">
        <f>'A) Base RI'!B69</f>
        <v>Senarclens</v>
      </c>
      <c r="C69" s="505">
        <v>391026.51228041184</v>
      </c>
      <c r="D69" s="505">
        <v>235383.56143937854</v>
      </c>
      <c r="E69" s="506">
        <v>0</v>
      </c>
      <c r="F69" s="506">
        <v>0</v>
      </c>
      <c r="G69" s="506">
        <v>0</v>
      </c>
      <c r="H69" s="503">
        <f t="shared" si="0"/>
        <v>626410.07371979044</v>
      </c>
      <c r="I69" s="506">
        <v>19654.447445255475</v>
      </c>
      <c r="J69" s="348">
        <f>'B) D RI'!U69</f>
        <v>18238.904233576643</v>
      </c>
      <c r="K69" s="62">
        <f t="shared" si="1"/>
        <v>31.871161754333823</v>
      </c>
      <c r="L69" s="33">
        <f>'B) D RI'!S69</f>
        <v>68.5</v>
      </c>
      <c r="M69" s="442">
        <f t="shared" si="9"/>
        <v>36.628838245666174</v>
      </c>
      <c r="N69" s="437">
        <f>+'J) Plafonnement effort'!H68+'J) Plafonnement effort'!I68-'K) Plafonnement aide'!I68</f>
        <v>21.952769290150073</v>
      </c>
      <c r="O69" s="145">
        <f t="shared" si="10"/>
        <v>58.581607535816246</v>
      </c>
      <c r="P69" s="47">
        <f t="shared" si="11"/>
        <v>0</v>
      </c>
      <c r="Q69" s="55">
        <f t="shared" si="14"/>
        <v>0</v>
      </c>
      <c r="R69" s="145">
        <f t="shared" si="12"/>
        <v>58.581607535816246</v>
      </c>
      <c r="S69" s="125">
        <f t="shared" si="13"/>
        <v>-9.9183924641837535</v>
      </c>
      <c r="T69" s="144">
        <f t="shared" si="8"/>
        <v>0</v>
      </c>
      <c r="V69" s="12"/>
    </row>
    <row r="70" spans="1:22" x14ac:dyDescent="0.25">
      <c r="A70" s="49">
        <f>'A) Base RI'!A70</f>
        <v>5500</v>
      </c>
      <c r="B70" s="344" t="str">
        <f>'A) Base RI'!B70</f>
        <v>Sévery</v>
      </c>
      <c r="C70" s="505">
        <v>115388.89895187004</v>
      </c>
      <c r="D70" s="505">
        <v>57809.266996781269</v>
      </c>
      <c r="E70" s="506">
        <v>0</v>
      </c>
      <c r="F70" s="506">
        <v>0</v>
      </c>
      <c r="G70" s="506">
        <v>0</v>
      </c>
      <c r="H70" s="503">
        <f t="shared" si="0"/>
        <v>173198.16594865132</v>
      </c>
      <c r="I70" s="506">
        <v>7516.1401369863015</v>
      </c>
      <c r="J70" s="348">
        <f>'B) D RI'!U70</f>
        <v>7230.3632420091335</v>
      </c>
      <c r="K70" s="62">
        <f t="shared" si="1"/>
        <v>23.043498762929861</v>
      </c>
      <c r="L70" s="33">
        <f>'B) D RI'!S70</f>
        <v>73</v>
      </c>
      <c r="M70" s="442">
        <f t="shared" si="9"/>
        <v>49.956501237070142</v>
      </c>
      <c r="N70" s="437">
        <f>+'J) Plafonnement effort'!H69+'J) Plafonnement effort'!I69-'K) Plafonnement aide'!I69</f>
        <v>17.125404852352641</v>
      </c>
      <c r="O70" s="145">
        <f t="shared" si="10"/>
        <v>67.081906089422787</v>
      </c>
      <c r="P70" s="47">
        <f t="shared" si="11"/>
        <v>0</v>
      </c>
      <c r="Q70" s="55">
        <f t="shared" si="14"/>
        <v>0</v>
      </c>
      <c r="R70" s="145">
        <f t="shared" si="12"/>
        <v>67.081906089422787</v>
      </c>
      <c r="S70" s="125">
        <f t="shared" si="13"/>
        <v>-5.9180939105772126</v>
      </c>
      <c r="T70" s="144">
        <f t="shared" si="8"/>
        <v>0</v>
      </c>
      <c r="V70" s="12"/>
    </row>
    <row r="71" spans="1:22" x14ac:dyDescent="0.25">
      <c r="A71" s="49">
        <f>'A) Base RI'!A71</f>
        <v>5501</v>
      </c>
      <c r="B71" s="344" t="str">
        <f>'A) Base RI'!B71</f>
        <v>Sullens</v>
      </c>
      <c r="C71" s="505">
        <v>3754375.4041639715</v>
      </c>
      <c r="D71" s="505">
        <v>510344.92804152926</v>
      </c>
      <c r="E71" s="506">
        <v>0</v>
      </c>
      <c r="F71" s="506">
        <v>0</v>
      </c>
      <c r="G71" s="506">
        <v>0</v>
      </c>
      <c r="H71" s="503">
        <f t="shared" ref="H71:H134" si="15">SUM(C71:G71)</f>
        <v>4264720.3322055005</v>
      </c>
      <c r="I71" s="506">
        <v>41921.141459854021</v>
      </c>
      <c r="J71" s="348">
        <f>'B) D RI'!U71</f>
        <v>43195.598978102193</v>
      </c>
      <c r="K71" s="62">
        <f t="shared" ref="K71:K134" si="16">H71/I71</f>
        <v>101.73197064038989</v>
      </c>
      <c r="L71" s="33">
        <f>'B) D RI'!S71</f>
        <v>68.5</v>
      </c>
      <c r="M71" s="442">
        <f t="shared" si="9"/>
        <v>-33.231970640389889</v>
      </c>
      <c r="N71" s="437">
        <f>+'J) Plafonnement effort'!H70+'J) Plafonnement effort'!I70-'K) Plafonnement aide'!I70</f>
        <v>22.934848725616817</v>
      </c>
      <c r="O71" s="145">
        <f t="shared" si="10"/>
        <v>-10.297121914773072</v>
      </c>
      <c r="P71" s="47">
        <f t="shared" si="11"/>
        <v>0</v>
      </c>
      <c r="Q71" s="55">
        <f t="shared" si="14"/>
        <v>0</v>
      </c>
      <c r="R71" s="145">
        <f t="shared" si="12"/>
        <v>-10.297121914773072</v>
      </c>
      <c r="S71" s="125">
        <f t="shared" si="13"/>
        <v>-78.797121914773072</v>
      </c>
      <c r="T71" s="144">
        <f t="shared" ref="T71:T134" si="17">+C71+D71+E71+F71+G71-H71</f>
        <v>0</v>
      </c>
      <c r="V71" s="12"/>
    </row>
    <row r="72" spans="1:22" x14ac:dyDescent="0.25">
      <c r="A72" s="49">
        <f>'A) Base RI'!A72</f>
        <v>5503</v>
      </c>
      <c r="B72" s="344" t="str">
        <f>'A) Base RI'!B72</f>
        <v>Vufflens-la-Ville</v>
      </c>
      <c r="C72" s="505">
        <v>1070384.7453561905</v>
      </c>
      <c r="D72" s="505">
        <v>1032656.9739296372</v>
      </c>
      <c r="E72" s="506">
        <v>0</v>
      </c>
      <c r="F72" s="506">
        <v>0</v>
      </c>
      <c r="G72" s="506">
        <v>0</v>
      </c>
      <c r="H72" s="503">
        <f t="shared" si="15"/>
        <v>2103041.7192858276</v>
      </c>
      <c r="I72" s="506">
        <v>66677.882338308453</v>
      </c>
      <c r="J72" s="348">
        <f>'B) D RI'!U72</f>
        <v>79029.714875621881</v>
      </c>
      <c r="K72" s="62">
        <f t="shared" si="16"/>
        <v>31.540319601265541</v>
      </c>
      <c r="L72" s="33">
        <f>'B) D RI'!S72</f>
        <v>67</v>
      </c>
      <c r="M72" s="442">
        <f t="shared" si="9"/>
        <v>35.459680398734463</v>
      </c>
      <c r="N72" s="437">
        <f>+'J) Plafonnement effort'!H71+'J) Plafonnement effort'!I71-'K) Plafonnement aide'!I71</f>
        <v>30.315129077484322</v>
      </c>
      <c r="O72" s="145">
        <f t="shared" si="10"/>
        <v>65.774809476218792</v>
      </c>
      <c r="P72" s="47">
        <f t="shared" si="11"/>
        <v>0</v>
      </c>
      <c r="Q72" s="55">
        <f t="shared" si="14"/>
        <v>0</v>
      </c>
      <c r="R72" s="145">
        <f t="shared" si="12"/>
        <v>65.774809476218792</v>
      </c>
      <c r="S72" s="125">
        <f t="shared" si="13"/>
        <v>-1.2251905237812082</v>
      </c>
      <c r="T72" s="144">
        <f t="shared" si="17"/>
        <v>0</v>
      </c>
      <c r="V72" s="12"/>
    </row>
    <row r="73" spans="1:22" x14ac:dyDescent="0.25">
      <c r="A73" s="49">
        <f>'A) Base RI'!A73</f>
        <v>5511</v>
      </c>
      <c r="B73" s="344" t="str">
        <f>'A) Base RI'!B73</f>
        <v>Assens</v>
      </c>
      <c r="C73" s="505">
        <v>665237.12357450649</v>
      </c>
      <c r="D73" s="505">
        <v>473214.98146192159</v>
      </c>
      <c r="E73" s="506">
        <v>0</v>
      </c>
      <c r="F73" s="506">
        <v>0</v>
      </c>
      <c r="G73" s="506">
        <v>0</v>
      </c>
      <c r="H73" s="503">
        <f t="shared" si="15"/>
        <v>1138452.1050364282</v>
      </c>
      <c r="I73" s="506">
        <v>44474.742571428564</v>
      </c>
      <c r="J73" s="348">
        <f>'B) D RI'!U73</f>
        <v>47333.455142857143</v>
      </c>
      <c r="K73" s="62">
        <f t="shared" si="16"/>
        <v>25.597722194974367</v>
      </c>
      <c r="L73" s="33">
        <f>'B) D RI'!S73</f>
        <v>70</v>
      </c>
      <c r="M73" s="442">
        <f t="shared" si="9"/>
        <v>44.402277805025633</v>
      </c>
      <c r="N73" s="437">
        <f>+'J) Plafonnement effort'!H72+'J) Plafonnement effort'!I72-'K) Plafonnement aide'!I72</f>
        <v>23.778476447967037</v>
      </c>
      <c r="O73" s="145">
        <f t="shared" si="10"/>
        <v>68.180754252992671</v>
      </c>
      <c r="P73" s="47">
        <f t="shared" si="11"/>
        <v>0</v>
      </c>
      <c r="Q73" s="55">
        <f t="shared" si="14"/>
        <v>0</v>
      </c>
      <c r="R73" s="145">
        <f t="shared" si="12"/>
        <v>68.180754252992671</v>
      </c>
      <c r="S73" s="125">
        <f t="shared" si="13"/>
        <v>-1.8192457470073293</v>
      </c>
      <c r="T73" s="144">
        <f t="shared" si="17"/>
        <v>0</v>
      </c>
      <c r="V73" s="12"/>
    </row>
    <row r="74" spans="1:22" x14ac:dyDescent="0.25">
      <c r="A74" s="49">
        <f>'A) Base RI'!A74</f>
        <v>5512</v>
      </c>
      <c r="B74" s="344" t="str">
        <f>'A) Base RI'!B74</f>
        <v>Bercher</v>
      </c>
      <c r="C74" s="505">
        <v>628833.07560609188</v>
      </c>
      <c r="D74" s="505">
        <v>-49846.346290635061</v>
      </c>
      <c r="E74" s="506">
        <v>0</v>
      </c>
      <c r="F74" s="506">
        <v>0</v>
      </c>
      <c r="G74" s="506">
        <v>0</v>
      </c>
      <c r="H74" s="503">
        <f t="shared" si="15"/>
        <v>578986.72931545682</v>
      </c>
      <c r="I74" s="506">
        <v>40313.482784810127</v>
      </c>
      <c r="J74" s="348">
        <f>'B) D RI'!U74</f>
        <v>40764.12544303797</v>
      </c>
      <c r="K74" s="62">
        <f t="shared" si="16"/>
        <v>14.36211136621556</v>
      </c>
      <c r="L74" s="33">
        <f>'B) D RI'!S74</f>
        <v>79</v>
      </c>
      <c r="M74" s="442">
        <f t="shared" si="9"/>
        <v>64.637888633784442</v>
      </c>
      <c r="N74" s="437">
        <f>+'J) Plafonnement effort'!H73+'J) Plafonnement effort'!I73-'K) Plafonnement aide'!I73</f>
        <v>11.032424281248261</v>
      </c>
      <c r="O74" s="145">
        <f t="shared" si="10"/>
        <v>75.670312915032696</v>
      </c>
      <c r="P74" s="47">
        <f t="shared" si="11"/>
        <v>0</v>
      </c>
      <c r="Q74" s="55">
        <f t="shared" si="14"/>
        <v>0</v>
      </c>
      <c r="R74" s="145">
        <f t="shared" si="12"/>
        <v>75.670312915032696</v>
      </c>
      <c r="S74" s="125">
        <f t="shared" si="13"/>
        <v>-3.3296870849673041</v>
      </c>
      <c r="T74" s="144">
        <f t="shared" si="17"/>
        <v>0</v>
      </c>
      <c r="V74" s="12"/>
    </row>
    <row r="75" spans="1:22" x14ac:dyDescent="0.25">
      <c r="A75" s="49">
        <f>'A) Base RI'!A75</f>
        <v>5513</v>
      </c>
      <c r="B75" s="344" t="str">
        <f>'A) Base RI'!B75</f>
        <v>Bioley-Orjulaz</v>
      </c>
      <c r="C75" s="505">
        <v>433443.51151146297</v>
      </c>
      <c r="D75" s="505">
        <v>319822.48400750529</v>
      </c>
      <c r="E75" s="506">
        <v>0</v>
      </c>
      <c r="F75" s="506">
        <v>0</v>
      </c>
      <c r="G75" s="506">
        <v>0</v>
      </c>
      <c r="H75" s="503">
        <f t="shared" si="15"/>
        <v>753265.99551896821</v>
      </c>
      <c r="I75" s="506">
        <v>22644.962352941177</v>
      </c>
      <c r="J75" s="348">
        <f>'B) D RI'!U75</f>
        <v>22739.022647058824</v>
      </c>
      <c r="K75" s="62">
        <f t="shared" si="16"/>
        <v>33.264175218252568</v>
      </c>
      <c r="L75" s="33">
        <f>'B) D RI'!S75</f>
        <v>68</v>
      </c>
      <c r="M75" s="442">
        <f t="shared" si="9"/>
        <v>34.735824781747432</v>
      </c>
      <c r="N75" s="437">
        <f>+'J) Plafonnement effort'!H74+'J) Plafonnement effort'!I74-'K) Plafonnement aide'!I74</f>
        <v>26.257663031077339</v>
      </c>
      <c r="O75" s="145">
        <f t="shared" si="10"/>
        <v>60.993487812824768</v>
      </c>
      <c r="P75" s="47">
        <f t="shared" si="11"/>
        <v>0</v>
      </c>
      <c r="Q75" s="55">
        <f t="shared" si="14"/>
        <v>0</v>
      </c>
      <c r="R75" s="145">
        <f t="shared" si="12"/>
        <v>60.993487812824768</v>
      </c>
      <c r="S75" s="125">
        <f t="shared" si="13"/>
        <v>-7.0065121871752325</v>
      </c>
      <c r="T75" s="144">
        <f t="shared" si="17"/>
        <v>0</v>
      </c>
      <c r="V75" s="12"/>
    </row>
    <row r="76" spans="1:22" x14ac:dyDescent="0.25">
      <c r="A76" s="49">
        <f>'A) Base RI'!A76</f>
        <v>5514</v>
      </c>
      <c r="B76" s="344" t="str">
        <f>'A) Base RI'!B76</f>
        <v>Bottens</v>
      </c>
      <c r="C76" s="505">
        <v>690300.86203251791</v>
      </c>
      <c r="D76" s="505">
        <v>189174.23911613936</v>
      </c>
      <c r="E76" s="506">
        <v>0</v>
      </c>
      <c r="F76" s="506">
        <v>0</v>
      </c>
      <c r="G76" s="506">
        <v>0</v>
      </c>
      <c r="H76" s="503">
        <f t="shared" si="15"/>
        <v>879475.10114865727</v>
      </c>
      <c r="I76" s="506">
        <v>44190.368827586208</v>
      </c>
      <c r="J76" s="348">
        <f>'B) D RI'!U76</f>
        <v>44223.41544827586</v>
      </c>
      <c r="K76" s="62">
        <f t="shared" si="16"/>
        <v>19.901963357219991</v>
      </c>
      <c r="L76" s="33">
        <f>'B) D RI'!S76</f>
        <v>72.5</v>
      </c>
      <c r="M76" s="442">
        <f t="shared" si="9"/>
        <v>52.598036642780009</v>
      </c>
      <c r="N76" s="437">
        <f>+'J) Plafonnement effort'!H75+'J) Plafonnement effort'!I75-'K) Plafonnement aide'!I75</f>
        <v>15.15587311201622</v>
      </c>
      <c r="O76" s="145">
        <f t="shared" si="10"/>
        <v>67.753909754796226</v>
      </c>
      <c r="P76" s="47">
        <f t="shared" si="11"/>
        <v>0</v>
      </c>
      <c r="Q76" s="55">
        <f t="shared" si="14"/>
        <v>0</v>
      </c>
      <c r="R76" s="145">
        <f t="shared" si="12"/>
        <v>67.753909754796226</v>
      </c>
      <c r="S76" s="125">
        <f t="shared" si="13"/>
        <v>-4.7460902452037743</v>
      </c>
      <c r="T76" s="144">
        <f t="shared" si="17"/>
        <v>0</v>
      </c>
      <c r="V76" s="12"/>
    </row>
    <row r="77" spans="1:22" x14ac:dyDescent="0.25">
      <c r="A77" s="49">
        <f>'A) Base RI'!A77</f>
        <v>5515</v>
      </c>
      <c r="B77" s="344" t="str">
        <f>'A) Base RI'!B77</f>
        <v>Bretigny-sur-Morrens</v>
      </c>
      <c r="C77" s="505">
        <v>518529.91078825039</v>
      </c>
      <c r="D77" s="505">
        <v>150111.20704204298</v>
      </c>
      <c r="E77" s="506">
        <v>0</v>
      </c>
      <c r="F77" s="506">
        <v>0</v>
      </c>
      <c r="G77" s="506">
        <v>0</v>
      </c>
      <c r="H77" s="503">
        <f t="shared" si="15"/>
        <v>668641.11783029337</v>
      </c>
      <c r="I77" s="506">
        <v>29586.483086419765</v>
      </c>
      <c r="J77" s="348">
        <f>'B) D RI'!U77</f>
        <v>32348.775256410252</v>
      </c>
      <c r="K77" s="62">
        <f t="shared" si="16"/>
        <v>22.599547093084563</v>
      </c>
      <c r="L77" s="33">
        <f>'B) D RI'!S77</f>
        <v>78</v>
      </c>
      <c r="M77" s="442">
        <f t="shared" si="9"/>
        <v>55.400452906915433</v>
      </c>
      <c r="N77" s="437">
        <f>+'J) Plafonnement effort'!H76+'J) Plafonnement effort'!I76-'K) Plafonnement aide'!I76</f>
        <v>19.814571552239155</v>
      </c>
      <c r="O77" s="145">
        <f t="shared" si="10"/>
        <v>75.215024459154591</v>
      </c>
      <c r="P77" s="47">
        <f t="shared" si="11"/>
        <v>0</v>
      </c>
      <c r="Q77" s="55">
        <f t="shared" si="14"/>
        <v>0</v>
      </c>
      <c r="R77" s="145">
        <f t="shared" si="12"/>
        <v>75.215024459154591</v>
      </c>
      <c r="S77" s="125">
        <f t="shared" si="13"/>
        <v>-2.7849755408454087</v>
      </c>
      <c r="T77" s="144">
        <f t="shared" si="17"/>
        <v>0</v>
      </c>
      <c r="V77" s="12"/>
    </row>
    <row r="78" spans="1:22" x14ac:dyDescent="0.25">
      <c r="A78" s="49">
        <f>'A) Base RI'!A78</f>
        <v>5516</v>
      </c>
      <c r="B78" s="344" t="str">
        <f>'A) Base RI'!B78</f>
        <v>Cugy</v>
      </c>
      <c r="C78" s="505">
        <v>1833351.4484885153</v>
      </c>
      <c r="D78" s="505">
        <v>684871.60342520475</v>
      </c>
      <c r="E78" s="506">
        <v>0</v>
      </c>
      <c r="F78" s="506">
        <v>0</v>
      </c>
      <c r="G78" s="506">
        <v>0</v>
      </c>
      <c r="H78" s="503">
        <f t="shared" si="15"/>
        <v>2518223.0519137201</v>
      </c>
      <c r="I78" s="506">
        <v>107062.26318376069</v>
      </c>
      <c r="J78" s="348">
        <f>'B) D RI'!U78</f>
        <v>111604.91621794872</v>
      </c>
      <c r="K78" s="62">
        <f t="shared" si="16"/>
        <v>23.521107970522397</v>
      </c>
      <c r="L78" s="33">
        <f>'B) D RI'!S78</f>
        <v>78</v>
      </c>
      <c r="M78" s="442">
        <f t="shared" si="9"/>
        <v>54.478892029477606</v>
      </c>
      <c r="N78" s="437">
        <f>+'J) Plafonnement effort'!H77+'J) Plafonnement effort'!I77-'K) Plafonnement aide'!I77</f>
        <v>19.944648670668439</v>
      </c>
      <c r="O78" s="145">
        <f t="shared" si="10"/>
        <v>74.423540700146049</v>
      </c>
      <c r="P78" s="47">
        <f t="shared" si="11"/>
        <v>0</v>
      </c>
      <c r="Q78" s="55">
        <f t="shared" si="14"/>
        <v>0</v>
      </c>
      <c r="R78" s="145">
        <f t="shared" si="12"/>
        <v>74.423540700146049</v>
      </c>
      <c r="S78" s="125">
        <f t="shared" si="13"/>
        <v>-3.5764592998539513</v>
      </c>
      <c r="T78" s="144">
        <f t="shared" si="17"/>
        <v>0</v>
      </c>
      <c r="V78" s="12"/>
    </row>
    <row r="79" spans="1:22" x14ac:dyDescent="0.25">
      <c r="A79" s="49">
        <f>'A) Base RI'!A79</f>
        <v>5518</v>
      </c>
      <c r="B79" s="344" t="str">
        <f>'A) Base RI'!B79</f>
        <v>Echallens</v>
      </c>
      <c r="C79" s="505">
        <v>3025287.7865154459</v>
      </c>
      <c r="D79" s="505">
        <v>-871638.22224902268</v>
      </c>
      <c r="E79" s="506">
        <v>0</v>
      </c>
      <c r="F79" s="506">
        <v>0</v>
      </c>
      <c r="G79" s="506">
        <v>0</v>
      </c>
      <c r="H79" s="503">
        <f t="shared" si="15"/>
        <v>2153649.5642664232</v>
      </c>
      <c r="I79" s="506">
        <v>178756.07310344829</v>
      </c>
      <c r="J79" s="348">
        <f>'B) D RI'!U79</f>
        <v>183030.51158620688</v>
      </c>
      <c r="K79" s="62">
        <f t="shared" si="16"/>
        <v>12.047979835740072</v>
      </c>
      <c r="L79" s="33">
        <f>'B) D RI'!S79</f>
        <v>72.5</v>
      </c>
      <c r="M79" s="442">
        <f t="shared" si="9"/>
        <v>60.452020164259928</v>
      </c>
      <c r="N79" s="437">
        <f>+'J) Plafonnement effort'!H78+'J) Plafonnement effort'!I78-'K) Plafonnement aide'!I78</f>
        <v>7.7458771622920821</v>
      </c>
      <c r="O79" s="145">
        <f t="shared" si="10"/>
        <v>68.19789732655201</v>
      </c>
      <c r="P79" s="47">
        <f t="shared" si="11"/>
        <v>0</v>
      </c>
      <c r="Q79" s="55">
        <f t="shared" si="14"/>
        <v>0</v>
      </c>
      <c r="R79" s="145">
        <f t="shared" si="12"/>
        <v>68.19789732655201</v>
      </c>
      <c r="S79" s="125">
        <f t="shared" si="13"/>
        <v>-4.3021026734479904</v>
      </c>
      <c r="T79" s="144">
        <f t="shared" si="17"/>
        <v>0</v>
      </c>
      <c r="V79" s="12"/>
    </row>
    <row r="80" spans="1:22" x14ac:dyDescent="0.25">
      <c r="A80" s="49">
        <f>'A) Base RI'!A80</f>
        <v>5520</v>
      </c>
      <c r="B80" s="344" t="str">
        <f>'A) Base RI'!B80</f>
        <v>Essertines-sur-Yverdon</v>
      </c>
      <c r="C80" s="505">
        <v>533823.13336251397</v>
      </c>
      <c r="D80" s="505">
        <v>2096.5944526303792</v>
      </c>
      <c r="E80" s="506">
        <v>0</v>
      </c>
      <c r="F80" s="506">
        <v>0</v>
      </c>
      <c r="G80" s="506">
        <v>0</v>
      </c>
      <c r="H80" s="503">
        <f t="shared" si="15"/>
        <v>535919.72781514435</v>
      </c>
      <c r="I80" s="506">
        <v>29733.806712328769</v>
      </c>
      <c r="J80" s="348">
        <f>'B) D RI'!U80</f>
        <v>31696.699178082192</v>
      </c>
      <c r="K80" s="62">
        <f t="shared" si="16"/>
        <v>18.023919136897181</v>
      </c>
      <c r="L80" s="33">
        <f>'B) D RI'!S80</f>
        <v>73</v>
      </c>
      <c r="M80" s="442">
        <f t="shared" si="9"/>
        <v>54.976080863102823</v>
      </c>
      <c r="N80" s="437">
        <f>+'J) Plafonnement effort'!H79+'J) Plafonnement effort'!I79-'K) Plafonnement aide'!I79</f>
        <v>13.25823060876616</v>
      </c>
      <c r="O80" s="145">
        <f t="shared" si="10"/>
        <v>68.234311471868978</v>
      </c>
      <c r="P80" s="47">
        <f t="shared" si="11"/>
        <v>0</v>
      </c>
      <c r="Q80" s="55">
        <f t="shared" si="14"/>
        <v>0</v>
      </c>
      <c r="R80" s="145">
        <f t="shared" si="12"/>
        <v>68.234311471868978</v>
      </c>
      <c r="S80" s="125">
        <f t="shared" si="13"/>
        <v>-4.7656885281310224</v>
      </c>
      <c r="T80" s="144">
        <f t="shared" si="17"/>
        <v>0</v>
      </c>
      <c r="V80" s="12"/>
    </row>
    <row r="81" spans="1:22" x14ac:dyDescent="0.25">
      <c r="A81" s="49">
        <f>'A) Base RI'!A81</f>
        <v>5521</v>
      </c>
      <c r="B81" s="344" t="str">
        <f>'A) Base RI'!B81</f>
        <v>Etagnières</v>
      </c>
      <c r="C81" s="505">
        <v>727071.22683345852</v>
      </c>
      <c r="D81" s="505">
        <v>539693.51072724676</v>
      </c>
      <c r="E81" s="506">
        <v>0</v>
      </c>
      <c r="F81" s="506">
        <v>0</v>
      </c>
      <c r="G81" s="506">
        <v>0</v>
      </c>
      <c r="H81" s="503">
        <f t="shared" si="15"/>
        <v>1266764.7375607053</v>
      </c>
      <c r="I81" s="506">
        <v>46797.314657534247</v>
      </c>
      <c r="J81" s="348">
        <f>'B) D RI'!U81</f>
        <v>42645.35479452055</v>
      </c>
      <c r="K81" s="62">
        <f t="shared" si="16"/>
        <v>27.069175802735071</v>
      </c>
      <c r="L81" s="33">
        <f>'B) D RI'!S81</f>
        <v>73</v>
      </c>
      <c r="M81" s="442">
        <f t="shared" si="9"/>
        <v>45.930824197264926</v>
      </c>
      <c r="N81" s="437">
        <f>+'J) Plafonnement effort'!H80+'J) Plafonnement effort'!I80-'K) Plafonnement aide'!I80</f>
        <v>20.401601251997693</v>
      </c>
      <c r="O81" s="145">
        <f t="shared" si="10"/>
        <v>66.332425449262615</v>
      </c>
      <c r="P81" s="47">
        <f t="shared" si="11"/>
        <v>0</v>
      </c>
      <c r="Q81" s="55">
        <f t="shared" si="14"/>
        <v>0</v>
      </c>
      <c r="R81" s="145">
        <f t="shared" si="12"/>
        <v>66.332425449262615</v>
      </c>
      <c r="S81" s="125">
        <f t="shared" si="13"/>
        <v>-6.6675745507373847</v>
      </c>
      <c r="T81" s="144">
        <f t="shared" si="17"/>
        <v>0</v>
      </c>
      <c r="V81" s="12"/>
    </row>
    <row r="82" spans="1:22" x14ac:dyDescent="0.25">
      <c r="A82" s="49">
        <f>'A) Base RI'!A82</f>
        <v>5522</v>
      </c>
      <c r="B82" s="344" t="str">
        <f>'A) Base RI'!B82</f>
        <v>Fey</v>
      </c>
      <c r="C82" s="505">
        <v>348465.38719532831</v>
      </c>
      <c r="D82" s="505">
        <v>83077.878827203065</v>
      </c>
      <c r="E82" s="506">
        <v>0</v>
      </c>
      <c r="F82" s="506">
        <v>0</v>
      </c>
      <c r="G82" s="506">
        <v>0</v>
      </c>
      <c r="H82" s="503">
        <f t="shared" si="15"/>
        <v>431543.26602253137</v>
      </c>
      <c r="I82" s="506">
        <v>23726.940933333331</v>
      </c>
      <c r="J82" s="348">
        <f>'B) D RI'!U82</f>
        <v>23924.3328</v>
      </c>
      <c r="K82" s="62">
        <f t="shared" si="16"/>
        <v>18.18790156030051</v>
      </c>
      <c r="L82" s="33">
        <f>'B) D RI'!S82</f>
        <v>75</v>
      </c>
      <c r="M82" s="442">
        <f t="shared" si="9"/>
        <v>56.81209843969949</v>
      </c>
      <c r="N82" s="437">
        <f>+'J) Plafonnement effort'!H81+'J) Plafonnement effort'!I81-'K) Plafonnement aide'!I81</f>
        <v>15.243996835212783</v>
      </c>
      <c r="O82" s="145">
        <f t="shared" si="10"/>
        <v>72.056095274912281</v>
      </c>
      <c r="P82" s="47">
        <f t="shared" si="11"/>
        <v>0</v>
      </c>
      <c r="Q82" s="55">
        <f t="shared" si="14"/>
        <v>0</v>
      </c>
      <c r="R82" s="145">
        <f t="shared" si="12"/>
        <v>72.056095274912281</v>
      </c>
      <c r="S82" s="125">
        <f t="shared" si="13"/>
        <v>-2.9439047250877195</v>
      </c>
      <c r="T82" s="144">
        <f t="shared" si="17"/>
        <v>0</v>
      </c>
      <c r="V82" s="12"/>
    </row>
    <row r="83" spans="1:22" x14ac:dyDescent="0.25">
      <c r="A83" s="49">
        <f>'A) Base RI'!A83</f>
        <v>5523</v>
      </c>
      <c r="B83" s="344" t="str">
        <f>'A) Base RI'!B83</f>
        <v>Froideville</v>
      </c>
      <c r="C83" s="505">
        <v>1301915.7545594652</v>
      </c>
      <c r="D83" s="505">
        <v>20433.163062874461</v>
      </c>
      <c r="E83" s="506">
        <v>0</v>
      </c>
      <c r="F83" s="506">
        <v>0</v>
      </c>
      <c r="G83" s="506">
        <v>0</v>
      </c>
      <c r="H83" s="503">
        <f t="shared" si="15"/>
        <v>1322348.9176223397</v>
      </c>
      <c r="I83" s="506">
        <v>85868.846805555557</v>
      </c>
      <c r="J83" s="348">
        <f>'B) D RI'!U83</f>
        <v>93523.863333333327</v>
      </c>
      <c r="K83" s="62">
        <f t="shared" si="16"/>
        <v>15.399635220637272</v>
      </c>
      <c r="L83" s="33">
        <f>'B) D RI'!S83</f>
        <v>72</v>
      </c>
      <c r="M83" s="442">
        <f t="shared" si="9"/>
        <v>56.600364779362728</v>
      </c>
      <c r="N83" s="437">
        <f>+'J) Plafonnement effort'!H82+'J) Plafonnement effort'!I82-'K) Plafonnement aide'!I82</f>
        <v>15.465898285619684</v>
      </c>
      <c r="O83" s="145">
        <f t="shared" si="10"/>
        <v>72.066263064982408</v>
      </c>
      <c r="P83" s="47">
        <f t="shared" si="11"/>
        <v>0</v>
      </c>
      <c r="Q83" s="55">
        <f t="shared" si="14"/>
        <v>0</v>
      </c>
      <c r="R83" s="145">
        <f t="shared" si="12"/>
        <v>72.066263064982408</v>
      </c>
      <c r="S83" s="125">
        <f t="shared" si="13"/>
        <v>6.6263064982408082E-2</v>
      </c>
      <c r="T83" s="144">
        <f t="shared" si="17"/>
        <v>0</v>
      </c>
      <c r="V83" s="12"/>
    </row>
    <row r="84" spans="1:22" x14ac:dyDescent="0.25">
      <c r="A84" s="49">
        <f>'A) Base RI'!A84</f>
        <v>5527</v>
      </c>
      <c r="B84" s="344" t="str">
        <f>'A) Base RI'!B84</f>
        <v>Morrens</v>
      </c>
      <c r="C84" s="505">
        <v>629608.37800918531</v>
      </c>
      <c r="D84" s="505">
        <v>271259.72184147051</v>
      </c>
      <c r="E84" s="506">
        <v>0</v>
      </c>
      <c r="F84" s="506">
        <v>0</v>
      </c>
      <c r="G84" s="506">
        <v>0</v>
      </c>
      <c r="H84" s="503">
        <f t="shared" si="15"/>
        <v>900868.09985065577</v>
      </c>
      <c r="I84" s="506">
        <v>40564.204594594594</v>
      </c>
      <c r="J84" s="348">
        <f>'B) D RI'!U84</f>
        <v>39310.302027027028</v>
      </c>
      <c r="K84" s="62">
        <f t="shared" si="16"/>
        <v>22.20844976141111</v>
      </c>
      <c r="L84" s="33">
        <f>'B) D RI'!S84</f>
        <v>74</v>
      </c>
      <c r="M84" s="442">
        <f t="shared" si="9"/>
        <v>51.79155023858889</v>
      </c>
      <c r="N84" s="437">
        <f>+'J) Plafonnement effort'!H83+'J) Plafonnement effort'!I83-'K) Plafonnement aide'!I83</f>
        <v>17.164713252798929</v>
      </c>
      <c r="O84" s="145">
        <f t="shared" si="10"/>
        <v>68.956263491387816</v>
      </c>
      <c r="P84" s="47">
        <f t="shared" si="11"/>
        <v>0</v>
      </c>
      <c r="Q84" s="55">
        <f t="shared" si="14"/>
        <v>0</v>
      </c>
      <c r="R84" s="145">
        <f t="shared" si="12"/>
        <v>68.956263491387816</v>
      </c>
      <c r="S84" s="125">
        <f t="shared" si="13"/>
        <v>-5.0437365086121844</v>
      </c>
      <c r="T84" s="144">
        <f t="shared" si="17"/>
        <v>0</v>
      </c>
      <c r="V84" s="12"/>
    </row>
    <row r="85" spans="1:22" x14ac:dyDescent="0.25">
      <c r="A85" s="49">
        <f>'A) Base RI'!A85</f>
        <v>5529</v>
      </c>
      <c r="B85" s="344" t="str">
        <f>'A) Base RI'!B85</f>
        <v>Oulens-sous-Echallens</v>
      </c>
      <c r="C85" s="505">
        <v>294974.60505310714</v>
      </c>
      <c r="D85" s="505">
        <v>122423.24717382004</v>
      </c>
      <c r="E85" s="506">
        <v>0</v>
      </c>
      <c r="F85" s="506">
        <v>0</v>
      </c>
      <c r="G85" s="506">
        <v>0</v>
      </c>
      <c r="H85" s="503">
        <f t="shared" si="15"/>
        <v>417397.85222692718</v>
      </c>
      <c r="I85" s="506">
        <v>20201.245428571427</v>
      </c>
      <c r="J85" s="348">
        <f>'B) D RI'!U85</f>
        <v>21162.231857142859</v>
      </c>
      <c r="K85" s="62">
        <f t="shared" si="16"/>
        <v>20.661986098965205</v>
      </c>
      <c r="L85" s="33">
        <f>'B) D RI'!S85</f>
        <v>70</v>
      </c>
      <c r="M85" s="442">
        <f t="shared" si="9"/>
        <v>49.338013901034799</v>
      </c>
      <c r="N85" s="437">
        <f>+'J) Plafonnement effort'!H84+'J) Plafonnement effort'!I84-'K) Plafonnement aide'!I84</f>
        <v>19.200396407775006</v>
      </c>
      <c r="O85" s="145">
        <f t="shared" si="10"/>
        <v>68.538410308809802</v>
      </c>
      <c r="P85" s="47">
        <f t="shared" si="11"/>
        <v>0</v>
      </c>
      <c r="Q85" s="55">
        <f t="shared" si="14"/>
        <v>0</v>
      </c>
      <c r="R85" s="145">
        <f t="shared" si="12"/>
        <v>68.538410308809802</v>
      </c>
      <c r="S85" s="125">
        <f t="shared" si="13"/>
        <v>-1.4615896911901984</v>
      </c>
      <c r="T85" s="144">
        <f t="shared" si="17"/>
        <v>0</v>
      </c>
      <c r="V85" s="12"/>
    </row>
    <row r="86" spans="1:22" x14ac:dyDescent="0.25">
      <c r="A86" s="49">
        <f>'A) Base RI'!A86</f>
        <v>5530</v>
      </c>
      <c r="B86" s="344" t="str">
        <f>'A) Base RI'!B86</f>
        <v>Pailly</v>
      </c>
      <c r="C86" s="505">
        <v>259766.22801436196</v>
      </c>
      <c r="D86" s="505">
        <v>71641.699127833475</v>
      </c>
      <c r="E86" s="506">
        <v>0</v>
      </c>
      <c r="F86" s="506">
        <v>0</v>
      </c>
      <c r="G86" s="506">
        <v>0</v>
      </c>
      <c r="H86" s="503">
        <f t="shared" si="15"/>
        <v>331407.9271421954</v>
      </c>
      <c r="I86" s="506">
        <v>18302.009495614031</v>
      </c>
      <c r="J86" s="348">
        <f>'B) D RI'!U86</f>
        <v>19062.750131578941</v>
      </c>
      <c r="K86" s="62">
        <f t="shared" si="16"/>
        <v>18.10773441143801</v>
      </c>
      <c r="L86" s="33">
        <f>'B) D RI'!S86</f>
        <v>76</v>
      </c>
      <c r="M86" s="442">
        <f t="shared" si="9"/>
        <v>57.89226558856199</v>
      </c>
      <c r="N86" s="437">
        <f>+'J) Plafonnement effort'!H85+'J) Plafonnement effort'!I85-'K) Plafonnement aide'!I85</f>
        <v>16.607215276977914</v>
      </c>
      <c r="O86" s="145">
        <f t="shared" si="10"/>
        <v>74.499480865539908</v>
      </c>
      <c r="P86" s="47">
        <f t="shared" si="11"/>
        <v>0</v>
      </c>
      <c r="Q86" s="55">
        <f t="shared" si="14"/>
        <v>0</v>
      </c>
      <c r="R86" s="145">
        <f t="shared" si="12"/>
        <v>74.499480865539908</v>
      </c>
      <c r="S86" s="125">
        <f t="shared" si="13"/>
        <v>-1.5005191344600917</v>
      </c>
      <c r="T86" s="144">
        <f t="shared" si="17"/>
        <v>0</v>
      </c>
      <c r="V86" s="12"/>
    </row>
    <row r="87" spans="1:22" x14ac:dyDescent="0.25">
      <c r="A87" s="49">
        <f>'A) Base RI'!A87</f>
        <v>5531</v>
      </c>
      <c r="B87" s="344" t="str">
        <f>'A) Base RI'!B87</f>
        <v>Penthéréaz</v>
      </c>
      <c r="C87" s="505">
        <v>215030.35177479536</v>
      </c>
      <c r="D87" s="505">
        <v>74048.308781237691</v>
      </c>
      <c r="E87" s="506">
        <v>0</v>
      </c>
      <c r="F87" s="506">
        <v>0</v>
      </c>
      <c r="G87" s="506">
        <v>0</v>
      </c>
      <c r="H87" s="503">
        <f t="shared" si="15"/>
        <v>289078.66055603302</v>
      </c>
      <c r="I87" s="506">
        <v>13843.062702702704</v>
      </c>
      <c r="J87" s="348">
        <f>'B) D RI'!U87</f>
        <v>14300.817432432432</v>
      </c>
      <c r="K87" s="62">
        <f t="shared" si="16"/>
        <v>20.882565279401184</v>
      </c>
      <c r="L87" s="33">
        <f>'B) D RI'!S87</f>
        <v>74</v>
      </c>
      <c r="M87" s="442">
        <f t="shared" si="9"/>
        <v>53.117434720598816</v>
      </c>
      <c r="N87" s="437">
        <f>+'J) Plafonnement effort'!H86+'J) Plafonnement effort'!I86-'K) Plafonnement aide'!I86</f>
        <v>18.349465247950128</v>
      </c>
      <c r="O87" s="145">
        <f t="shared" si="10"/>
        <v>71.466899968548944</v>
      </c>
      <c r="P87" s="47">
        <f t="shared" si="11"/>
        <v>0</v>
      </c>
      <c r="Q87" s="55">
        <f t="shared" si="14"/>
        <v>0</v>
      </c>
      <c r="R87" s="145">
        <f t="shared" si="12"/>
        <v>71.466899968548944</v>
      </c>
      <c r="S87" s="125">
        <f t="shared" si="13"/>
        <v>-2.5331000314510561</v>
      </c>
      <c r="T87" s="144">
        <f t="shared" si="17"/>
        <v>0</v>
      </c>
      <c r="V87" s="12"/>
    </row>
    <row r="88" spans="1:22" x14ac:dyDescent="0.25">
      <c r="A88" s="49">
        <f>'A) Base RI'!A88</f>
        <v>5533</v>
      </c>
      <c r="B88" s="344" t="str">
        <f>'A) Base RI'!B88</f>
        <v>Poliez-Pittet</v>
      </c>
      <c r="C88" s="505">
        <v>537823.50863287784</v>
      </c>
      <c r="D88" s="505">
        <v>145851.34755011683</v>
      </c>
      <c r="E88" s="506">
        <v>0</v>
      </c>
      <c r="F88" s="506">
        <v>0</v>
      </c>
      <c r="G88" s="506">
        <v>0</v>
      </c>
      <c r="H88" s="503">
        <f t="shared" si="15"/>
        <v>683674.85618299467</v>
      </c>
      <c r="I88" s="506">
        <v>27190.167945205478</v>
      </c>
      <c r="J88" s="348">
        <f>'B) D RI'!U88</f>
        <v>27502.031917808214</v>
      </c>
      <c r="K88" s="62">
        <f t="shared" si="16"/>
        <v>25.144193943956463</v>
      </c>
      <c r="L88" s="33">
        <f>'B) D RI'!S88</f>
        <v>73</v>
      </c>
      <c r="M88" s="442">
        <f t="shared" si="9"/>
        <v>47.855806056043534</v>
      </c>
      <c r="N88" s="437">
        <f>+'J) Plafonnement effort'!H87+'J) Plafonnement effort'!I87-'K) Plafonnement aide'!I87</f>
        <v>17.285620997811026</v>
      </c>
      <c r="O88" s="145">
        <f t="shared" si="10"/>
        <v>65.141427053854557</v>
      </c>
      <c r="P88" s="47">
        <f t="shared" si="11"/>
        <v>0</v>
      </c>
      <c r="Q88" s="55">
        <f t="shared" si="14"/>
        <v>0</v>
      </c>
      <c r="R88" s="145">
        <f t="shared" si="12"/>
        <v>65.141427053854557</v>
      </c>
      <c r="S88" s="125">
        <f t="shared" si="13"/>
        <v>-7.8585729461454434</v>
      </c>
      <c r="T88" s="144">
        <f t="shared" si="17"/>
        <v>0</v>
      </c>
      <c r="V88" s="12"/>
    </row>
    <row r="89" spans="1:22" x14ac:dyDescent="0.25">
      <c r="A89" s="49">
        <f>'A) Base RI'!A89</f>
        <v>5534</v>
      </c>
      <c r="B89" s="344" t="str">
        <f>'A) Base RI'!B89</f>
        <v>Rueyres</v>
      </c>
      <c r="C89" s="505">
        <v>157053.35141308949</v>
      </c>
      <c r="D89" s="505">
        <v>88595.441174093794</v>
      </c>
      <c r="E89" s="506">
        <v>0</v>
      </c>
      <c r="F89" s="506">
        <v>0</v>
      </c>
      <c r="G89" s="506">
        <v>0</v>
      </c>
      <c r="H89" s="503">
        <f t="shared" si="15"/>
        <v>245648.7925871833</v>
      </c>
      <c r="I89" s="506">
        <v>9755.351210045661</v>
      </c>
      <c r="J89" s="348">
        <f>'B) D RI'!U89</f>
        <v>13106.991872146118</v>
      </c>
      <c r="K89" s="62">
        <f t="shared" si="16"/>
        <v>25.180927605581665</v>
      </c>
      <c r="L89" s="33">
        <f>'B) D RI'!S89</f>
        <v>73</v>
      </c>
      <c r="M89" s="442">
        <f t="shared" si="9"/>
        <v>47.819072394418335</v>
      </c>
      <c r="N89" s="437">
        <f>+'J) Plafonnement effort'!H88+'J) Plafonnement effort'!I88-'K) Plafonnement aide'!I88</f>
        <v>25.488919326203618</v>
      </c>
      <c r="O89" s="145">
        <f t="shared" si="10"/>
        <v>73.307991720621956</v>
      </c>
      <c r="P89" s="47">
        <f t="shared" si="11"/>
        <v>0</v>
      </c>
      <c r="Q89" s="55">
        <f t="shared" si="14"/>
        <v>0</v>
      </c>
      <c r="R89" s="145">
        <f t="shared" si="12"/>
        <v>73.307991720621956</v>
      </c>
      <c r="S89" s="125">
        <f t="shared" si="13"/>
        <v>0.30799172062195623</v>
      </c>
      <c r="T89" s="144">
        <f t="shared" si="17"/>
        <v>0</v>
      </c>
      <c r="V89" s="12"/>
    </row>
    <row r="90" spans="1:22" x14ac:dyDescent="0.25">
      <c r="A90" s="49">
        <f>'A) Base RI'!A90</f>
        <v>5535</v>
      </c>
      <c r="B90" s="344" t="str">
        <f>'A) Base RI'!B90</f>
        <v>Saint-Barthélemy</v>
      </c>
      <c r="C90" s="505">
        <v>335003.96476661012</v>
      </c>
      <c r="D90" s="505">
        <v>-10643.409605509427</v>
      </c>
      <c r="E90" s="506">
        <v>0</v>
      </c>
      <c r="F90" s="506">
        <v>0</v>
      </c>
      <c r="G90" s="506">
        <v>0</v>
      </c>
      <c r="H90" s="503">
        <f t="shared" si="15"/>
        <v>324360.5551611007</v>
      </c>
      <c r="I90" s="506">
        <v>22496.850133333337</v>
      </c>
      <c r="J90" s="348">
        <f>'B) D RI'!U90</f>
        <v>25080.318533333328</v>
      </c>
      <c r="K90" s="62">
        <f t="shared" si="16"/>
        <v>14.418043114422458</v>
      </c>
      <c r="L90" s="33">
        <f>'B) D RI'!S90</f>
        <v>75</v>
      </c>
      <c r="M90" s="442">
        <f t="shared" si="9"/>
        <v>60.58195688557754</v>
      </c>
      <c r="N90" s="437">
        <f>+'J) Plafonnement effort'!H89+'J) Plafonnement effort'!I89-'K) Plafonnement aide'!I89</f>
        <v>14.345588507733751</v>
      </c>
      <c r="O90" s="145">
        <f t="shared" si="10"/>
        <v>74.927545393311291</v>
      </c>
      <c r="P90" s="47">
        <f t="shared" si="11"/>
        <v>0</v>
      </c>
      <c r="Q90" s="55">
        <f t="shared" si="14"/>
        <v>0</v>
      </c>
      <c r="R90" s="145">
        <f t="shared" si="12"/>
        <v>74.927545393311291</v>
      </c>
      <c r="S90" s="125">
        <f t="shared" si="13"/>
        <v>-7.2454606688708623E-2</v>
      </c>
      <c r="T90" s="144">
        <f t="shared" si="17"/>
        <v>0</v>
      </c>
      <c r="V90" s="12"/>
    </row>
    <row r="91" spans="1:22" x14ac:dyDescent="0.25">
      <c r="A91" s="49">
        <f>'A) Base RI'!A91</f>
        <v>5537</v>
      </c>
      <c r="B91" s="344" t="str">
        <f>'A) Base RI'!B91</f>
        <v>Villars-le-Terroir</v>
      </c>
      <c r="C91" s="505">
        <v>610316.53705385723</v>
      </c>
      <c r="D91" s="505">
        <v>-1624.1171217185911</v>
      </c>
      <c r="E91" s="506">
        <v>0</v>
      </c>
      <c r="F91" s="506">
        <v>0</v>
      </c>
      <c r="G91" s="506">
        <v>0</v>
      </c>
      <c r="H91" s="503">
        <f t="shared" si="15"/>
        <v>608692.41993213864</v>
      </c>
      <c r="I91" s="506">
        <v>37963.269999999997</v>
      </c>
      <c r="J91" s="348">
        <f>'B) D RI'!U91</f>
        <v>42917.816052631584</v>
      </c>
      <c r="K91" s="62">
        <f t="shared" si="16"/>
        <v>16.033719432813314</v>
      </c>
      <c r="L91" s="33">
        <f>'B) D RI'!S91</f>
        <v>76</v>
      </c>
      <c r="M91" s="442">
        <f t="shared" si="9"/>
        <v>59.966280567186686</v>
      </c>
      <c r="N91" s="437">
        <f>+'J) Plafonnement effort'!H90+'J) Plafonnement effort'!I90-'K) Plafonnement aide'!I90</f>
        <v>14.332875660466019</v>
      </c>
      <c r="O91" s="145">
        <f t="shared" si="10"/>
        <v>74.299156227652702</v>
      </c>
      <c r="P91" s="47">
        <f t="shared" si="11"/>
        <v>0</v>
      </c>
      <c r="Q91" s="55">
        <f t="shared" si="14"/>
        <v>0</v>
      </c>
      <c r="R91" s="145">
        <f t="shared" si="12"/>
        <v>74.299156227652702</v>
      </c>
      <c r="S91" s="125">
        <f t="shared" si="13"/>
        <v>-1.700843772347298</v>
      </c>
      <c r="T91" s="144">
        <f t="shared" si="17"/>
        <v>0</v>
      </c>
      <c r="V91" s="12"/>
    </row>
    <row r="92" spans="1:22" x14ac:dyDescent="0.25">
      <c r="A92" s="49">
        <f>'A) Base RI'!A92</f>
        <v>5539</v>
      </c>
      <c r="B92" s="344" t="str">
        <f>'A) Base RI'!B92</f>
        <v>Vuarrens</v>
      </c>
      <c r="C92" s="505">
        <v>652106.91298492998</v>
      </c>
      <c r="D92" s="505">
        <v>217112.04523045663</v>
      </c>
      <c r="E92" s="506">
        <v>0</v>
      </c>
      <c r="F92" s="506">
        <v>0</v>
      </c>
      <c r="G92" s="506">
        <v>0</v>
      </c>
      <c r="H92" s="503">
        <f t="shared" si="15"/>
        <v>869218.95821538661</v>
      </c>
      <c r="I92" s="506">
        <v>35961.61534013605</v>
      </c>
      <c r="J92" s="348">
        <f>'B) D RI'!U92</f>
        <v>34558.047482993185</v>
      </c>
      <c r="K92" s="62">
        <f t="shared" si="16"/>
        <v>24.170742887772022</v>
      </c>
      <c r="L92" s="33">
        <f>'B) D RI'!S92</f>
        <v>73.5</v>
      </c>
      <c r="M92" s="442">
        <f t="shared" si="9"/>
        <v>49.329257112227978</v>
      </c>
      <c r="N92" s="437">
        <f>+'J) Plafonnement effort'!H91+'J) Plafonnement effort'!I91-'K) Plafonnement aide'!I91</f>
        <v>14.815742528928121</v>
      </c>
      <c r="O92" s="145">
        <f t="shared" si="10"/>
        <v>64.144999641156105</v>
      </c>
      <c r="P92" s="47">
        <f t="shared" si="11"/>
        <v>0</v>
      </c>
      <c r="Q92" s="55">
        <f t="shared" si="14"/>
        <v>0</v>
      </c>
      <c r="R92" s="145">
        <f t="shared" si="12"/>
        <v>64.144999641156105</v>
      </c>
      <c r="S92" s="125">
        <f t="shared" si="13"/>
        <v>-9.3550003588438955</v>
      </c>
      <c r="T92" s="144">
        <f t="shared" si="17"/>
        <v>0</v>
      </c>
      <c r="V92" s="12"/>
    </row>
    <row r="93" spans="1:22" x14ac:dyDescent="0.25">
      <c r="A93" s="49">
        <f>'A) Base RI'!A93</f>
        <v>5540</v>
      </c>
      <c r="B93" s="344" t="str">
        <f>'A) Base RI'!B93</f>
        <v>Montilliez</v>
      </c>
      <c r="C93" s="505">
        <v>993758.33727123193</v>
      </c>
      <c r="D93" s="505">
        <v>359092.39427443233</v>
      </c>
      <c r="E93" s="506">
        <v>0</v>
      </c>
      <c r="F93" s="506">
        <v>0</v>
      </c>
      <c r="G93" s="506">
        <v>0</v>
      </c>
      <c r="H93" s="503">
        <f t="shared" si="15"/>
        <v>1352850.7315456644</v>
      </c>
      <c r="I93" s="506">
        <v>66256.548551724132</v>
      </c>
      <c r="J93" s="348">
        <f>'B) D RI'!U93</f>
        <v>63315.990655172413</v>
      </c>
      <c r="K93" s="62">
        <f t="shared" si="16"/>
        <v>20.418370125173997</v>
      </c>
      <c r="L93" s="33">
        <f>'B) D RI'!S93</f>
        <v>72.5</v>
      </c>
      <c r="M93" s="442">
        <f>L93-K93</f>
        <v>52.081629874826007</v>
      </c>
      <c r="N93" s="437">
        <f>+'J) Plafonnement effort'!H92+'J) Plafonnement effort'!I92-'K) Plafonnement aide'!I92</f>
        <v>14.916796276710494</v>
      </c>
      <c r="O93" s="145">
        <f>M93+N93</f>
        <v>66.998426151536506</v>
      </c>
      <c r="P93" s="47">
        <f t="shared" si="11"/>
        <v>0</v>
      </c>
      <c r="Q93" s="55">
        <f>P93*J93</f>
        <v>0</v>
      </c>
      <c r="R93" s="145">
        <f>O93+P93</f>
        <v>66.998426151536506</v>
      </c>
      <c r="S93" s="125">
        <f>R93-L93</f>
        <v>-5.5015738484634937</v>
      </c>
      <c r="T93" s="144">
        <f t="shared" si="17"/>
        <v>0</v>
      </c>
      <c r="V93" s="12"/>
    </row>
    <row r="94" spans="1:22" x14ac:dyDescent="0.25">
      <c r="A94" s="49">
        <f>'A) Base RI'!A94</f>
        <v>5541</v>
      </c>
      <c r="B94" s="344" t="str">
        <f>'A) Base RI'!B94</f>
        <v>Goumoëns</v>
      </c>
      <c r="C94" s="505">
        <v>629833.15751664166</v>
      </c>
      <c r="D94" s="505">
        <v>107911.54124810826</v>
      </c>
      <c r="E94" s="506">
        <v>0</v>
      </c>
      <c r="F94" s="506">
        <v>0</v>
      </c>
      <c r="G94" s="506">
        <v>0</v>
      </c>
      <c r="H94" s="503">
        <f t="shared" si="15"/>
        <v>737744.69876474992</v>
      </c>
      <c r="I94" s="506">
        <v>36998.611258278142</v>
      </c>
      <c r="J94" s="348">
        <f>'B) D RI'!U94</f>
        <v>41279.032715231784</v>
      </c>
      <c r="K94" s="62">
        <f t="shared" si="16"/>
        <v>19.939794324028458</v>
      </c>
      <c r="L94" s="33">
        <f>'B) D RI'!S94</f>
        <v>75.5</v>
      </c>
      <c r="M94" s="442">
        <f>L94-K94</f>
        <v>55.560205675971545</v>
      </c>
      <c r="N94" s="437">
        <f>+'J) Plafonnement effort'!H93+'J) Plafonnement effort'!I93-'K) Plafonnement aide'!I93</f>
        <v>18.197618608731197</v>
      </c>
      <c r="O94" s="145">
        <f>M94+N94</f>
        <v>73.757824284702735</v>
      </c>
      <c r="P94" s="47">
        <f t="shared" si="11"/>
        <v>0</v>
      </c>
      <c r="Q94" s="55">
        <f>P94*J94</f>
        <v>0</v>
      </c>
      <c r="R94" s="145">
        <f>O94+P94</f>
        <v>73.757824284702735</v>
      </c>
      <c r="S94" s="125">
        <f>R94-L94</f>
        <v>-1.7421757152972646</v>
      </c>
      <c r="T94" s="144">
        <f t="shared" si="17"/>
        <v>0</v>
      </c>
      <c r="V94" s="12"/>
    </row>
    <row r="95" spans="1:22" x14ac:dyDescent="0.25">
      <c r="A95" s="49">
        <f>'A) Base RI'!A95</f>
        <v>5551</v>
      </c>
      <c r="B95" s="344" t="str">
        <f>'A) Base RI'!B95</f>
        <v>Bonvillars</v>
      </c>
      <c r="C95" s="505">
        <v>283826.95219651016</v>
      </c>
      <c r="D95" s="505">
        <v>253107.30736272811</v>
      </c>
      <c r="E95" s="506">
        <v>0</v>
      </c>
      <c r="F95" s="506">
        <v>0</v>
      </c>
      <c r="G95" s="506">
        <v>0</v>
      </c>
      <c r="H95" s="503">
        <f t="shared" si="15"/>
        <v>536934.25955923833</v>
      </c>
      <c r="I95" s="506">
        <v>19156.634727272725</v>
      </c>
      <c r="J95" s="348">
        <f>'B) D RI'!U95</f>
        <v>18707.412</v>
      </c>
      <c r="K95" s="62">
        <f t="shared" si="16"/>
        <v>28.028631709243857</v>
      </c>
      <c r="L95" s="33">
        <f>'B) D RI'!S95</f>
        <v>55</v>
      </c>
      <c r="M95" s="442">
        <f>L95-K95</f>
        <v>26.971368290756143</v>
      </c>
      <c r="N95" s="437">
        <f>+'J) Plafonnement effort'!H94+'J) Plafonnement effort'!I94-'K) Plafonnement aide'!I94</f>
        <v>24.83472692530626</v>
      </c>
      <c r="O95" s="145">
        <f>M95+N95</f>
        <v>51.806095216062403</v>
      </c>
      <c r="P95" s="47">
        <f t="shared" si="11"/>
        <v>0</v>
      </c>
      <c r="Q95" s="55">
        <f>P95*J95</f>
        <v>0</v>
      </c>
      <c r="R95" s="145">
        <f>O95+P95</f>
        <v>51.806095216062403</v>
      </c>
      <c r="S95" s="125">
        <f>R95-L95</f>
        <v>-3.1939047839375974</v>
      </c>
      <c r="T95" s="144">
        <f t="shared" si="17"/>
        <v>0</v>
      </c>
      <c r="V95" s="12"/>
    </row>
    <row r="96" spans="1:22" x14ac:dyDescent="0.25">
      <c r="A96" s="49">
        <f>'A) Base RI'!A96</f>
        <v>5552</v>
      </c>
      <c r="B96" s="344" t="str">
        <f>'A) Base RI'!B96</f>
        <v>Bullet</v>
      </c>
      <c r="C96" s="505">
        <v>309337.71490697854</v>
      </c>
      <c r="D96" s="505">
        <v>-34023.53785432328</v>
      </c>
      <c r="E96" s="506">
        <v>0</v>
      </c>
      <c r="F96" s="506">
        <v>0</v>
      </c>
      <c r="G96" s="506">
        <v>0</v>
      </c>
      <c r="H96" s="503">
        <f t="shared" si="15"/>
        <v>275314.17705265526</v>
      </c>
      <c r="I96" s="506">
        <v>17556.417482517485</v>
      </c>
      <c r="J96" s="348">
        <f>'B) D RI'!U96</f>
        <v>19599.59230769231</v>
      </c>
      <c r="K96" s="62">
        <f t="shared" si="16"/>
        <v>15.681683197999279</v>
      </c>
      <c r="L96" s="33">
        <f>'B) D RI'!S96</f>
        <v>71.5</v>
      </c>
      <c r="M96" s="442">
        <f t="shared" si="9"/>
        <v>55.818316802000723</v>
      </c>
      <c r="N96" s="437">
        <f>+'J) Plafonnement effort'!H95+'J) Plafonnement effort'!I95-'K) Plafonnement aide'!I95</f>
        <v>14.088199682740111</v>
      </c>
      <c r="O96" s="145">
        <f t="shared" si="10"/>
        <v>69.906516484740834</v>
      </c>
      <c r="P96" s="47">
        <f t="shared" si="11"/>
        <v>0</v>
      </c>
      <c r="Q96" s="55">
        <f t="shared" si="14"/>
        <v>0</v>
      </c>
      <c r="R96" s="145">
        <f t="shared" si="12"/>
        <v>69.906516484740834</v>
      </c>
      <c r="S96" s="125">
        <f t="shared" si="13"/>
        <v>-1.593483515259166</v>
      </c>
      <c r="T96" s="144">
        <f t="shared" si="17"/>
        <v>0</v>
      </c>
      <c r="V96" s="12"/>
    </row>
    <row r="97" spans="1:22" x14ac:dyDescent="0.25">
      <c r="A97" s="49">
        <f>'A) Base RI'!A97</f>
        <v>5553</v>
      </c>
      <c r="B97" s="344" t="str">
        <f>'A) Base RI'!B97</f>
        <v>Champagne</v>
      </c>
      <c r="C97" s="505">
        <v>679614.08466559683</v>
      </c>
      <c r="D97" s="505">
        <v>385482.5007151505</v>
      </c>
      <c r="E97" s="506">
        <v>0</v>
      </c>
      <c r="F97" s="506">
        <v>0</v>
      </c>
      <c r="G97" s="506">
        <v>0</v>
      </c>
      <c r="H97" s="503">
        <f t="shared" si="15"/>
        <v>1065096.5853807474</v>
      </c>
      <c r="I97" s="506">
        <v>38681.377846153839</v>
      </c>
      <c r="J97" s="348">
        <f>'B) D RI'!U97</f>
        <v>40087.525538461538</v>
      </c>
      <c r="K97" s="62">
        <f t="shared" si="16"/>
        <v>27.535125289924284</v>
      </c>
      <c r="L97" s="33">
        <f>'B) D RI'!S97</f>
        <v>65</v>
      </c>
      <c r="M97" s="442">
        <f t="shared" si="9"/>
        <v>37.464874710075719</v>
      </c>
      <c r="N97" s="437">
        <f>+'J) Plafonnement effort'!H96+'J) Plafonnement effort'!I96-'K) Plafonnement aide'!I96</f>
        <v>21.906770640499175</v>
      </c>
      <c r="O97" s="145">
        <f t="shared" si="10"/>
        <v>59.371645350574894</v>
      </c>
      <c r="P97" s="47">
        <f t="shared" si="11"/>
        <v>0</v>
      </c>
      <c r="Q97" s="55">
        <f t="shared" si="14"/>
        <v>0</v>
      </c>
      <c r="R97" s="145">
        <f t="shared" si="12"/>
        <v>59.371645350574894</v>
      </c>
      <c r="S97" s="125">
        <f t="shared" si="13"/>
        <v>-5.6283546494251055</v>
      </c>
      <c r="T97" s="144">
        <f t="shared" si="17"/>
        <v>0</v>
      </c>
      <c r="V97" s="12"/>
    </row>
    <row r="98" spans="1:22" x14ac:dyDescent="0.25">
      <c r="A98" s="49">
        <f>'A) Base RI'!A98</f>
        <v>5554</v>
      </c>
      <c r="B98" s="344" t="str">
        <f>'A) Base RI'!B98</f>
        <v>Concise</v>
      </c>
      <c r="C98" s="505">
        <v>561418.26002218632</v>
      </c>
      <c r="D98" s="505">
        <v>136597.80138762103</v>
      </c>
      <c r="E98" s="506">
        <v>0</v>
      </c>
      <c r="F98" s="506">
        <v>0</v>
      </c>
      <c r="G98" s="506">
        <v>0</v>
      </c>
      <c r="H98" s="503">
        <f t="shared" si="15"/>
        <v>698016.0614098073</v>
      </c>
      <c r="I98" s="506">
        <v>32327.871066666674</v>
      </c>
      <c r="J98" s="348">
        <f>'B) D RI'!U98</f>
        <v>31501.78373333333</v>
      </c>
      <c r="K98" s="62">
        <f t="shared" si="16"/>
        <v>21.591773240197462</v>
      </c>
      <c r="L98" s="33">
        <f>'B) D RI'!S98</f>
        <v>75</v>
      </c>
      <c r="M98" s="442">
        <f t="shared" si="9"/>
        <v>53.408226759802538</v>
      </c>
      <c r="N98" s="437">
        <f>+'J) Plafonnement effort'!H97+'J) Plafonnement effort'!I97-'K) Plafonnement aide'!I97</f>
        <v>14.784468928395938</v>
      </c>
      <c r="O98" s="145">
        <f t="shared" si="10"/>
        <v>68.192695688198484</v>
      </c>
      <c r="P98" s="47">
        <f t="shared" si="11"/>
        <v>0</v>
      </c>
      <c r="Q98" s="55">
        <f t="shared" si="14"/>
        <v>0</v>
      </c>
      <c r="R98" s="145">
        <f t="shared" si="12"/>
        <v>68.192695688198484</v>
      </c>
      <c r="S98" s="125">
        <f t="shared" si="13"/>
        <v>-6.8073043118015164</v>
      </c>
      <c r="T98" s="144">
        <f t="shared" si="17"/>
        <v>0</v>
      </c>
      <c r="V98" s="12"/>
    </row>
    <row r="99" spans="1:22" x14ac:dyDescent="0.25">
      <c r="A99" s="49">
        <f>'A) Base RI'!A99</f>
        <v>5555</v>
      </c>
      <c r="B99" s="344" t="str">
        <f>'A) Base RI'!B99</f>
        <v>Corcelles-près-Concise</v>
      </c>
      <c r="C99" s="505">
        <v>274855.9507931628</v>
      </c>
      <c r="D99" s="505">
        <v>82916.12391308209</v>
      </c>
      <c r="E99" s="506">
        <v>0</v>
      </c>
      <c r="F99" s="506">
        <v>0</v>
      </c>
      <c r="G99" s="506">
        <v>0</v>
      </c>
      <c r="H99" s="503">
        <f t="shared" si="15"/>
        <v>357772.07470624486</v>
      </c>
      <c r="I99" s="506">
        <v>13599.529565217395</v>
      </c>
      <c r="J99" s="348">
        <f>'B) D RI'!U99</f>
        <v>13878.246956521738</v>
      </c>
      <c r="K99" s="62">
        <f t="shared" si="16"/>
        <v>26.307680202504542</v>
      </c>
      <c r="L99" s="33">
        <f>'B) D RI'!S99</f>
        <v>69</v>
      </c>
      <c r="M99" s="442">
        <f t="shared" si="9"/>
        <v>42.692319797495458</v>
      </c>
      <c r="N99" s="437">
        <f>+'J) Plafonnement effort'!H98+'J) Plafonnement effort'!I98-'K) Plafonnement aide'!I98</f>
        <v>18.598099579780964</v>
      </c>
      <c r="O99" s="145">
        <f t="shared" si="10"/>
        <v>61.290419377276422</v>
      </c>
      <c r="P99" s="47">
        <f t="shared" si="11"/>
        <v>0</v>
      </c>
      <c r="Q99" s="55">
        <f t="shared" si="14"/>
        <v>0</v>
      </c>
      <c r="R99" s="145">
        <f t="shared" si="12"/>
        <v>61.290419377276422</v>
      </c>
      <c r="S99" s="125">
        <f t="shared" si="13"/>
        <v>-7.7095806227235784</v>
      </c>
      <c r="T99" s="144">
        <f t="shared" si="17"/>
        <v>0</v>
      </c>
      <c r="V99" s="12"/>
    </row>
    <row r="100" spans="1:22" x14ac:dyDescent="0.25">
      <c r="A100" s="49">
        <f>'A) Base RI'!A100</f>
        <v>5556</v>
      </c>
      <c r="B100" s="344" t="str">
        <f>'A) Base RI'!B100</f>
        <v>Fiez</v>
      </c>
      <c r="C100" s="505">
        <v>232031.13950293619</v>
      </c>
      <c r="D100" s="505">
        <v>57804.823815376585</v>
      </c>
      <c r="E100" s="506">
        <v>0</v>
      </c>
      <c r="F100" s="506">
        <v>0</v>
      </c>
      <c r="G100" s="506">
        <v>0</v>
      </c>
      <c r="H100" s="503">
        <f t="shared" si="15"/>
        <v>289835.96331831277</v>
      </c>
      <c r="I100" s="506">
        <v>13816.427753623188</v>
      </c>
      <c r="J100" s="348">
        <f>'B) D RI'!U100</f>
        <v>14577.66780193237</v>
      </c>
      <c r="K100" s="62">
        <f t="shared" si="16"/>
        <v>20.977633907021072</v>
      </c>
      <c r="L100" s="33">
        <f>'B) D RI'!S100</f>
        <v>69</v>
      </c>
      <c r="M100" s="442">
        <f t="shared" si="9"/>
        <v>48.022366092978928</v>
      </c>
      <c r="N100" s="437">
        <f>+'J) Plafonnement effort'!H99+'J) Plafonnement effort'!I99-'K) Plafonnement aide'!I99</f>
        <v>18.312122746163539</v>
      </c>
      <c r="O100" s="145">
        <f t="shared" si="10"/>
        <v>66.334488839142466</v>
      </c>
      <c r="P100" s="47">
        <f t="shared" si="11"/>
        <v>0</v>
      </c>
      <c r="Q100" s="55">
        <f t="shared" si="14"/>
        <v>0</v>
      </c>
      <c r="R100" s="145">
        <f t="shared" si="12"/>
        <v>66.334488839142466</v>
      </c>
      <c r="S100" s="125">
        <f t="shared" si="13"/>
        <v>-2.6655111608575339</v>
      </c>
      <c r="T100" s="144">
        <f t="shared" si="17"/>
        <v>0</v>
      </c>
      <c r="V100" s="12"/>
    </row>
    <row r="101" spans="1:22" x14ac:dyDescent="0.25">
      <c r="A101" s="49">
        <f>'A) Base RI'!A101</f>
        <v>5557</v>
      </c>
      <c r="B101" s="344" t="str">
        <f>'A) Base RI'!B101</f>
        <v>Fontaines-sur-Grandson</v>
      </c>
      <c r="C101" s="505">
        <v>111900.11122831932</v>
      </c>
      <c r="D101" s="505">
        <v>-3643.4536940019898</v>
      </c>
      <c r="E101" s="506">
        <v>0</v>
      </c>
      <c r="F101" s="506">
        <v>0</v>
      </c>
      <c r="G101" s="506">
        <v>0</v>
      </c>
      <c r="H101" s="503">
        <f t="shared" si="15"/>
        <v>108256.65753431733</v>
      </c>
      <c r="I101" s="506">
        <v>5880.3275362318818</v>
      </c>
      <c r="J101" s="348">
        <f>'B) D RI'!U101</f>
        <v>4232.7450724637674</v>
      </c>
      <c r="K101" s="62">
        <f t="shared" si="16"/>
        <v>18.409970680593801</v>
      </c>
      <c r="L101" s="33">
        <f>'B) D RI'!S101</f>
        <v>69</v>
      </c>
      <c r="M101" s="442">
        <f t="shared" si="9"/>
        <v>50.590029319406199</v>
      </c>
      <c r="N101" s="437">
        <f>+'J) Plafonnement effort'!H100+'J) Plafonnement effort'!I100-'K) Plafonnement aide'!I100</f>
        <v>-4.3453943224660803</v>
      </c>
      <c r="O101" s="145">
        <f t="shared" si="10"/>
        <v>46.244634996940121</v>
      </c>
      <c r="P101" s="47">
        <f t="shared" si="11"/>
        <v>0</v>
      </c>
      <c r="Q101" s="55">
        <f t="shared" si="14"/>
        <v>0</v>
      </c>
      <c r="R101" s="145">
        <f t="shared" si="12"/>
        <v>46.244634996940121</v>
      </c>
      <c r="S101" s="125">
        <f t="shared" si="13"/>
        <v>-22.755365003059879</v>
      </c>
      <c r="T101" s="144">
        <f t="shared" si="17"/>
        <v>0</v>
      </c>
      <c r="V101" s="12"/>
    </row>
    <row r="102" spans="1:22" x14ac:dyDescent="0.25">
      <c r="A102" s="49">
        <f>'A) Base RI'!A102</f>
        <v>5559</v>
      </c>
      <c r="B102" s="344" t="str">
        <f>'A) Base RI'!B102</f>
        <v>Giez</v>
      </c>
      <c r="C102" s="505">
        <v>288310.3121703472</v>
      </c>
      <c r="D102" s="505">
        <v>219286.19522557009</v>
      </c>
      <c r="E102" s="506">
        <v>0</v>
      </c>
      <c r="F102" s="506">
        <v>0</v>
      </c>
      <c r="G102" s="506">
        <v>0</v>
      </c>
      <c r="H102" s="503">
        <f t="shared" si="15"/>
        <v>507596.50739591732</v>
      </c>
      <c r="I102" s="506">
        <v>16897.618636363641</v>
      </c>
      <c r="J102" s="348">
        <f>'B) D RI'!U102</f>
        <v>23436.990303030303</v>
      </c>
      <c r="K102" s="62">
        <f t="shared" si="16"/>
        <v>30.039529138358624</v>
      </c>
      <c r="L102" s="33">
        <f>'B) D RI'!S102</f>
        <v>66</v>
      </c>
      <c r="M102" s="442">
        <f t="shared" si="9"/>
        <v>35.960470861641376</v>
      </c>
      <c r="N102" s="437">
        <f>+'J) Plafonnement effort'!H101+'J) Plafonnement effort'!I101-'K) Plafonnement aide'!I101</f>
        <v>29.765498188468698</v>
      </c>
      <c r="O102" s="145">
        <f t="shared" si="10"/>
        <v>65.725969050110081</v>
      </c>
      <c r="P102" s="47">
        <f t="shared" si="11"/>
        <v>0</v>
      </c>
      <c r="Q102" s="55">
        <f t="shared" si="14"/>
        <v>0</v>
      </c>
      <c r="R102" s="145">
        <f t="shared" si="12"/>
        <v>65.725969050110081</v>
      </c>
      <c r="S102" s="125">
        <f t="shared" si="13"/>
        <v>-0.27403094988991938</v>
      </c>
      <c r="T102" s="144">
        <f t="shared" si="17"/>
        <v>0</v>
      </c>
      <c r="V102" s="12"/>
    </row>
    <row r="103" spans="1:22" x14ac:dyDescent="0.25">
      <c r="A103" s="49">
        <f>'A) Base RI'!A103</f>
        <v>5560</v>
      </c>
      <c r="B103" s="344" t="str">
        <f>'A) Base RI'!B103</f>
        <v>Grandevent</v>
      </c>
      <c r="C103" s="505">
        <v>97393.130952909181</v>
      </c>
      <c r="D103" s="505">
        <v>2645.2588149289077</v>
      </c>
      <c r="E103" s="506">
        <v>0</v>
      </c>
      <c r="F103" s="506">
        <v>0</v>
      </c>
      <c r="G103" s="506">
        <v>0</v>
      </c>
      <c r="H103" s="503">
        <f t="shared" si="15"/>
        <v>100038.38976783809</v>
      </c>
      <c r="I103" s="506">
        <v>6167.8957352941179</v>
      </c>
      <c r="J103" s="348">
        <f>'B) D RI'!U103</f>
        <v>7003.7466176470589</v>
      </c>
      <c r="K103" s="62">
        <f t="shared" si="16"/>
        <v>16.219208958963982</v>
      </c>
      <c r="L103" s="33">
        <f>'B) D RI'!S103</f>
        <v>68</v>
      </c>
      <c r="M103" s="442">
        <f t="shared" si="9"/>
        <v>51.780791041036018</v>
      </c>
      <c r="N103" s="437">
        <f>+'J) Plafonnement effort'!H102+'J) Plafonnement effort'!I102-'K) Plafonnement aide'!I102</f>
        <v>14.834737354595802</v>
      </c>
      <c r="O103" s="145">
        <f t="shared" si="10"/>
        <v>66.615528395631827</v>
      </c>
      <c r="P103" s="47">
        <f t="shared" si="11"/>
        <v>0</v>
      </c>
      <c r="Q103" s="55">
        <f t="shared" si="14"/>
        <v>0</v>
      </c>
      <c r="R103" s="145">
        <f t="shared" si="12"/>
        <v>66.615528395631827</v>
      </c>
      <c r="S103" s="125">
        <f t="shared" si="13"/>
        <v>-1.3844716043681728</v>
      </c>
      <c r="T103" s="144">
        <f t="shared" si="17"/>
        <v>0</v>
      </c>
      <c r="V103" s="12"/>
    </row>
    <row r="104" spans="1:22" x14ac:dyDescent="0.25">
      <c r="A104" s="49">
        <f>'A) Base RI'!A104</f>
        <v>5561</v>
      </c>
      <c r="B104" s="344" t="str">
        <f>'A) Base RI'!B104</f>
        <v>Grandson</v>
      </c>
      <c r="C104" s="505">
        <v>2005411.8275763905</v>
      </c>
      <c r="D104" s="505">
        <v>308291.27032172401</v>
      </c>
      <c r="E104" s="506">
        <v>0</v>
      </c>
      <c r="F104" s="506">
        <v>0</v>
      </c>
      <c r="G104" s="506">
        <v>0</v>
      </c>
      <c r="H104" s="503">
        <f t="shared" si="15"/>
        <v>2313703.0978981145</v>
      </c>
      <c r="I104" s="506">
        <v>114753.11985507245</v>
      </c>
      <c r="J104" s="348">
        <f>'B) D RI'!U104</f>
        <v>114506.05043478261</v>
      </c>
      <c r="K104" s="62">
        <f t="shared" si="16"/>
        <v>20.162441777793997</v>
      </c>
      <c r="L104" s="33">
        <f>'B) D RI'!S104</f>
        <v>69</v>
      </c>
      <c r="M104" s="442">
        <f t="shared" si="9"/>
        <v>48.837558222205999</v>
      </c>
      <c r="N104" s="437">
        <f>+'J) Plafonnement effort'!H103+'J) Plafonnement effort'!I103-'K) Plafonnement aide'!I103</f>
        <v>14.161199931952545</v>
      </c>
      <c r="O104" s="145">
        <f t="shared" si="10"/>
        <v>62.998758154158544</v>
      </c>
      <c r="P104" s="47">
        <f t="shared" si="11"/>
        <v>0</v>
      </c>
      <c r="Q104" s="55">
        <f t="shared" si="14"/>
        <v>0</v>
      </c>
      <c r="R104" s="145">
        <f t="shared" si="12"/>
        <v>62.998758154158544</v>
      </c>
      <c r="S104" s="125">
        <f t="shared" si="13"/>
        <v>-6.0012418458414558</v>
      </c>
      <c r="T104" s="144">
        <f t="shared" si="17"/>
        <v>0</v>
      </c>
      <c r="V104" s="12"/>
    </row>
    <row r="105" spans="1:22" x14ac:dyDescent="0.25">
      <c r="A105" s="49">
        <f>'A) Base RI'!A105</f>
        <v>5562</v>
      </c>
      <c r="B105" s="344" t="str">
        <f>'A) Base RI'!B105</f>
        <v>Mauborget</v>
      </c>
      <c r="C105" s="505">
        <v>94257.011713431872</v>
      </c>
      <c r="D105" s="505">
        <v>97298.546512379544</v>
      </c>
      <c r="E105" s="506">
        <v>0</v>
      </c>
      <c r="F105" s="506">
        <v>0</v>
      </c>
      <c r="G105" s="506">
        <v>0</v>
      </c>
      <c r="H105" s="503">
        <f t="shared" si="15"/>
        <v>191555.5582258114</v>
      </c>
      <c r="I105" s="506">
        <v>6037.1574285714287</v>
      </c>
      <c r="J105" s="348">
        <f>'B) D RI'!U105</f>
        <v>6099.4916904761894</v>
      </c>
      <c r="K105" s="62">
        <f t="shared" si="16"/>
        <v>31.729429038781774</v>
      </c>
      <c r="L105" s="33">
        <f>'B) D RI'!S105</f>
        <v>70</v>
      </c>
      <c r="M105" s="442">
        <f t="shared" si="9"/>
        <v>38.270570961218226</v>
      </c>
      <c r="N105" s="437">
        <f>+'J) Plafonnement effort'!H104+'J) Plafonnement effort'!I104-'K) Plafonnement aide'!I104</f>
        <v>26.486583768319722</v>
      </c>
      <c r="O105" s="145">
        <f t="shared" si="10"/>
        <v>64.757154729537945</v>
      </c>
      <c r="P105" s="47">
        <f t="shared" si="11"/>
        <v>0</v>
      </c>
      <c r="Q105" s="55">
        <f t="shared" si="14"/>
        <v>0</v>
      </c>
      <c r="R105" s="145">
        <f t="shared" si="12"/>
        <v>64.757154729537945</v>
      </c>
      <c r="S105" s="125">
        <f t="shared" si="13"/>
        <v>-5.2428452704620554</v>
      </c>
      <c r="T105" s="144">
        <f t="shared" si="17"/>
        <v>0</v>
      </c>
      <c r="V105" s="12"/>
    </row>
    <row r="106" spans="1:22" x14ac:dyDescent="0.25">
      <c r="A106" s="49">
        <f>'A) Base RI'!A106</f>
        <v>5563</v>
      </c>
      <c r="B106" s="344" t="str">
        <f>'A) Base RI'!B106</f>
        <v>Mutrux</v>
      </c>
      <c r="C106" s="505">
        <v>66849.467838452983</v>
      </c>
      <c r="D106" s="505">
        <v>-20101.52177160501</v>
      </c>
      <c r="E106" s="506">
        <v>0</v>
      </c>
      <c r="F106" s="506">
        <v>0</v>
      </c>
      <c r="G106" s="506">
        <v>0</v>
      </c>
      <c r="H106" s="503">
        <f t="shared" si="15"/>
        <v>46747.946066847973</v>
      </c>
      <c r="I106" s="506">
        <v>4073.5824999999995</v>
      </c>
      <c r="J106" s="348">
        <f>'B) D RI'!U106</f>
        <v>4282.2314999999999</v>
      </c>
      <c r="K106" s="62">
        <f t="shared" si="16"/>
        <v>11.475880522082953</v>
      </c>
      <c r="L106" s="33">
        <f>'B) D RI'!S106</f>
        <v>80</v>
      </c>
      <c r="M106" s="442">
        <f t="shared" si="9"/>
        <v>68.524119477917054</v>
      </c>
      <c r="N106" s="437">
        <f>+'J) Plafonnement effort'!H105+'J) Plafonnement effort'!I105-'K) Plafonnement aide'!I105</f>
        <v>8.5063808734433994</v>
      </c>
      <c r="O106" s="145">
        <f t="shared" si="10"/>
        <v>77.030500351360459</v>
      </c>
      <c r="P106" s="47">
        <f t="shared" si="11"/>
        <v>0</v>
      </c>
      <c r="Q106" s="55">
        <f t="shared" si="14"/>
        <v>0</v>
      </c>
      <c r="R106" s="145">
        <f t="shared" si="12"/>
        <v>77.030500351360459</v>
      </c>
      <c r="S106" s="125">
        <f t="shared" si="13"/>
        <v>-2.9694996486395411</v>
      </c>
      <c r="T106" s="144">
        <f t="shared" si="17"/>
        <v>0</v>
      </c>
      <c r="V106" s="12"/>
    </row>
    <row r="107" spans="1:22" x14ac:dyDescent="0.25">
      <c r="A107" s="49">
        <f>'A) Base RI'!A107</f>
        <v>5564</v>
      </c>
      <c r="B107" s="344" t="str">
        <f>'A) Base RI'!B107</f>
        <v>Novalles</v>
      </c>
      <c r="C107" s="505">
        <v>41678.590340022987</v>
      </c>
      <c r="D107" s="505">
        <v>-34235.440749052483</v>
      </c>
      <c r="E107" s="506">
        <v>0</v>
      </c>
      <c r="F107" s="506">
        <v>0</v>
      </c>
      <c r="G107" s="506">
        <v>0</v>
      </c>
      <c r="H107" s="503">
        <f t="shared" si="15"/>
        <v>7443.1495909705045</v>
      </c>
      <c r="I107" s="506">
        <v>2091.5044407894734</v>
      </c>
      <c r="J107" s="348">
        <f>'B) D RI'!U107</f>
        <v>2099.5480592105264</v>
      </c>
      <c r="K107" s="62">
        <f t="shared" si="16"/>
        <v>3.5587539026027422</v>
      </c>
      <c r="L107" s="33">
        <f>'B) D RI'!S107</f>
        <v>76</v>
      </c>
      <c r="M107" s="442">
        <f t="shared" si="9"/>
        <v>72.441246097397254</v>
      </c>
      <c r="N107" s="437">
        <f>+'J) Plafonnement effort'!H106+'J) Plafonnement effort'!I106-'K) Plafonnement aide'!I106</f>
        <v>-6.8738673070889256</v>
      </c>
      <c r="O107" s="145">
        <f t="shared" si="10"/>
        <v>65.567378790308325</v>
      </c>
      <c r="P107" s="47">
        <f t="shared" si="11"/>
        <v>0</v>
      </c>
      <c r="Q107" s="55">
        <f t="shared" si="14"/>
        <v>0</v>
      </c>
      <c r="R107" s="145">
        <f t="shared" si="12"/>
        <v>65.567378790308325</v>
      </c>
      <c r="S107" s="125">
        <f t="shared" si="13"/>
        <v>-10.432621209691675</v>
      </c>
      <c r="T107" s="144">
        <f t="shared" si="17"/>
        <v>0</v>
      </c>
      <c r="V107" s="12"/>
    </row>
    <row r="108" spans="1:22" x14ac:dyDescent="0.25">
      <c r="A108" s="49">
        <f>'A) Base RI'!A108</f>
        <v>5565</v>
      </c>
      <c r="B108" s="344" t="str">
        <f>'A) Base RI'!B108</f>
        <v>Onnens</v>
      </c>
      <c r="C108" s="505">
        <v>298806.96311218344</v>
      </c>
      <c r="D108" s="505">
        <v>239752.1284530595</v>
      </c>
      <c r="E108" s="506">
        <v>0</v>
      </c>
      <c r="F108" s="506">
        <v>0</v>
      </c>
      <c r="G108" s="506">
        <v>0</v>
      </c>
      <c r="H108" s="503">
        <f t="shared" si="15"/>
        <v>538559.09156524297</v>
      </c>
      <c r="I108" s="506">
        <v>19690.582047244097</v>
      </c>
      <c r="J108" s="348">
        <f>'B) D RI'!U108</f>
        <v>22703.427716535429</v>
      </c>
      <c r="K108" s="62">
        <f t="shared" si="16"/>
        <v>27.351100656804604</v>
      </c>
      <c r="L108" s="33">
        <f>'B) D RI'!S108</f>
        <v>63.5</v>
      </c>
      <c r="M108" s="442">
        <f t="shared" si="9"/>
        <v>36.148899343195396</v>
      </c>
      <c r="N108" s="437">
        <f>+'J) Plafonnement effort'!H107+'J) Plafonnement effort'!I107-'K) Plafonnement aide'!I107</f>
        <v>27.386332917104362</v>
      </c>
      <c r="O108" s="145">
        <f t="shared" si="10"/>
        <v>63.535232260299757</v>
      </c>
      <c r="P108" s="47">
        <f t="shared" si="11"/>
        <v>0</v>
      </c>
      <c r="Q108" s="55">
        <f t="shared" si="14"/>
        <v>0</v>
      </c>
      <c r="R108" s="145">
        <f t="shared" si="12"/>
        <v>63.535232260299757</v>
      </c>
      <c r="S108" s="125">
        <f t="shared" si="13"/>
        <v>3.5232260299757456E-2</v>
      </c>
      <c r="T108" s="144">
        <f t="shared" si="17"/>
        <v>0</v>
      </c>
      <c r="V108" s="12"/>
    </row>
    <row r="109" spans="1:22" x14ac:dyDescent="0.25">
      <c r="A109" s="49">
        <f>'A) Base RI'!A109</f>
        <v>5566</v>
      </c>
      <c r="B109" s="344" t="str">
        <f>'A) Base RI'!B109</f>
        <v>Provence</v>
      </c>
      <c r="C109" s="505">
        <v>180201.27519057295</v>
      </c>
      <c r="D109" s="505">
        <v>-200003.0434161913</v>
      </c>
      <c r="E109" s="506">
        <v>0</v>
      </c>
      <c r="F109" s="506">
        <v>0</v>
      </c>
      <c r="G109" s="506">
        <v>0</v>
      </c>
      <c r="H109" s="503">
        <f t="shared" si="15"/>
        <v>-19801.768225618347</v>
      </c>
      <c r="I109" s="506">
        <v>7598.735102880657</v>
      </c>
      <c r="J109" s="348">
        <f>'B) D RI'!U109</f>
        <v>9377.8413580246925</v>
      </c>
      <c r="K109" s="62">
        <f t="shared" si="16"/>
        <v>-2.6059295339972515</v>
      </c>
      <c r="L109" s="33">
        <f>'B) D RI'!S109</f>
        <v>81</v>
      </c>
      <c r="M109" s="442">
        <f t="shared" si="9"/>
        <v>83.605929533997255</v>
      </c>
      <c r="N109" s="437">
        <f>+'J) Plafonnement effort'!H108+'J) Plafonnement effort'!I108-'K) Plafonnement aide'!I108</f>
        <v>-2.7042533080129907</v>
      </c>
      <c r="O109" s="145">
        <f t="shared" si="10"/>
        <v>80.901676225984261</v>
      </c>
      <c r="P109" s="47">
        <f t="shared" si="11"/>
        <v>0</v>
      </c>
      <c r="Q109" s="55">
        <f t="shared" si="14"/>
        <v>0</v>
      </c>
      <c r="R109" s="145">
        <f t="shared" si="12"/>
        <v>80.901676225984261</v>
      </c>
      <c r="S109" s="125">
        <f t="shared" si="13"/>
        <v>-9.8323774015739218E-2</v>
      </c>
      <c r="T109" s="144">
        <f t="shared" si="17"/>
        <v>0</v>
      </c>
      <c r="V109" s="12"/>
    </row>
    <row r="110" spans="1:22" x14ac:dyDescent="0.25">
      <c r="A110" s="49">
        <f>'A) Base RI'!A110</f>
        <v>5568</v>
      </c>
      <c r="B110" s="344" t="str">
        <f>'A) Base RI'!B110</f>
        <v>Sainte-Croix</v>
      </c>
      <c r="C110" s="505">
        <v>2494518.6654816028</v>
      </c>
      <c r="D110" s="505">
        <v>-2290102.687568591</v>
      </c>
      <c r="E110" s="506">
        <v>0</v>
      </c>
      <c r="F110" s="506">
        <v>0</v>
      </c>
      <c r="G110" s="506">
        <v>0</v>
      </c>
      <c r="H110" s="503">
        <f t="shared" si="15"/>
        <v>204415.9779130118</v>
      </c>
      <c r="I110" s="506">
        <v>106515.47628571428</v>
      </c>
      <c r="J110" s="348">
        <f>'B) D RI'!U110</f>
        <v>109171.87199999999</v>
      </c>
      <c r="K110" s="62">
        <f t="shared" si="16"/>
        <v>1.9191199724319103</v>
      </c>
      <c r="L110" s="33">
        <f>'B) D RI'!S110</f>
        <v>70</v>
      </c>
      <c r="M110" s="442">
        <f t="shared" si="9"/>
        <v>68.080880027568085</v>
      </c>
      <c r="N110" s="437">
        <f>+'J) Plafonnement effort'!H109+'J) Plafonnement effort'!I109-'K) Plafonnement aide'!I109</f>
        <v>-8.8401073619552051</v>
      </c>
      <c r="O110" s="145">
        <f t="shared" si="10"/>
        <v>59.24077266561288</v>
      </c>
      <c r="P110" s="47">
        <f t="shared" si="11"/>
        <v>0</v>
      </c>
      <c r="Q110" s="55">
        <f t="shared" si="14"/>
        <v>0</v>
      </c>
      <c r="R110" s="145">
        <f t="shared" si="12"/>
        <v>59.24077266561288</v>
      </c>
      <c r="S110" s="125">
        <f t="shared" si="13"/>
        <v>-10.75922733438712</v>
      </c>
      <c r="T110" s="144">
        <f t="shared" si="17"/>
        <v>0</v>
      </c>
      <c r="V110" s="12"/>
    </row>
    <row r="111" spans="1:22" x14ac:dyDescent="0.25">
      <c r="A111" s="49">
        <f>'A) Base RI'!A111</f>
        <v>5571</v>
      </c>
      <c r="B111" s="344" t="str">
        <f>'A) Base RI'!B111</f>
        <v>Tévenon</v>
      </c>
      <c r="C111" s="505">
        <v>364138.83593013941</v>
      </c>
      <c r="D111" s="505">
        <v>-145859.03233219893</v>
      </c>
      <c r="E111" s="506">
        <v>0</v>
      </c>
      <c r="F111" s="506">
        <v>0</v>
      </c>
      <c r="G111" s="506">
        <v>0</v>
      </c>
      <c r="H111" s="503">
        <f t="shared" si="15"/>
        <v>218279.80359794048</v>
      </c>
      <c r="I111" s="506">
        <v>21380.087226107229</v>
      </c>
      <c r="J111" s="348">
        <f>'B) D RI'!U111</f>
        <v>25325.239790209791</v>
      </c>
      <c r="K111" s="62">
        <f t="shared" si="16"/>
        <v>10.209490788765303</v>
      </c>
      <c r="L111" s="33">
        <f>'B) D RI'!S111</f>
        <v>71.5</v>
      </c>
      <c r="M111" s="442">
        <f t="shared" si="9"/>
        <v>61.290509211234699</v>
      </c>
      <c r="N111" s="437">
        <f>+'J) Plafonnement effort'!H110+'J) Plafonnement effort'!I110-'K) Plafonnement aide'!I110</f>
        <v>12.589183833953062</v>
      </c>
      <c r="O111" s="145">
        <f t="shared" si="10"/>
        <v>73.879693045187764</v>
      </c>
      <c r="P111" s="47">
        <f t="shared" si="11"/>
        <v>0</v>
      </c>
      <c r="Q111" s="55">
        <f t="shared" si="14"/>
        <v>0</v>
      </c>
      <c r="R111" s="145">
        <f t="shared" si="12"/>
        <v>73.879693045187764</v>
      </c>
      <c r="S111" s="125">
        <f t="shared" si="13"/>
        <v>2.3796930451877643</v>
      </c>
      <c r="T111" s="144">
        <f t="shared" si="17"/>
        <v>0</v>
      </c>
      <c r="V111" s="12"/>
    </row>
    <row r="112" spans="1:22" x14ac:dyDescent="0.25">
      <c r="A112" s="49">
        <f>'A) Base RI'!A112</f>
        <v>5581</v>
      </c>
      <c r="B112" s="344" t="str">
        <f>'A) Base RI'!B112</f>
        <v>Belmont-sur-Lausanne</v>
      </c>
      <c r="C112" s="505">
        <v>4139273.2512621372</v>
      </c>
      <c r="D112" s="505">
        <v>2877999.7886336609</v>
      </c>
      <c r="E112" s="506">
        <v>0</v>
      </c>
      <c r="F112" s="506">
        <v>0</v>
      </c>
      <c r="G112" s="506">
        <v>0</v>
      </c>
      <c r="H112" s="503">
        <f t="shared" si="15"/>
        <v>7017273.0398957981</v>
      </c>
      <c r="I112" s="506">
        <v>212445.65069444443</v>
      </c>
      <c r="J112" s="348">
        <f>'B) D RI'!U112</f>
        <v>215435.94296296299</v>
      </c>
      <c r="K112" s="62">
        <f t="shared" si="16"/>
        <v>33.030909397098348</v>
      </c>
      <c r="L112" s="33">
        <f>'B) D RI'!S112</f>
        <v>72</v>
      </c>
      <c r="M112" s="442">
        <f t="shared" si="9"/>
        <v>38.969090602901652</v>
      </c>
      <c r="N112" s="437">
        <f>+'J) Plafonnement effort'!H111+'J) Plafonnement effort'!I111-'K) Plafonnement aide'!I111</f>
        <v>27.036890284317767</v>
      </c>
      <c r="O112" s="145">
        <f t="shared" si="10"/>
        <v>66.005980887219422</v>
      </c>
      <c r="P112" s="47">
        <f t="shared" si="11"/>
        <v>0</v>
      </c>
      <c r="Q112" s="55">
        <f t="shared" si="14"/>
        <v>0</v>
      </c>
      <c r="R112" s="145">
        <f t="shared" si="12"/>
        <v>66.005980887219422</v>
      </c>
      <c r="S112" s="125">
        <f t="shared" si="13"/>
        <v>-5.9940191127805775</v>
      </c>
      <c r="T112" s="144">
        <f t="shared" si="17"/>
        <v>0</v>
      </c>
      <c r="V112" s="12"/>
    </row>
    <row r="113" spans="1:22" x14ac:dyDescent="0.25">
      <c r="A113" s="49">
        <f>'A) Base RI'!A113</f>
        <v>5582</v>
      </c>
      <c r="B113" s="344" t="str">
        <f>'A) Base RI'!B113</f>
        <v>Cheseaux-sur-Lausanne</v>
      </c>
      <c r="C113" s="505">
        <v>2653387.5565293743</v>
      </c>
      <c r="D113" s="505">
        <v>646545.33138061594</v>
      </c>
      <c r="E113" s="506">
        <v>0</v>
      </c>
      <c r="F113" s="506">
        <v>0</v>
      </c>
      <c r="G113" s="506">
        <v>0</v>
      </c>
      <c r="H113" s="503">
        <f t="shared" si="15"/>
        <v>3299932.8879099903</v>
      </c>
      <c r="I113" s="506">
        <v>163780.29383561644</v>
      </c>
      <c r="J113" s="348">
        <f>'B) D RI'!U113</f>
        <v>167506.84698630136</v>
      </c>
      <c r="K113" s="62">
        <f t="shared" si="16"/>
        <v>20.148534421498095</v>
      </c>
      <c r="L113" s="33">
        <f>'B) D RI'!S113</f>
        <v>73</v>
      </c>
      <c r="M113" s="442">
        <f t="shared" si="9"/>
        <v>52.851465578501902</v>
      </c>
      <c r="N113" s="437">
        <f>+'J) Plafonnement effort'!H112+'J) Plafonnement effort'!I112-'K) Plafonnement aide'!I112</f>
        <v>15.678228554063267</v>
      </c>
      <c r="O113" s="145">
        <f t="shared" si="10"/>
        <v>68.529694132565169</v>
      </c>
      <c r="P113" s="47">
        <f t="shared" si="11"/>
        <v>0</v>
      </c>
      <c r="Q113" s="55">
        <f t="shared" si="14"/>
        <v>0</v>
      </c>
      <c r="R113" s="145">
        <f t="shared" si="12"/>
        <v>68.529694132565169</v>
      </c>
      <c r="S113" s="125">
        <f t="shared" si="13"/>
        <v>-4.4703058674348313</v>
      </c>
      <c r="T113" s="144">
        <f t="shared" si="17"/>
        <v>0</v>
      </c>
      <c r="V113" s="12"/>
    </row>
    <row r="114" spans="1:22" x14ac:dyDescent="0.25">
      <c r="A114" s="49">
        <f>'A) Base RI'!A114</f>
        <v>5583</v>
      </c>
      <c r="B114" s="344" t="str">
        <f>'A) Base RI'!B114</f>
        <v>Crissier</v>
      </c>
      <c r="C114" s="505">
        <v>6417084.6823815387</v>
      </c>
      <c r="D114" s="505">
        <v>2217048.6353091607</v>
      </c>
      <c r="E114" s="506">
        <v>0</v>
      </c>
      <c r="F114" s="506">
        <v>0</v>
      </c>
      <c r="G114" s="506">
        <v>0</v>
      </c>
      <c r="H114" s="503">
        <f t="shared" si="15"/>
        <v>8634133.3176907003</v>
      </c>
      <c r="I114" s="506">
        <v>368095.30976377946</v>
      </c>
      <c r="J114" s="348">
        <f>'B) D RI'!U114</f>
        <v>337550.36173228343</v>
      </c>
      <c r="K114" s="62">
        <f t="shared" si="16"/>
        <v>23.45624377347146</v>
      </c>
      <c r="L114" s="33">
        <f>'B) D RI'!S114</f>
        <v>63.5</v>
      </c>
      <c r="M114" s="442">
        <f t="shared" si="9"/>
        <v>40.043756226528544</v>
      </c>
      <c r="N114" s="437">
        <f>+'J) Plafonnement effort'!H113+'J) Plafonnement effort'!I113-'K) Plafonnement aide'!I113</f>
        <v>13.928027705914149</v>
      </c>
      <c r="O114" s="145">
        <f t="shared" si="10"/>
        <v>53.97178393244269</v>
      </c>
      <c r="P114" s="47">
        <f t="shared" si="11"/>
        <v>0</v>
      </c>
      <c r="Q114" s="55">
        <f t="shared" si="14"/>
        <v>0</v>
      </c>
      <c r="R114" s="145">
        <f t="shared" si="12"/>
        <v>53.97178393244269</v>
      </c>
      <c r="S114" s="125">
        <f t="shared" si="13"/>
        <v>-9.5282160675573095</v>
      </c>
      <c r="T114" s="144">
        <f t="shared" si="17"/>
        <v>0</v>
      </c>
      <c r="V114" s="12"/>
    </row>
    <row r="115" spans="1:22" x14ac:dyDescent="0.25">
      <c r="A115" s="49">
        <f>'A) Base RI'!A115</f>
        <v>5584</v>
      </c>
      <c r="B115" s="344" t="str">
        <f>'A) Base RI'!B115</f>
        <v>Epalinges</v>
      </c>
      <c r="C115" s="505">
        <v>8533969.7987963576</v>
      </c>
      <c r="D115" s="505">
        <v>4411709.440325371</v>
      </c>
      <c r="E115" s="506">
        <v>0</v>
      </c>
      <c r="F115" s="506">
        <v>0</v>
      </c>
      <c r="G115" s="506">
        <v>0</v>
      </c>
      <c r="H115" s="503">
        <f t="shared" si="15"/>
        <v>12945679.239121728</v>
      </c>
      <c r="I115" s="506">
        <v>482115.91751937981</v>
      </c>
      <c r="J115" s="348">
        <f>'B) D RI'!U115</f>
        <v>516766.84201550385</v>
      </c>
      <c r="K115" s="62">
        <f t="shared" si="16"/>
        <v>26.851798019303821</v>
      </c>
      <c r="L115" s="33">
        <f>'B) D RI'!S115</f>
        <v>64.5</v>
      </c>
      <c r="M115" s="442">
        <f t="shared" ref="M115:M166" si="18">L115-K115</f>
        <v>37.648201980696179</v>
      </c>
      <c r="N115" s="437">
        <f>+'J) Plafonnement effort'!H114+'J) Plafonnement effort'!I114-'K) Plafonnement aide'!I114</f>
        <v>22.549463761895883</v>
      </c>
      <c r="O115" s="145">
        <f t="shared" ref="O115:O166" si="19">M115+N115</f>
        <v>60.197665742592065</v>
      </c>
      <c r="P115" s="47">
        <f t="shared" ref="P115:P166" si="20">IF(O115&gt;$P$6,$P$6-O115,0)</f>
        <v>0</v>
      </c>
      <c r="Q115" s="55">
        <f t="shared" si="14"/>
        <v>0</v>
      </c>
      <c r="R115" s="145">
        <f t="shared" ref="R115:R166" si="21">O115+P115</f>
        <v>60.197665742592065</v>
      </c>
      <c r="S115" s="125">
        <f t="shared" ref="S115:S166" si="22">R115-L115</f>
        <v>-4.3023342574079351</v>
      </c>
      <c r="T115" s="144">
        <f t="shared" si="17"/>
        <v>0</v>
      </c>
      <c r="V115" s="12"/>
    </row>
    <row r="116" spans="1:22" x14ac:dyDescent="0.25">
      <c r="A116" s="49">
        <f>'A) Base RI'!A116</f>
        <v>5585</v>
      </c>
      <c r="B116" s="344" t="str">
        <f>'A) Base RI'!B116</f>
        <v>Jouxtens-Mézery</v>
      </c>
      <c r="C116" s="505">
        <v>6571005.0075512184</v>
      </c>
      <c r="D116" s="505">
        <v>3613802.0785479639</v>
      </c>
      <c r="E116" s="506">
        <v>0</v>
      </c>
      <c r="F116" s="506">
        <v>0</v>
      </c>
      <c r="G116" s="506">
        <v>0</v>
      </c>
      <c r="H116" s="503">
        <f t="shared" si="15"/>
        <v>10184807.086099181</v>
      </c>
      <c r="I116" s="506">
        <v>202487.97135593221</v>
      </c>
      <c r="J116" s="348">
        <f>'B) D RI'!U116</f>
        <v>191744.87050847456</v>
      </c>
      <c r="K116" s="62">
        <f t="shared" si="16"/>
        <v>50.298331391726897</v>
      </c>
      <c r="L116" s="33">
        <f>'B) D RI'!S116</f>
        <v>59</v>
      </c>
      <c r="M116" s="442">
        <f t="shared" si="18"/>
        <v>8.7016686082731027</v>
      </c>
      <c r="N116" s="437">
        <f>+'J) Plafonnement effort'!H115+'J) Plafonnement effort'!I115-'K) Plafonnement aide'!I115</f>
        <v>44.441492225230853</v>
      </c>
      <c r="O116" s="145">
        <f t="shared" si="19"/>
        <v>53.143160833503956</v>
      </c>
      <c r="P116" s="47">
        <f t="shared" si="20"/>
        <v>0</v>
      </c>
      <c r="Q116" s="55">
        <f t="shared" si="14"/>
        <v>0</v>
      </c>
      <c r="R116" s="145">
        <f t="shared" si="21"/>
        <v>53.143160833503956</v>
      </c>
      <c r="S116" s="125">
        <f t="shared" si="22"/>
        <v>-5.8568391664960444</v>
      </c>
      <c r="T116" s="144">
        <f t="shared" si="17"/>
        <v>0</v>
      </c>
      <c r="V116" s="12"/>
    </row>
    <row r="117" spans="1:22" x14ac:dyDescent="0.25">
      <c r="A117" s="49">
        <f>'A) Base RI'!A117</f>
        <v>5586</v>
      </c>
      <c r="B117" s="344" t="str">
        <f>'A) Base RI'!B117</f>
        <v>Lausanne</v>
      </c>
      <c r="C117" s="505">
        <v>107364096.49879466</v>
      </c>
      <c r="D117" s="505">
        <v>-32299256.32060793</v>
      </c>
      <c r="E117" s="506">
        <v>0</v>
      </c>
      <c r="F117" s="506">
        <v>0</v>
      </c>
      <c r="G117" s="506">
        <v>0</v>
      </c>
      <c r="H117" s="503">
        <f t="shared" si="15"/>
        <v>75064840.17818673</v>
      </c>
      <c r="I117" s="506">
        <v>6272364.2800849257</v>
      </c>
      <c r="J117" s="348">
        <f>'B) D RI'!U117</f>
        <v>6461491.7137154993</v>
      </c>
      <c r="K117" s="62">
        <f t="shared" si="16"/>
        <v>11.967551122073921</v>
      </c>
      <c r="L117" s="33">
        <f>'B) D RI'!S117</f>
        <v>78.5</v>
      </c>
      <c r="M117" s="442">
        <f t="shared" si="18"/>
        <v>66.532448877926072</v>
      </c>
      <c r="N117" s="437">
        <f>+'J) Plafonnement effort'!H116+'J) Plafonnement effort'!I116-'K) Plafonnement aide'!I116</f>
        <v>7.7260355617679659</v>
      </c>
      <c r="O117" s="145">
        <f t="shared" si="19"/>
        <v>74.258484439694044</v>
      </c>
      <c r="P117" s="47">
        <f t="shared" si="20"/>
        <v>0</v>
      </c>
      <c r="Q117" s="55">
        <f t="shared" si="14"/>
        <v>0</v>
      </c>
      <c r="R117" s="145">
        <f t="shared" si="21"/>
        <v>74.258484439694044</v>
      </c>
      <c r="S117" s="125">
        <f t="shared" si="22"/>
        <v>-4.241515560305956</v>
      </c>
      <c r="T117" s="144">
        <f t="shared" si="17"/>
        <v>0</v>
      </c>
      <c r="V117" s="12"/>
    </row>
    <row r="118" spans="1:22" x14ac:dyDescent="0.25">
      <c r="A118" s="49">
        <f>'A) Base RI'!A118</f>
        <v>5587</v>
      </c>
      <c r="B118" s="344" t="str">
        <f>'A) Base RI'!B118</f>
        <v>Le Mont-sur-Lausanne</v>
      </c>
      <c r="C118" s="505">
        <v>7766573.4011063259</v>
      </c>
      <c r="D118" s="505">
        <v>4181336.9048212208</v>
      </c>
      <c r="E118" s="506">
        <v>0</v>
      </c>
      <c r="F118" s="506">
        <v>0</v>
      </c>
      <c r="G118" s="506">
        <v>0</v>
      </c>
      <c r="H118" s="503">
        <f t="shared" si="15"/>
        <v>11947910.305927547</v>
      </c>
      <c r="I118" s="506">
        <v>442860.74013605446</v>
      </c>
      <c r="J118" s="348">
        <f>'B) D RI'!U118</f>
        <v>495058.05378684809</v>
      </c>
      <c r="K118" s="62">
        <f t="shared" si="16"/>
        <v>26.978933156858616</v>
      </c>
      <c r="L118" s="33">
        <f>'B) D RI'!S118</f>
        <v>73.5</v>
      </c>
      <c r="M118" s="442">
        <f t="shared" si="18"/>
        <v>46.521066843141384</v>
      </c>
      <c r="N118" s="437">
        <f>+'J) Plafonnement effort'!H117+'J) Plafonnement effort'!I117-'K) Plafonnement aide'!I117</f>
        <v>23.563433213737866</v>
      </c>
      <c r="O118" s="145">
        <f t="shared" si="19"/>
        <v>70.08450005687925</v>
      </c>
      <c r="P118" s="47">
        <f t="shared" si="20"/>
        <v>0</v>
      </c>
      <c r="Q118" s="55">
        <f t="shared" ref="Q118:Q167" si="23">P118*J118</f>
        <v>0</v>
      </c>
      <c r="R118" s="145">
        <f t="shared" si="21"/>
        <v>70.08450005687925</v>
      </c>
      <c r="S118" s="125">
        <f t="shared" si="22"/>
        <v>-3.41549994312075</v>
      </c>
      <c r="T118" s="144">
        <f t="shared" si="17"/>
        <v>0</v>
      </c>
      <c r="V118" s="12"/>
    </row>
    <row r="119" spans="1:22" x14ac:dyDescent="0.25">
      <c r="A119" s="49">
        <f>'A) Base RI'!A119</f>
        <v>5588</v>
      </c>
      <c r="B119" s="344" t="str">
        <f>'A) Base RI'!B119</f>
        <v>Paudex</v>
      </c>
      <c r="C119" s="505">
        <v>3390338.4250188731</v>
      </c>
      <c r="D119" s="505">
        <v>2284964.15709583</v>
      </c>
      <c r="E119" s="506">
        <v>0</v>
      </c>
      <c r="F119" s="506">
        <v>0</v>
      </c>
      <c r="G119" s="506">
        <v>0</v>
      </c>
      <c r="H119" s="503">
        <f t="shared" si="15"/>
        <v>5675302.582114703</v>
      </c>
      <c r="I119" s="506">
        <v>135448.58760472611</v>
      </c>
      <c r="J119" s="348">
        <f>'B) D RI'!U119</f>
        <v>215756.29785177234</v>
      </c>
      <c r="K119" s="62">
        <f t="shared" si="16"/>
        <v>41.900049919137572</v>
      </c>
      <c r="L119" s="33">
        <f>'B) D RI'!S119</f>
        <v>66.5</v>
      </c>
      <c r="M119" s="442">
        <f t="shared" si="18"/>
        <v>24.599950080862428</v>
      </c>
      <c r="N119" s="437">
        <f>+'J) Plafonnement effort'!H118+'J) Plafonnement effort'!I118-'K) Plafonnement aide'!I118</f>
        <v>47.345014841534208</v>
      </c>
      <c r="O119" s="145">
        <f t="shared" si="19"/>
        <v>71.944964922396636</v>
      </c>
      <c r="P119" s="47">
        <f t="shared" si="20"/>
        <v>0</v>
      </c>
      <c r="Q119" s="55">
        <f t="shared" si="23"/>
        <v>0</v>
      </c>
      <c r="R119" s="145">
        <f t="shared" si="21"/>
        <v>71.944964922396636</v>
      </c>
      <c r="S119" s="125">
        <f t="shared" si="22"/>
        <v>5.4449649223966361</v>
      </c>
      <c r="T119" s="144">
        <f t="shared" si="17"/>
        <v>0</v>
      </c>
      <c r="V119" s="12"/>
    </row>
    <row r="120" spans="1:22" x14ac:dyDescent="0.25">
      <c r="A120" s="49">
        <f>'A) Base RI'!A120</f>
        <v>5589</v>
      </c>
      <c r="B120" s="344" t="str">
        <f>'A) Base RI'!B120</f>
        <v>Prilly</v>
      </c>
      <c r="C120" s="505">
        <v>7469125.6772778761</v>
      </c>
      <c r="D120" s="505">
        <v>-1363655.1455510445</v>
      </c>
      <c r="E120" s="506">
        <v>0</v>
      </c>
      <c r="F120" s="506">
        <v>0</v>
      </c>
      <c r="G120" s="506">
        <v>0</v>
      </c>
      <c r="H120" s="503">
        <f t="shared" si="15"/>
        <v>6105470.5317268316</v>
      </c>
      <c r="I120" s="506">
        <v>455017.22467904515</v>
      </c>
      <c r="J120" s="348">
        <f>'B) D RI'!U120</f>
        <v>419549.81642440322</v>
      </c>
      <c r="K120" s="62">
        <f t="shared" si="16"/>
        <v>13.418108591457035</v>
      </c>
      <c r="L120" s="33">
        <f>'B) D RI'!S120</f>
        <v>72.5</v>
      </c>
      <c r="M120" s="442">
        <f t="shared" si="18"/>
        <v>59.081891408542965</v>
      </c>
      <c r="N120" s="437">
        <f>+'J) Plafonnement effort'!H119+'J) Plafonnement effort'!I119-'K) Plafonnement aide'!I119</f>
        <v>5.1619000214668702</v>
      </c>
      <c r="O120" s="145">
        <f t="shared" si="19"/>
        <v>64.243791430009836</v>
      </c>
      <c r="P120" s="47">
        <f t="shared" si="20"/>
        <v>0</v>
      </c>
      <c r="Q120" s="55">
        <f t="shared" si="23"/>
        <v>0</v>
      </c>
      <c r="R120" s="145">
        <f t="shared" si="21"/>
        <v>64.243791430009836</v>
      </c>
      <c r="S120" s="125">
        <f t="shared" si="22"/>
        <v>-8.2562085699901644</v>
      </c>
      <c r="T120" s="144">
        <f t="shared" si="17"/>
        <v>0</v>
      </c>
      <c r="V120" s="12"/>
    </row>
    <row r="121" spans="1:22" x14ac:dyDescent="0.25">
      <c r="A121" s="49">
        <f>'A) Base RI'!A121</f>
        <v>5590</v>
      </c>
      <c r="B121" s="344" t="str">
        <f>'A) Base RI'!B121</f>
        <v>Pully</v>
      </c>
      <c r="C121" s="505">
        <v>34786079.014439844</v>
      </c>
      <c r="D121" s="505">
        <v>14805667.362316988</v>
      </c>
      <c r="E121" s="506">
        <v>0</v>
      </c>
      <c r="F121" s="506">
        <v>0</v>
      </c>
      <c r="G121" s="506">
        <v>0</v>
      </c>
      <c r="H121" s="503">
        <f t="shared" si="15"/>
        <v>49591746.376756832</v>
      </c>
      <c r="I121" s="506">
        <v>1478979.5848477751</v>
      </c>
      <c r="J121" s="348">
        <f>'B) D RI'!U121</f>
        <v>1603030.9692740045</v>
      </c>
      <c r="K121" s="62">
        <f t="shared" si="16"/>
        <v>33.531055387665205</v>
      </c>
      <c r="L121" s="33">
        <f>'B) D RI'!S121</f>
        <v>61</v>
      </c>
      <c r="M121" s="442">
        <f t="shared" si="18"/>
        <v>27.468944612334795</v>
      </c>
      <c r="N121" s="437">
        <f>+'J) Plafonnement effort'!H120+'J) Plafonnement effort'!I120-'K) Plafonnement aide'!I120</f>
        <v>30.331938208166097</v>
      </c>
      <c r="O121" s="145">
        <f t="shared" si="19"/>
        <v>57.800882820500888</v>
      </c>
      <c r="P121" s="47">
        <f t="shared" si="20"/>
        <v>0</v>
      </c>
      <c r="Q121" s="55">
        <f t="shared" si="23"/>
        <v>0</v>
      </c>
      <c r="R121" s="145">
        <f t="shared" si="21"/>
        <v>57.800882820500888</v>
      </c>
      <c r="S121" s="125">
        <f t="shared" si="22"/>
        <v>-3.1991171794991118</v>
      </c>
      <c r="T121" s="144">
        <f t="shared" si="17"/>
        <v>0</v>
      </c>
      <c r="V121" s="12"/>
    </row>
    <row r="122" spans="1:22" x14ac:dyDescent="0.25">
      <c r="A122" s="49">
        <f>'A) Base RI'!A122</f>
        <v>5591</v>
      </c>
      <c r="B122" s="344" t="str">
        <f>'A) Base RI'!B122</f>
        <v>Renens</v>
      </c>
      <c r="C122" s="505">
        <v>10966024.251762632</v>
      </c>
      <c r="D122" s="505">
        <v>-14077044.167692883</v>
      </c>
      <c r="E122" s="506">
        <v>0</v>
      </c>
      <c r="F122" s="506">
        <v>0</v>
      </c>
      <c r="G122" s="506">
        <v>0</v>
      </c>
      <c r="H122" s="503">
        <f t="shared" si="15"/>
        <v>-3111019.9159302507</v>
      </c>
      <c r="I122" s="506">
        <v>596748.60283858993</v>
      </c>
      <c r="J122" s="348">
        <f>'B) D RI'!U122</f>
        <v>569784.47115027823</v>
      </c>
      <c r="K122" s="62">
        <f t="shared" si="16"/>
        <v>-5.2132839543014855</v>
      </c>
      <c r="L122" s="33">
        <f>'B) D RI'!S122</f>
        <v>77</v>
      </c>
      <c r="M122" s="442">
        <f t="shared" si="18"/>
        <v>82.213283954301488</v>
      </c>
      <c r="N122" s="437">
        <f>+'J) Plafonnement effort'!H121+'J) Plafonnement effort'!I121-'K) Plafonnement aide'!I121</f>
        <v>-13.479344029326089</v>
      </c>
      <c r="O122" s="145">
        <f t="shared" si="19"/>
        <v>68.733939924975402</v>
      </c>
      <c r="P122" s="47">
        <f t="shared" si="20"/>
        <v>0</v>
      </c>
      <c r="Q122" s="55">
        <f t="shared" si="23"/>
        <v>0</v>
      </c>
      <c r="R122" s="145">
        <f t="shared" si="21"/>
        <v>68.733939924975402</v>
      </c>
      <c r="S122" s="125">
        <f t="shared" si="22"/>
        <v>-8.2660600750245976</v>
      </c>
      <c r="T122" s="144">
        <f t="shared" si="17"/>
        <v>0</v>
      </c>
      <c r="V122" s="12"/>
    </row>
    <row r="123" spans="1:22" x14ac:dyDescent="0.25">
      <c r="A123" s="49">
        <f>'A) Base RI'!A123</f>
        <v>5592</v>
      </c>
      <c r="B123" s="344" t="str">
        <f>'A) Base RI'!B123</f>
        <v>Romanel-sur-Lausanne</v>
      </c>
      <c r="C123" s="505">
        <v>1911741.5611728155</v>
      </c>
      <c r="D123" s="505">
        <v>683387.13372994866</v>
      </c>
      <c r="E123" s="506">
        <v>0</v>
      </c>
      <c r="F123" s="506">
        <v>0</v>
      </c>
      <c r="G123" s="506">
        <v>0</v>
      </c>
      <c r="H123" s="503">
        <f t="shared" si="15"/>
        <v>2595128.6949027642</v>
      </c>
      <c r="I123" s="506">
        <v>121292.24695035459</v>
      </c>
      <c r="J123" s="348">
        <f>'B) D RI'!U123</f>
        <v>121086.56368794327</v>
      </c>
      <c r="K123" s="62">
        <f t="shared" si="16"/>
        <v>21.395668397213889</v>
      </c>
      <c r="L123" s="33">
        <f>'B) D RI'!S123</f>
        <v>70.5</v>
      </c>
      <c r="M123" s="442">
        <f t="shared" si="18"/>
        <v>49.104331602786111</v>
      </c>
      <c r="N123" s="437">
        <f>+'J) Plafonnement effort'!H122+'J) Plafonnement effort'!I122-'K) Plafonnement aide'!I122</f>
        <v>14.421656514855744</v>
      </c>
      <c r="O123" s="145">
        <f t="shared" si="19"/>
        <v>63.525988117641859</v>
      </c>
      <c r="P123" s="47">
        <f t="shared" si="20"/>
        <v>0</v>
      </c>
      <c r="Q123" s="55">
        <f t="shared" si="23"/>
        <v>0</v>
      </c>
      <c r="R123" s="145">
        <f t="shared" si="21"/>
        <v>63.525988117641859</v>
      </c>
      <c r="S123" s="125">
        <f t="shared" si="22"/>
        <v>-6.9740118823581412</v>
      </c>
      <c r="T123" s="144">
        <f t="shared" si="17"/>
        <v>0</v>
      </c>
      <c r="V123" s="12"/>
    </row>
    <row r="124" spans="1:22" x14ac:dyDescent="0.25">
      <c r="A124" s="49">
        <f>'A) Base RI'!A124</f>
        <v>5601</v>
      </c>
      <c r="B124" s="344" t="str">
        <f>'A) Base RI'!B124</f>
        <v>Chexbres</v>
      </c>
      <c r="C124" s="505">
        <v>2171734.0412939899</v>
      </c>
      <c r="D124" s="505">
        <v>1131808.4984345841</v>
      </c>
      <c r="E124" s="506">
        <v>0</v>
      </c>
      <c r="F124" s="506">
        <v>0</v>
      </c>
      <c r="G124" s="506">
        <v>0</v>
      </c>
      <c r="H124" s="503">
        <f t="shared" si="15"/>
        <v>3303542.539728574</v>
      </c>
      <c r="I124" s="506">
        <v>98072.029481481484</v>
      </c>
      <c r="J124" s="348">
        <f>'B) D RI'!U124</f>
        <v>105973.06044444445</v>
      </c>
      <c r="K124" s="62">
        <f t="shared" si="16"/>
        <v>33.684859558783451</v>
      </c>
      <c r="L124" s="33">
        <f>'B) D RI'!S124</f>
        <v>67.5</v>
      </c>
      <c r="M124" s="442">
        <f t="shared" si="18"/>
        <v>33.815140441216549</v>
      </c>
      <c r="N124" s="437">
        <f>+'J) Plafonnement effort'!H123+'J) Plafonnement effort'!I123-'K) Plafonnement aide'!I123</f>
        <v>25.439636878950154</v>
      </c>
      <c r="O124" s="145">
        <f t="shared" si="19"/>
        <v>59.254777320166703</v>
      </c>
      <c r="P124" s="47">
        <f t="shared" si="20"/>
        <v>0</v>
      </c>
      <c r="Q124" s="55">
        <f t="shared" si="23"/>
        <v>0</v>
      </c>
      <c r="R124" s="145">
        <f t="shared" si="21"/>
        <v>59.254777320166703</v>
      </c>
      <c r="S124" s="125">
        <f t="shared" si="22"/>
        <v>-8.2452226798332973</v>
      </c>
      <c r="T124" s="144">
        <f t="shared" si="17"/>
        <v>0</v>
      </c>
      <c r="V124" s="12"/>
    </row>
    <row r="125" spans="1:22" x14ac:dyDescent="0.25">
      <c r="A125" s="49">
        <f>'A) Base RI'!A125</f>
        <v>5604</v>
      </c>
      <c r="B125" s="344" t="str">
        <f>'A) Base RI'!B125</f>
        <v>Forel (Lavaux)</v>
      </c>
      <c r="C125" s="505">
        <v>1152458.5534235996</v>
      </c>
      <c r="D125" s="505">
        <v>284260.88359808759</v>
      </c>
      <c r="E125" s="506">
        <v>0</v>
      </c>
      <c r="F125" s="506">
        <v>0</v>
      </c>
      <c r="G125" s="506">
        <v>0</v>
      </c>
      <c r="H125" s="503">
        <f t="shared" si="15"/>
        <v>1436719.4370216872</v>
      </c>
      <c r="I125" s="506">
        <v>71309.914782608685</v>
      </c>
      <c r="J125" s="348">
        <f>'B) D RI'!U125</f>
        <v>75818.919130434777</v>
      </c>
      <c r="K125" s="62">
        <f t="shared" si="16"/>
        <v>20.147541073377912</v>
      </c>
      <c r="L125" s="33">
        <f>'B) D RI'!S125</f>
        <v>69</v>
      </c>
      <c r="M125" s="442">
        <f t="shared" si="18"/>
        <v>48.852458926622091</v>
      </c>
      <c r="N125" s="437">
        <f>+'J) Plafonnement effort'!H124+'J) Plafonnement effort'!I124-'K) Plafonnement aide'!I124</f>
        <v>17.630873149139738</v>
      </c>
      <c r="O125" s="145">
        <f t="shared" si="19"/>
        <v>66.483332075761837</v>
      </c>
      <c r="P125" s="47">
        <f t="shared" si="20"/>
        <v>0</v>
      </c>
      <c r="Q125" s="55">
        <f t="shared" si="23"/>
        <v>0</v>
      </c>
      <c r="R125" s="145">
        <f t="shared" si="21"/>
        <v>66.483332075761837</v>
      </c>
      <c r="S125" s="125">
        <f t="shared" si="22"/>
        <v>-2.5166679242381633</v>
      </c>
      <c r="T125" s="144">
        <f t="shared" si="17"/>
        <v>0</v>
      </c>
      <c r="V125" s="12"/>
    </row>
    <row r="126" spans="1:22" x14ac:dyDescent="0.25">
      <c r="A126" s="49">
        <f>'A) Base RI'!A126</f>
        <v>5606</v>
      </c>
      <c r="B126" s="344" t="str">
        <f>'A) Base RI'!B126</f>
        <v>Lutry</v>
      </c>
      <c r="C126" s="505">
        <v>20758556.112360306</v>
      </c>
      <c r="D126" s="505">
        <v>11355160.700088335</v>
      </c>
      <c r="E126" s="506">
        <v>0</v>
      </c>
      <c r="F126" s="506">
        <v>0</v>
      </c>
      <c r="G126" s="506">
        <v>0</v>
      </c>
      <c r="H126" s="503">
        <f t="shared" si="15"/>
        <v>32113716.812448643</v>
      </c>
      <c r="I126" s="506">
        <v>875230.37264550268</v>
      </c>
      <c r="J126" s="348">
        <f>'B) D RI'!U126</f>
        <v>941137.19529100519</v>
      </c>
      <c r="K126" s="62">
        <f t="shared" si="16"/>
        <v>36.691730333101411</v>
      </c>
      <c r="L126" s="33">
        <f>'B) D RI'!S126</f>
        <v>54</v>
      </c>
      <c r="M126" s="442">
        <f t="shared" si="18"/>
        <v>17.308269666898589</v>
      </c>
      <c r="N126" s="437">
        <f>+'J) Plafonnement effort'!H125+'J) Plafonnement effort'!I125-'K) Plafonnement aide'!I125</f>
        <v>32.611219606242862</v>
      </c>
      <c r="O126" s="145">
        <f t="shared" si="19"/>
        <v>49.919489273141451</v>
      </c>
      <c r="P126" s="47">
        <f t="shared" si="20"/>
        <v>0</v>
      </c>
      <c r="Q126" s="55">
        <f t="shared" si="23"/>
        <v>0</v>
      </c>
      <c r="R126" s="145">
        <f t="shared" si="21"/>
        <v>49.919489273141451</v>
      </c>
      <c r="S126" s="125">
        <f t="shared" si="22"/>
        <v>-4.0805107268585488</v>
      </c>
      <c r="T126" s="144">
        <f t="shared" si="17"/>
        <v>0</v>
      </c>
      <c r="V126" s="12"/>
    </row>
    <row r="127" spans="1:22" x14ac:dyDescent="0.25">
      <c r="A127" s="49">
        <f>'A) Base RI'!A127</f>
        <v>5607</v>
      </c>
      <c r="B127" s="344" t="str">
        <f>'A) Base RI'!B127</f>
        <v>Puidoux</v>
      </c>
      <c r="C127" s="505">
        <v>2036400.0670641251</v>
      </c>
      <c r="D127" s="505">
        <v>504958.71324683819</v>
      </c>
      <c r="E127" s="506">
        <v>0</v>
      </c>
      <c r="F127" s="506">
        <v>0</v>
      </c>
      <c r="G127" s="506">
        <v>0</v>
      </c>
      <c r="H127" s="503">
        <f t="shared" si="15"/>
        <v>2541358.7803109633</v>
      </c>
      <c r="I127" s="506">
        <v>102944.97501110758</v>
      </c>
      <c r="J127" s="348">
        <f>'B) D RI'!U127</f>
        <v>111580.38136464616</v>
      </c>
      <c r="K127" s="62">
        <f t="shared" si="16"/>
        <v>24.686574357191841</v>
      </c>
      <c r="L127" s="33">
        <f>'B) D RI'!S127</f>
        <v>68.5</v>
      </c>
      <c r="M127" s="442">
        <f t="shared" si="18"/>
        <v>43.813425642808156</v>
      </c>
      <c r="N127" s="437">
        <f>+'J) Plafonnement effort'!H126+'J) Plafonnement effort'!I126-'K) Plafonnement aide'!I126</f>
        <v>18.81959295978568</v>
      </c>
      <c r="O127" s="145">
        <f t="shared" si="19"/>
        <v>62.633018602593836</v>
      </c>
      <c r="P127" s="47">
        <f t="shared" si="20"/>
        <v>0</v>
      </c>
      <c r="Q127" s="55">
        <f t="shared" si="23"/>
        <v>0</v>
      </c>
      <c r="R127" s="145">
        <f t="shared" si="21"/>
        <v>62.633018602593836</v>
      </c>
      <c r="S127" s="125">
        <f t="shared" si="22"/>
        <v>-5.866981397406164</v>
      </c>
      <c r="T127" s="144">
        <f t="shared" si="17"/>
        <v>0</v>
      </c>
      <c r="V127" s="12"/>
    </row>
    <row r="128" spans="1:22" x14ac:dyDescent="0.25">
      <c r="A128" s="49">
        <f>'A) Base RI'!A128</f>
        <v>5609</v>
      </c>
      <c r="B128" s="344" t="str">
        <f>'A) Base RI'!B128</f>
        <v>Rivaz</v>
      </c>
      <c r="C128" s="505">
        <v>249547.53413099426</v>
      </c>
      <c r="D128" s="505">
        <v>262933.78183587058</v>
      </c>
      <c r="E128" s="506">
        <v>0</v>
      </c>
      <c r="F128" s="506">
        <v>0</v>
      </c>
      <c r="G128" s="506">
        <v>0</v>
      </c>
      <c r="H128" s="503">
        <f t="shared" si="15"/>
        <v>512481.31596686481</v>
      </c>
      <c r="I128" s="506">
        <v>16048.850483870969</v>
      </c>
      <c r="J128" s="348">
        <f>'B) D RI'!U128</f>
        <v>14896.510161290325</v>
      </c>
      <c r="K128" s="62">
        <f t="shared" si="16"/>
        <v>31.932587102229316</v>
      </c>
      <c r="L128" s="33">
        <f>'B) D RI'!S128</f>
        <v>62</v>
      </c>
      <c r="M128" s="442">
        <f t="shared" si="18"/>
        <v>30.067412897770684</v>
      </c>
      <c r="N128" s="437">
        <f>+'J) Plafonnement effort'!H127+'J) Plafonnement effort'!I127-'K) Plafonnement aide'!I127</f>
        <v>27.065963702865858</v>
      </c>
      <c r="O128" s="145">
        <f t="shared" si="19"/>
        <v>57.133376600636538</v>
      </c>
      <c r="P128" s="47">
        <f t="shared" si="20"/>
        <v>0</v>
      </c>
      <c r="Q128" s="55">
        <f t="shared" si="23"/>
        <v>0</v>
      </c>
      <c r="R128" s="145">
        <f t="shared" si="21"/>
        <v>57.133376600636538</v>
      </c>
      <c r="S128" s="125">
        <f t="shared" si="22"/>
        <v>-4.866623399363462</v>
      </c>
      <c r="T128" s="144">
        <f t="shared" si="17"/>
        <v>0</v>
      </c>
      <c r="V128" s="12"/>
    </row>
    <row r="129" spans="1:22" x14ac:dyDescent="0.25">
      <c r="A129" s="49">
        <f>'A) Base RI'!A129</f>
        <v>5610</v>
      </c>
      <c r="B129" s="344" t="str">
        <f>'A) Base RI'!B129</f>
        <v>St-Saphorin (Lavaux)</v>
      </c>
      <c r="C129" s="505">
        <v>331053.79376717017</v>
      </c>
      <c r="D129" s="505">
        <v>320102.97933975811</v>
      </c>
      <c r="E129" s="506">
        <v>0</v>
      </c>
      <c r="F129" s="506">
        <v>0</v>
      </c>
      <c r="G129" s="506">
        <v>0</v>
      </c>
      <c r="H129" s="503">
        <f t="shared" si="15"/>
        <v>651156.77310692822</v>
      </c>
      <c r="I129" s="506">
        <v>19213.723703703701</v>
      </c>
      <c r="J129" s="348">
        <f>'B) D RI'!U129</f>
        <v>23448.462152777778</v>
      </c>
      <c r="K129" s="62">
        <f t="shared" si="16"/>
        <v>33.890191362614893</v>
      </c>
      <c r="L129" s="33">
        <f>'B) D RI'!S129</f>
        <v>72</v>
      </c>
      <c r="M129" s="442">
        <f t="shared" si="18"/>
        <v>38.109808637385107</v>
      </c>
      <c r="N129" s="437">
        <f>+'J) Plafonnement effort'!H128+'J) Plafonnement effort'!I128-'K) Plafonnement aide'!I128</f>
        <v>31.656569910776319</v>
      </c>
      <c r="O129" s="145">
        <f t="shared" si="19"/>
        <v>69.766378548161427</v>
      </c>
      <c r="P129" s="47">
        <f t="shared" si="20"/>
        <v>0</v>
      </c>
      <c r="Q129" s="55">
        <f t="shared" si="23"/>
        <v>0</v>
      </c>
      <c r="R129" s="145">
        <f t="shared" si="21"/>
        <v>69.766378548161427</v>
      </c>
      <c r="S129" s="125">
        <f t="shared" si="22"/>
        <v>-2.2336214518385731</v>
      </c>
      <c r="T129" s="144">
        <f t="shared" si="17"/>
        <v>0</v>
      </c>
      <c r="V129" s="12"/>
    </row>
    <row r="130" spans="1:22" x14ac:dyDescent="0.25">
      <c r="A130" s="49">
        <f>'A) Base RI'!A130</f>
        <v>5611</v>
      </c>
      <c r="B130" s="344" t="str">
        <f>'A) Base RI'!B130</f>
        <v>Savigny</v>
      </c>
      <c r="C130" s="505">
        <v>2374044.3780054618</v>
      </c>
      <c r="D130" s="505">
        <v>1160012.7950854916</v>
      </c>
      <c r="E130" s="506">
        <v>0</v>
      </c>
      <c r="F130" s="506">
        <v>0</v>
      </c>
      <c r="G130" s="506">
        <v>0</v>
      </c>
      <c r="H130" s="503">
        <f t="shared" si="15"/>
        <v>3534057.1730909534</v>
      </c>
      <c r="I130" s="506">
        <v>136715.33886473431</v>
      </c>
      <c r="J130" s="348">
        <f>'B) D RI'!U130</f>
        <v>140983.13330917869</v>
      </c>
      <c r="K130" s="62">
        <f t="shared" si="16"/>
        <v>25.849748846305662</v>
      </c>
      <c r="L130" s="33">
        <f>'B) D RI'!S130</f>
        <v>69</v>
      </c>
      <c r="M130" s="442">
        <f t="shared" si="18"/>
        <v>43.150251153694342</v>
      </c>
      <c r="N130" s="437">
        <f>+'J) Plafonnement effort'!H129+'J) Plafonnement effort'!I129-'K) Plafonnement aide'!I129</f>
        <v>20.858223931488052</v>
      </c>
      <c r="O130" s="145">
        <f t="shared" si="19"/>
        <v>64.008475085182397</v>
      </c>
      <c r="P130" s="47">
        <f t="shared" si="20"/>
        <v>0</v>
      </c>
      <c r="Q130" s="55">
        <f t="shared" si="23"/>
        <v>0</v>
      </c>
      <c r="R130" s="145">
        <f t="shared" si="21"/>
        <v>64.008475085182397</v>
      </c>
      <c r="S130" s="125">
        <f t="shared" si="22"/>
        <v>-4.9915249148176031</v>
      </c>
      <c r="T130" s="144">
        <f t="shared" si="17"/>
        <v>0</v>
      </c>
      <c r="V130" s="12"/>
    </row>
    <row r="131" spans="1:22" x14ac:dyDescent="0.25">
      <c r="A131" s="49">
        <f>'A) Base RI'!A131</f>
        <v>5613</v>
      </c>
      <c r="B131" s="344" t="str">
        <f>'A) Base RI'!B131</f>
        <v>Bourg-en-Lavaux</v>
      </c>
      <c r="C131" s="505">
        <v>6755591.6653184881</v>
      </c>
      <c r="D131" s="505">
        <v>4547304.734862607</v>
      </c>
      <c r="E131" s="506">
        <v>0</v>
      </c>
      <c r="F131" s="506">
        <v>0</v>
      </c>
      <c r="G131" s="506">
        <v>0</v>
      </c>
      <c r="H131" s="503">
        <f t="shared" si="15"/>
        <v>11302896.400181096</v>
      </c>
      <c r="I131" s="506">
        <v>343828.17631999997</v>
      </c>
      <c r="J131" s="348">
        <f>'B) D RI'!U131</f>
        <v>357210.57141333341</v>
      </c>
      <c r="K131" s="62">
        <f t="shared" si="16"/>
        <v>32.873676966082968</v>
      </c>
      <c r="L131" s="33">
        <f>'B) D RI'!S131</f>
        <v>62.5</v>
      </c>
      <c r="M131" s="442">
        <f t="shared" si="18"/>
        <v>29.626323033917032</v>
      </c>
      <c r="N131" s="437">
        <f>+'J) Plafonnement effort'!H130+'J) Plafonnement effort'!I130-'K) Plafonnement aide'!I130</f>
        <v>29.490200492958763</v>
      </c>
      <c r="O131" s="145">
        <f t="shared" si="19"/>
        <v>59.116523526875795</v>
      </c>
      <c r="P131" s="47">
        <f t="shared" si="20"/>
        <v>0</v>
      </c>
      <c r="Q131" s="55">
        <f t="shared" si="23"/>
        <v>0</v>
      </c>
      <c r="R131" s="145">
        <f t="shared" si="21"/>
        <v>59.116523526875795</v>
      </c>
      <c r="S131" s="125">
        <f t="shared" si="22"/>
        <v>-3.3834764731242046</v>
      </c>
      <c r="T131" s="144">
        <f t="shared" si="17"/>
        <v>0</v>
      </c>
      <c r="V131" s="12"/>
    </row>
    <row r="132" spans="1:22" x14ac:dyDescent="0.25">
      <c r="A132" s="49">
        <f>'A) Base RI'!A132</f>
        <v>5621</v>
      </c>
      <c r="B132" s="344" t="str">
        <f>'A) Base RI'!B132</f>
        <v>Aclens</v>
      </c>
      <c r="C132" s="505">
        <v>682249.82172647421</v>
      </c>
      <c r="D132" s="505">
        <v>555674.48934232991</v>
      </c>
      <c r="E132" s="506">
        <v>0</v>
      </c>
      <c r="F132" s="506">
        <v>0</v>
      </c>
      <c r="G132" s="506">
        <v>0</v>
      </c>
      <c r="H132" s="503">
        <f t="shared" si="15"/>
        <v>1237924.311068804</v>
      </c>
      <c r="I132" s="506">
        <v>32411.912521994131</v>
      </c>
      <c r="J132" s="348">
        <f>'B) D RI'!U132</f>
        <v>32271.293782991204</v>
      </c>
      <c r="K132" s="62">
        <f t="shared" si="16"/>
        <v>38.193497845237339</v>
      </c>
      <c r="L132" s="33">
        <f>'B) D RI'!S132</f>
        <v>62</v>
      </c>
      <c r="M132" s="442">
        <f t="shared" si="18"/>
        <v>23.806502154762661</v>
      </c>
      <c r="N132" s="437">
        <f>+'J) Plafonnement effort'!H131+'J) Plafonnement effort'!I131-'K) Plafonnement aide'!I131</f>
        <v>32.215435253256103</v>
      </c>
      <c r="O132" s="145">
        <f t="shared" si="19"/>
        <v>56.021937408018765</v>
      </c>
      <c r="P132" s="47">
        <f t="shared" si="20"/>
        <v>0</v>
      </c>
      <c r="Q132" s="55">
        <f t="shared" si="23"/>
        <v>0</v>
      </c>
      <c r="R132" s="145">
        <f t="shared" si="21"/>
        <v>56.021937408018765</v>
      </c>
      <c r="S132" s="125">
        <f t="shared" si="22"/>
        <v>-5.9780625919812351</v>
      </c>
      <c r="T132" s="144">
        <f t="shared" si="17"/>
        <v>0</v>
      </c>
      <c r="V132" s="12"/>
    </row>
    <row r="133" spans="1:22" x14ac:dyDescent="0.25">
      <c r="A133" s="49">
        <f>'A) Base RI'!A133</f>
        <v>5622</v>
      </c>
      <c r="B133" s="344" t="str">
        <f>'A) Base RI'!B133</f>
        <v>Bremblens</v>
      </c>
      <c r="C133" s="505">
        <v>430724.91719349334</v>
      </c>
      <c r="D133" s="505">
        <v>455347.51351743046</v>
      </c>
      <c r="E133" s="506">
        <v>0</v>
      </c>
      <c r="F133" s="506">
        <v>0</v>
      </c>
      <c r="G133" s="506">
        <v>0</v>
      </c>
      <c r="H133" s="503">
        <f t="shared" si="15"/>
        <v>886072.43071092386</v>
      </c>
      <c r="I133" s="506">
        <v>27803.201911764703</v>
      </c>
      <c r="J133" s="348">
        <f>'B) D RI'!U133</f>
        <v>28643.938676470589</v>
      </c>
      <c r="K133" s="62">
        <f t="shared" si="16"/>
        <v>31.869438402200338</v>
      </c>
      <c r="L133" s="33">
        <f>'B) D RI'!S133</f>
        <v>68</v>
      </c>
      <c r="M133" s="442">
        <f t="shared" si="18"/>
        <v>36.130561597799662</v>
      </c>
      <c r="N133" s="437">
        <f>+'J) Plafonnement effort'!H132+'J) Plafonnement effort'!I132-'K) Plafonnement aide'!I132</f>
        <v>27.878063670566789</v>
      </c>
      <c r="O133" s="145">
        <f t="shared" si="19"/>
        <v>64.008625268366444</v>
      </c>
      <c r="P133" s="47">
        <f t="shared" si="20"/>
        <v>0</v>
      </c>
      <c r="Q133" s="55">
        <f t="shared" si="23"/>
        <v>0</v>
      </c>
      <c r="R133" s="145">
        <f t="shared" si="21"/>
        <v>64.008625268366444</v>
      </c>
      <c r="S133" s="125">
        <f t="shared" si="22"/>
        <v>-3.9913747316335559</v>
      </c>
      <c r="T133" s="144">
        <f t="shared" si="17"/>
        <v>0</v>
      </c>
      <c r="V133" s="12"/>
    </row>
    <row r="134" spans="1:22" x14ac:dyDescent="0.25">
      <c r="A134" s="49">
        <f>'A) Base RI'!A134</f>
        <v>5623</v>
      </c>
      <c r="B134" s="344" t="str">
        <f>'A) Base RI'!B134</f>
        <v>Buchillon</v>
      </c>
      <c r="C134" s="505">
        <v>2703523.9792142785</v>
      </c>
      <c r="D134" s="505">
        <v>1723911.1009749363</v>
      </c>
      <c r="E134" s="506">
        <v>0</v>
      </c>
      <c r="F134" s="506">
        <v>0</v>
      </c>
      <c r="G134" s="506">
        <v>0</v>
      </c>
      <c r="H134" s="503">
        <f t="shared" si="15"/>
        <v>4427435.080189215</v>
      </c>
      <c r="I134" s="506">
        <v>94394.012307692305</v>
      </c>
      <c r="J134" s="348">
        <f>'B) D RI'!U134</f>
        <v>89231.951153846152</v>
      </c>
      <c r="K134" s="62">
        <f t="shared" si="16"/>
        <v>46.903770397610451</v>
      </c>
      <c r="L134" s="33">
        <f>'B) D RI'!S134</f>
        <v>52</v>
      </c>
      <c r="M134" s="442">
        <f t="shared" si="18"/>
        <v>5.096229602389549</v>
      </c>
      <c r="N134" s="437">
        <f>+'J) Plafonnement effort'!H133+'J) Plafonnement effort'!I133-'K) Plafonnement aide'!I133</f>
        <v>43.421441401459546</v>
      </c>
      <c r="O134" s="145">
        <f t="shared" si="19"/>
        <v>48.517671003849095</v>
      </c>
      <c r="P134" s="47">
        <f t="shared" si="20"/>
        <v>0</v>
      </c>
      <c r="Q134" s="55">
        <f t="shared" si="23"/>
        <v>0</v>
      </c>
      <c r="R134" s="145">
        <f t="shared" si="21"/>
        <v>48.517671003849095</v>
      </c>
      <c r="S134" s="125">
        <f t="shared" si="22"/>
        <v>-3.4823289961509047</v>
      </c>
      <c r="T134" s="144">
        <f t="shared" si="17"/>
        <v>0</v>
      </c>
      <c r="V134" s="12"/>
    </row>
    <row r="135" spans="1:22" x14ac:dyDescent="0.25">
      <c r="A135" s="49">
        <f>'A) Base RI'!A135</f>
        <v>5624</v>
      </c>
      <c r="B135" s="344" t="str">
        <f>'A) Base RI'!B135</f>
        <v>Bussigny</v>
      </c>
      <c r="C135" s="505">
        <v>6454225.0695142252</v>
      </c>
      <c r="D135" s="505">
        <v>291563.67591784243</v>
      </c>
      <c r="E135" s="506">
        <v>0</v>
      </c>
      <c r="F135" s="506">
        <v>0</v>
      </c>
      <c r="G135" s="506">
        <v>0</v>
      </c>
      <c r="H135" s="503">
        <f t="shared" ref="H135:H198" si="24">SUM(C135:G135)</f>
        <v>6745788.7454320677</v>
      </c>
      <c r="I135" s="506">
        <v>351876.09247999993</v>
      </c>
      <c r="J135" s="348">
        <f>'B) D RI'!U135</f>
        <v>441939.99008000002</v>
      </c>
      <c r="K135" s="62">
        <f t="shared" ref="K135:K198" si="25">H135/I135</f>
        <v>19.170920928126105</v>
      </c>
      <c r="L135" s="33">
        <f>'B) D RI'!S135</f>
        <v>62.5</v>
      </c>
      <c r="M135" s="442">
        <f t="shared" si="18"/>
        <v>43.329079071873892</v>
      </c>
      <c r="N135" s="437">
        <f>+'J) Plafonnement effort'!H134+'J) Plafonnement effort'!I134-'K) Plafonnement aide'!I134</f>
        <v>17.132006331946084</v>
      </c>
      <c r="O135" s="145">
        <f t="shared" si="19"/>
        <v>60.461085403819979</v>
      </c>
      <c r="P135" s="47">
        <f t="shared" si="20"/>
        <v>0</v>
      </c>
      <c r="Q135" s="55">
        <f t="shared" si="23"/>
        <v>0</v>
      </c>
      <c r="R135" s="145">
        <f t="shared" si="21"/>
        <v>60.461085403819979</v>
      </c>
      <c r="S135" s="125">
        <f t="shared" si="22"/>
        <v>-2.038914596180021</v>
      </c>
      <c r="T135" s="144">
        <f t="shared" ref="T135:T198" si="26">+C135+D135+E135+F135+G135-H135</f>
        <v>0</v>
      </c>
      <c r="V135" s="12"/>
    </row>
    <row r="136" spans="1:22" x14ac:dyDescent="0.25">
      <c r="A136" s="49">
        <f>'A) Base RI'!A136</f>
        <v>5625</v>
      </c>
      <c r="B136" s="344" t="str">
        <f>'A) Base RI'!B136</f>
        <v>Bussy-Chardonney</v>
      </c>
      <c r="C136" s="505">
        <v>333797.10993771115</v>
      </c>
      <c r="D136" s="505">
        <v>248973.12958758726</v>
      </c>
      <c r="E136" s="506">
        <v>0</v>
      </c>
      <c r="F136" s="506">
        <v>0</v>
      </c>
      <c r="G136" s="506">
        <v>0</v>
      </c>
      <c r="H136" s="503">
        <f t="shared" si="24"/>
        <v>582770.23952529836</v>
      </c>
      <c r="I136" s="506">
        <v>17740.486103896103</v>
      </c>
      <c r="J136" s="348">
        <f>'B) D RI'!U136</f>
        <v>21108.495740740738</v>
      </c>
      <c r="K136" s="62">
        <f t="shared" si="25"/>
        <v>32.849733435281259</v>
      </c>
      <c r="L136" s="33">
        <f>'B) D RI'!S136</f>
        <v>72</v>
      </c>
      <c r="M136" s="442">
        <f t="shared" si="18"/>
        <v>39.150266564718741</v>
      </c>
      <c r="N136" s="437">
        <f>+'J) Plafonnement effort'!H135+'J) Plafonnement effort'!I135-'K) Plafonnement aide'!I135</f>
        <v>29.360330668822925</v>
      </c>
      <c r="O136" s="145">
        <f t="shared" si="19"/>
        <v>68.51059723354166</v>
      </c>
      <c r="P136" s="47">
        <f t="shared" si="20"/>
        <v>0</v>
      </c>
      <c r="Q136" s="55">
        <f t="shared" si="23"/>
        <v>0</v>
      </c>
      <c r="R136" s="145">
        <f t="shared" si="21"/>
        <v>68.51059723354166</v>
      </c>
      <c r="S136" s="125">
        <f t="shared" si="22"/>
        <v>-3.4894027664583405</v>
      </c>
      <c r="T136" s="144">
        <f t="shared" si="26"/>
        <v>0</v>
      </c>
      <c r="V136" s="12"/>
    </row>
    <row r="137" spans="1:22" x14ac:dyDescent="0.25">
      <c r="A137" s="49">
        <f>'A) Base RI'!A137</f>
        <v>5627</v>
      </c>
      <c r="B137" s="344" t="str">
        <f>'A) Base RI'!B137</f>
        <v>Chavannes-près-Renens</v>
      </c>
      <c r="C137" s="505">
        <v>2702170.6701104902</v>
      </c>
      <c r="D137" s="505">
        <v>-6732896.7903827829</v>
      </c>
      <c r="E137" s="506">
        <v>2735512.5061647659</v>
      </c>
      <c r="F137" s="506">
        <v>0</v>
      </c>
      <c r="G137" s="506">
        <v>0</v>
      </c>
      <c r="H137" s="503">
        <f t="shared" si="24"/>
        <v>-1295213.6141075268</v>
      </c>
      <c r="I137" s="506">
        <v>161901.70176344088</v>
      </c>
      <c r="J137" s="348">
        <f>'B) D RI'!U137</f>
        <v>194072.91458064516</v>
      </c>
      <c r="K137" s="62">
        <f t="shared" si="25"/>
        <v>-7.9999999999999982</v>
      </c>
      <c r="L137" s="33">
        <f>'B) D RI'!S137</f>
        <v>77.5</v>
      </c>
      <c r="M137" s="442">
        <f t="shared" si="18"/>
        <v>85.5</v>
      </c>
      <c r="N137" s="437">
        <f>+'J) Plafonnement effort'!H136+'J) Plafonnement effort'!I136-'K) Plafonnement aide'!I136</f>
        <v>-13.486674311564101</v>
      </c>
      <c r="O137" s="145">
        <f t="shared" si="19"/>
        <v>72.013325688435899</v>
      </c>
      <c r="P137" s="47">
        <f t="shared" si="20"/>
        <v>0</v>
      </c>
      <c r="Q137" s="55">
        <f t="shared" si="23"/>
        <v>0</v>
      </c>
      <c r="R137" s="145">
        <f t="shared" si="21"/>
        <v>72.013325688435899</v>
      </c>
      <c r="S137" s="125">
        <f t="shared" si="22"/>
        <v>-5.4866743115641015</v>
      </c>
      <c r="T137" s="144">
        <f t="shared" si="26"/>
        <v>0</v>
      </c>
      <c r="V137" s="12"/>
    </row>
    <row r="138" spans="1:22" x14ac:dyDescent="0.25">
      <c r="A138" s="49">
        <f>'A) Base RI'!A138</f>
        <v>5628</v>
      </c>
      <c r="B138" s="344" t="str">
        <f>'A) Base RI'!B138</f>
        <v>Chigny</v>
      </c>
      <c r="C138" s="505">
        <v>477016.25190432847</v>
      </c>
      <c r="D138" s="505">
        <v>422803.95807461668</v>
      </c>
      <c r="E138" s="506">
        <v>0</v>
      </c>
      <c r="F138" s="506">
        <v>0</v>
      </c>
      <c r="G138" s="506">
        <v>0</v>
      </c>
      <c r="H138" s="503">
        <f t="shared" si="24"/>
        <v>899820.20997894509</v>
      </c>
      <c r="I138" s="506">
        <v>24624.530161290324</v>
      </c>
      <c r="J138" s="348">
        <f>'B) D RI'!U138</f>
        <v>25790.901129032256</v>
      </c>
      <c r="K138" s="62">
        <f t="shared" si="25"/>
        <v>36.541619437412024</v>
      </c>
      <c r="L138" s="33">
        <f>'B) D RI'!S138</f>
        <v>62</v>
      </c>
      <c r="M138" s="442">
        <f t="shared" si="18"/>
        <v>25.458380562587976</v>
      </c>
      <c r="N138" s="437">
        <f>+'J) Plafonnement effort'!H137+'J) Plafonnement effort'!I137-'K) Plafonnement aide'!I137</f>
        <v>32.559777387271495</v>
      </c>
      <c r="O138" s="145">
        <f t="shared" si="19"/>
        <v>58.018157949859472</v>
      </c>
      <c r="P138" s="47">
        <f t="shared" si="20"/>
        <v>0</v>
      </c>
      <c r="Q138" s="55">
        <f t="shared" si="23"/>
        <v>0</v>
      </c>
      <c r="R138" s="145">
        <f t="shared" si="21"/>
        <v>58.018157949859472</v>
      </c>
      <c r="S138" s="125">
        <f t="shared" si="22"/>
        <v>-3.9818420501405285</v>
      </c>
      <c r="T138" s="144">
        <f t="shared" si="26"/>
        <v>0</v>
      </c>
      <c r="V138" s="12"/>
    </row>
    <row r="139" spans="1:22" x14ac:dyDescent="0.25">
      <c r="A139" s="49">
        <f>'A) Base RI'!A139</f>
        <v>5629</v>
      </c>
      <c r="B139" s="344" t="str">
        <f>'A) Base RI'!B139</f>
        <v>Clarmont</v>
      </c>
      <c r="C139" s="505">
        <v>117158.06023827582</v>
      </c>
      <c r="D139" s="505">
        <v>113220.17435216857</v>
      </c>
      <c r="E139" s="506">
        <v>0</v>
      </c>
      <c r="F139" s="506">
        <v>0</v>
      </c>
      <c r="G139" s="506">
        <v>0</v>
      </c>
      <c r="H139" s="503">
        <f t="shared" si="24"/>
        <v>230378.23459044439</v>
      </c>
      <c r="I139" s="506">
        <v>8521.2598639455773</v>
      </c>
      <c r="J139" s="348">
        <f>'B) D RI'!U139</f>
        <v>9948.0614965986406</v>
      </c>
      <c r="K139" s="62">
        <f t="shared" si="25"/>
        <v>27.035701089835435</v>
      </c>
      <c r="L139" s="33">
        <f>'B) D RI'!S139</f>
        <v>73.5</v>
      </c>
      <c r="M139" s="442">
        <f t="shared" si="18"/>
        <v>46.464298910164565</v>
      </c>
      <c r="N139" s="437">
        <f>+'J) Plafonnement effort'!H138+'J) Plafonnement effort'!I138-'K) Plafonnement aide'!I138</f>
        <v>27.774414905667321</v>
      </c>
      <c r="O139" s="145">
        <f t="shared" si="19"/>
        <v>74.238713815831886</v>
      </c>
      <c r="P139" s="47">
        <f t="shared" si="20"/>
        <v>0</v>
      </c>
      <c r="Q139" s="55">
        <f t="shared" si="23"/>
        <v>0</v>
      </c>
      <c r="R139" s="145">
        <f t="shared" si="21"/>
        <v>74.238713815831886</v>
      </c>
      <c r="S139" s="125">
        <f t="shared" si="22"/>
        <v>0.73871381583188622</v>
      </c>
      <c r="T139" s="144">
        <f t="shared" si="26"/>
        <v>0</v>
      </c>
      <c r="V139" s="12"/>
    </row>
    <row r="140" spans="1:22" x14ac:dyDescent="0.25">
      <c r="A140" s="49">
        <f>'A) Base RI'!A140</f>
        <v>5631</v>
      </c>
      <c r="B140" s="344" t="str">
        <f>'A) Base RI'!B140</f>
        <v>Denens</v>
      </c>
      <c r="C140" s="505">
        <v>886394.91332080564</v>
      </c>
      <c r="D140" s="505">
        <v>740772.71820228873</v>
      </c>
      <c r="E140" s="506">
        <v>0</v>
      </c>
      <c r="F140" s="506">
        <v>0</v>
      </c>
      <c r="G140" s="506">
        <v>0</v>
      </c>
      <c r="H140" s="503">
        <f t="shared" si="24"/>
        <v>1627167.6315230944</v>
      </c>
      <c r="I140" s="506">
        <v>43455.14235294117</v>
      </c>
      <c r="J140" s="348">
        <f>'B) D RI'!U140</f>
        <v>43290.229264705871</v>
      </c>
      <c r="K140" s="62">
        <f t="shared" si="25"/>
        <v>37.444765876206205</v>
      </c>
      <c r="L140" s="33">
        <f>'B) D RI'!S140</f>
        <v>68</v>
      </c>
      <c r="M140" s="442">
        <f t="shared" si="18"/>
        <v>30.555234123793795</v>
      </c>
      <c r="N140" s="437">
        <f>+'J) Plafonnement effort'!H139+'J) Plafonnement effort'!I139-'K) Plafonnement aide'!I139</f>
        <v>31.451368374661808</v>
      </c>
      <c r="O140" s="145">
        <f t="shared" si="19"/>
        <v>62.006602498455607</v>
      </c>
      <c r="P140" s="47">
        <f t="shared" si="20"/>
        <v>0</v>
      </c>
      <c r="Q140" s="55">
        <f t="shared" si="23"/>
        <v>0</v>
      </c>
      <c r="R140" s="145">
        <f t="shared" si="21"/>
        <v>62.006602498455607</v>
      </c>
      <c r="S140" s="125">
        <f t="shared" si="22"/>
        <v>-5.9933975015443934</v>
      </c>
      <c r="T140" s="144">
        <f t="shared" si="26"/>
        <v>0</v>
      </c>
      <c r="V140" s="12"/>
    </row>
    <row r="141" spans="1:22" x14ac:dyDescent="0.25">
      <c r="A141" s="49">
        <f>'A) Base RI'!A141</f>
        <v>5632</v>
      </c>
      <c r="B141" s="344" t="str">
        <f>'A) Base RI'!B141</f>
        <v>Denges</v>
      </c>
      <c r="C141" s="505">
        <v>1245757.0991123724</v>
      </c>
      <c r="D141" s="505">
        <v>982538.51927672478</v>
      </c>
      <c r="E141" s="506">
        <v>0</v>
      </c>
      <c r="F141" s="506">
        <v>0</v>
      </c>
      <c r="G141" s="506">
        <v>0</v>
      </c>
      <c r="H141" s="503">
        <f t="shared" si="24"/>
        <v>2228295.618389097</v>
      </c>
      <c r="I141" s="506">
        <v>76479.966774193541</v>
      </c>
      <c r="J141" s="348">
        <f>'B) D RI'!U141</f>
        <v>80521.21435483871</v>
      </c>
      <c r="K141" s="62">
        <f t="shared" si="25"/>
        <v>29.135677124025449</v>
      </c>
      <c r="L141" s="33">
        <f>'B) D RI'!S141</f>
        <v>62</v>
      </c>
      <c r="M141" s="442">
        <f t="shared" si="18"/>
        <v>32.864322875974551</v>
      </c>
      <c r="N141" s="437">
        <f>+'J) Plafonnement effort'!H140+'J) Plafonnement effort'!I140-'K) Plafonnement aide'!I140</f>
        <v>25.478649831898323</v>
      </c>
      <c r="O141" s="145">
        <f t="shared" si="19"/>
        <v>58.342972707872875</v>
      </c>
      <c r="P141" s="47">
        <f t="shared" si="20"/>
        <v>0</v>
      </c>
      <c r="Q141" s="55">
        <f t="shared" si="23"/>
        <v>0</v>
      </c>
      <c r="R141" s="145">
        <f t="shared" si="21"/>
        <v>58.342972707872875</v>
      </c>
      <c r="S141" s="125">
        <f t="shared" si="22"/>
        <v>-3.6570272921271254</v>
      </c>
      <c r="T141" s="144">
        <f t="shared" si="26"/>
        <v>0</v>
      </c>
      <c r="V141" s="12"/>
    </row>
    <row r="142" spans="1:22" x14ac:dyDescent="0.25">
      <c r="A142" s="49">
        <f>'A) Base RI'!A142</f>
        <v>5633</v>
      </c>
      <c r="B142" s="344" t="str">
        <f>'A) Base RI'!B142</f>
        <v>Echandens</v>
      </c>
      <c r="C142" s="505">
        <v>2988302.4791140342</v>
      </c>
      <c r="D142" s="505">
        <v>2116534.274565699</v>
      </c>
      <c r="E142" s="506">
        <v>0</v>
      </c>
      <c r="F142" s="506">
        <v>0</v>
      </c>
      <c r="G142" s="506">
        <v>0</v>
      </c>
      <c r="H142" s="503">
        <f t="shared" si="24"/>
        <v>5104836.7536797337</v>
      </c>
      <c r="I142" s="506">
        <v>148489.97685950415</v>
      </c>
      <c r="J142" s="348">
        <f>'B) D RI'!U142</f>
        <v>170287.16859504132</v>
      </c>
      <c r="K142" s="62">
        <f t="shared" si="25"/>
        <v>34.378325471151129</v>
      </c>
      <c r="L142" s="33">
        <f>'B) D RI'!S142</f>
        <v>60.5</v>
      </c>
      <c r="M142" s="442">
        <f t="shared" si="18"/>
        <v>26.121674528848871</v>
      </c>
      <c r="N142" s="437">
        <f>+'J) Plafonnement effort'!H141+'J) Plafonnement effort'!I141-'K) Plafonnement aide'!I141</f>
        <v>29.504503005801048</v>
      </c>
      <c r="O142" s="145">
        <f t="shared" si="19"/>
        <v>55.626177534649919</v>
      </c>
      <c r="P142" s="47">
        <f t="shared" si="20"/>
        <v>0</v>
      </c>
      <c r="Q142" s="55">
        <f t="shared" si="23"/>
        <v>0</v>
      </c>
      <c r="R142" s="145">
        <f t="shared" si="21"/>
        <v>55.626177534649919</v>
      </c>
      <c r="S142" s="125">
        <f t="shared" si="22"/>
        <v>-4.8738224653500808</v>
      </c>
      <c r="T142" s="144">
        <f t="shared" si="26"/>
        <v>0</v>
      </c>
      <c r="V142" s="12"/>
    </row>
    <row r="143" spans="1:22" x14ac:dyDescent="0.25">
      <c r="A143" s="49">
        <f>'A) Base RI'!A143</f>
        <v>5634</v>
      </c>
      <c r="B143" s="344" t="str">
        <f>'A) Base RI'!B143</f>
        <v>Echichens</v>
      </c>
      <c r="C143" s="505">
        <v>2822825.6311324951</v>
      </c>
      <c r="D143" s="505">
        <v>2264957.5424116943</v>
      </c>
      <c r="E143" s="506">
        <v>0</v>
      </c>
      <c r="F143" s="506">
        <v>0</v>
      </c>
      <c r="G143" s="506">
        <v>0</v>
      </c>
      <c r="H143" s="503">
        <f t="shared" si="24"/>
        <v>5087783.173544189</v>
      </c>
      <c r="I143" s="506">
        <v>164177.5981818182</v>
      </c>
      <c r="J143" s="348">
        <f>'B) D RI'!U143</f>
        <v>152568.89227272727</v>
      </c>
      <c r="K143" s="62">
        <f t="shared" si="25"/>
        <v>30.989509104096722</v>
      </c>
      <c r="L143" s="33">
        <f>'B) D RI'!S143</f>
        <v>66</v>
      </c>
      <c r="M143" s="442">
        <f t="shared" si="18"/>
        <v>35.010490895903274</v>
      </c>
      <c r="N143" s="437">
        <f>+'J) Plafonnement effort'!H142+'J) Plafonnement effort'!I142-'K) Plafonnement aide'!I142</f>
        <v>25.18082229220871</v>
      </c>
      <c r="O143" s="145">
        <f t="shared" si="19"/>
        <v>60.191313188111984</v>
      </c>
      <c r="P143" s="47">
        <f t="shared" si="20"/>
        <v>0</v>
      </c>
      <c r="Q143" s="55">
        <f t="shared" si="23"/>
        <v>0</v>
      </c>
      <c r="R143" s="145">
        <f t="shared" si="21"/>
        <v>60.191313188111984</v>
      </c>
      <c r="S143" s="125">
        <f t="shared" si="22"/>
        <v>-5.8086868118880162</v>
      </c>
      <c r="T143" s="144">
        <f t="shared" si="26"/>
        <v>0</v>
      </c>
      <c r="V143" s="12"/>
    </row>
    <row r="144" spans="1:22" x14ac:dyDescent="0.25">
      <c r="A144" s="49">
        <f>'A) Base RI'!A144</f>
        <v>5635</v>
      </c>
      <c r="B144" s="344" t="str">
        <f>'A) Base RI'!B144</f>
        <v>Ecublens</v>
      </c>
      <c r="C144" s="505">
        <v>12008536.787417224</v>
      </c>
      <c r="D144" s="505">
        <v>5189778.7724901419</v>
      </c>
      <c r="E144" s="506">
        <v>0</v>
      </c>
      <c r="F144" s="506">
        <v>0</v>
      </c>
      <c r="G144" s="506">
        <v>0</v>
      </c>
      <c r="H144" s="503">
        <f t="shared" si="24"/>
        <v>17198315.559907366</v>
      </c>
      <c r="I144" s="506">
        <v>681739.39309333346</v>
      </c>
      <c r="J144" s="348">
        <f>'B) D RI'!U144</f>
        <v>872367.07997333352</v>
      </c>
      <c r="K144" s="62">
        <f t="shared" si="25"/>
        <v>25.227111318698334</v>
      </c>
      <c r="L144" s="33">
        <f>'B) D RI'!S144</f>
        <v>62.5</v>
      </c>
      <c r="M144" s="442">
        <f t="shared" si="18"/>
        <v>37.272888681301666</v>
      </c>
      <c r="N144" s="437">
        <f>+'J) Plafonnement effort'!H143+'J) Plafonnement effort'!I143-'K) Plafonnement aide'!I143</f>
        <v>25.946056140755488</v>
      </c>
      <c r="O144" s="145">
        <f t="shared" si="19"/>
        <v>63.218944822057153</v>
      </c>
      <c r="P144" s="47">
        <f t="shared" si="20"/>
        <v>0</v>
      </c>
      <c r="Q144" s="55">
        <f t="shared" si="23"/>
        <v>0</v>
      </c>
      <c r="R144" s="145">
        <f t="shared" si="21"/>
        <v>63.218944822057153</v>
      </c>
      <c r="S144" s="125">
        <f t="shared" si="22"/>
        <v>0.71894482205715349</v>
      </c>
      <c r="T144" s="144">
        <f t="shared" si="26"/>
        <v>0</v>
      </c>
      <c r="V144" s="12"/>
    </row>
    <row r="145" spans="1:22" x14ac:dyDescent="0.25">
      <c r="A145" s="49">
        <f>'A) Base RI'!A145</f>
        <v>5636</v>
      </c>
      <c r="B145" s="344" t="str">
        <f>'A) Base RI'!B145</f>
        <v>Etoy</v>
      </c>
      <c r="C145" s="505">
        <v>3363910.1128994189</v>
      </c>
      <c r="D145" s="505">
        <v>2484832.0255770329</v>
      </c>
      <c r="E145" s="506">
        <v>0</v>
      </c>
      <c r="F145" s="506">
        <v>0</v>
      </c>
      <c r="G145" s="506">
        <v>0</v>
      </c>
      <c r="H145" s="503">
        <f t="shared" si="24"/>
        <v>5848742.1384764519</v>
      </c>
      <c r="I145" s="506">
        <v>170715.46099999998</v>
      </c>
      <c r="J145" s="348">
        <f>'B) D RI'!U145</f>
        <v>187063.54000000004</v>
      </c>
      <c r="K145" s="62">
        <f t="shared" si="25"/>
        <v>34.260178335437658</v>
      </c>
      <c r="L145" s="33">
        <f>'B) D RI'!S145</f>
        <v>60</v>
      </c>
      <c r="M145" s="442">
        <f t="shared" si="18"/>
        <v>25.739821664562342</v>
      </c>
      <c r="N145" s="437">
        <f>+'J) Plafonnement effort'!H144+'J) Plafonnement effort'!I144-'K) Plafonnement aide'!I144</f>
        <v>30.254044061276151</v>
      </c>
      <c r="O145" s="145">
        <f t="shared" si="19"/>
        <v>55.993865725838489</v>
      </c>
      <c r="P145" s="47">
        <f t="shared" si="20"/>
        <v>0</v>
      </c>
      <c r="Q145" s="55">
        <f t="shared" si="23"/>
        <v>0</v>
      </c>
      <c r="R145" s="145">
        <f t="shared" si="21"/>
        <v>55.993865725838489</v>
      </c>
      <c r="S145" s="125">
        <f t="shared" si="22"/>
        <v>-4.0061342741615107</v>
      </c>
      <c r="T145" s="144">
        <f t="shared" si="26"/>
        <v>0</v>
      </c>
      <c r="V145" s="12"/>
    </row>
    <row r="146" spans="1:22" x14ac:dyDescent="0.25">
      <c r="A146" s="49">
        <f>'A) Base RI'!A146</f>
        <v>5637</v>
      </c>
      <c r="B146" s="344" t="str">
        <f>'A) Base RI'!B146</f>
        <v>Lavigny</v>
      </c>
      <c r="C146" s="505">
        <v>735403.05191350612</v>
      </c>
      <c r="D146" s="505">
        <v>505325.56833552255</v>
      </c>
      <c r="E146" s="506">
        <v>0</v>
      </c>
      <c r="F146" s="506">
        <v>0</v>
      </c>
      <c r="G146" s="506">
        <v>0</v>
      </c>
      <c r="H146" s="503">
        <f t="shared" si="24"/>
        <v>1240728.6202490288</v>
      </c>
      <c r="I146" s="506">
        <v>41194.659315068493</v>
      </c>
      <c r="J146" s="348">
        <f>'B) D RI'!U146</f>
        <v>37900.997397260275</v>
      </c>
      <c r="K146" s="62">
        <f t="shared" si="25"/>
        <v>30.1186765682314</v>
      </c>
      <c r="L146" s="33">
        <f>'B) D RI'!S146</f>
        <v>73</v>
      </c>
      <c r="M146" s="442">
        <f t="shared" si="18"/>
        <v>42.8813234317686</v>
      </c>
      <c r="N146" s="437">
        <f>+'J) Plafonnement effort'!H145+'J) Plafonnement effort'!I145-'K) Plafonnement aide'!I145</f>
        <v>20.852456046564029</v>
      </c>
      <c r="O146" s="145">
        <f t="shared" si="19"/>
        <v>63.733779478332629</v>
      </c>
      <c r="P146" s="47">
        <f t="shared" si="20"/>
        <v>0</v>
      </c>
      <c r="Q146" s="55">
        <f t="shared" si="23"/>
        <v>0</v>
      </c>
      <c r="R146" s="145">
        <f t="shared" si="21"/>
        <v>63.733779478332629</v>
      </c>
      <c r="S146" s="125">
        <f t="shared" si="22"/>
        <v>-9.2662205216673712</v>
      </c>
      <c r="T146" s="144">
        <f t="shared" si="26"/>
        <v>0</v>
      </c>
      <c r="V146" s="12"/>
    </row>
    <row r="147" spans="1:22" x14ac:dyDescent="0.25">
      <c r="A147" s="49">
        <f>'A) Base RI'!A147</f>
        <v>5638</v>
      </c>
      <c r="B147" s="344" t="str">
        <f>'A) Base RI'!B147</f>
        <v>Lonay</v>
      </c>
      <c r="C147" s="505">
        <v>3294376.0662645623</v>
      </c>
      <c r="D147" s="505">
        <v>2081262.6855699676</v>
      </c>
      <c r="E147" s="506">
        <v>0</v>
      </c>
      <c r="F147" s="506">
        <v>0</v>
      </c>
      <c r="G147" s="506">
        <v>0</v>
      </c>
      <c r="H147" s="503">
        <f t="shared" si="24"/>
        <v>5375638.7518345304</v>
      </c>
      <c r="I147" s="506">
        <v>145490.01981818181</v>
      </c>
      <c r="J147" s="348">
        <f>'B) D RI'!U147</f>
        <v>174154.93872727267</v>
      </c>
      <c r="K147" s="62">
        <f t="shared" si="25"/>
        <v>36.948505186489356</v>
      </c>
      <c r="L147" s="33">
        <f>'B) D RI'!S147</f>
        <v>55</v>
      </c>
      <c r="M147" s="442">
        <f t="shared" si="18"/>
        <v>18.051494813510644</v>
      </c>
      <c r="N147" s="437">
        <f>+'J) Plafonnement effort'!H146+'J) Plafonnement effort'!I146-'K) Plafonnement aide'!I146</f>
        <v>29.81456259790064</v>
      </c>
      <c r="O147" s="145">
        <f t="shared" si="19"/>
        <v>47.866057411411283</v>
      </c>
      <c r="P147" s="47">
        <f t="shared" si="20"/>
        <v>0</v>
      </c>
      <c r="Q147" s="55">
        <f t="shared" si="23"/>
        <v>0</v>
      </c>
      <c r="R147" s="145">
        <f t="shared" si="21"/>
        <v>47.866057411411283</v>
      </c>
      <c r="S147" s="125">
        <f t="shared" si="22"/>
        <v>-7.1339425885887167</v>
      </c>
      <c r="T147" s="144">
        <f t="shared" si="26"/>
        <v>0</v>
      </c>
      <c r="V147" s="12"/>
    </row>
    <row r="148" spans="1:22" x14ac:dyDescent="0.25">
      <c r="A148" s="49">
        <f>'A) Base RI'!A148</f>
        <v>5639</v>
      </c>
      <c r="B148" s="344" t="str">
        <f>'A) Base RI'!B148</f>
        <v>Lully</v>
      </c>
      <c r="C148" s="505">
        <v>768982.02563257376</v>
      </c>
      <c r="D148" s="505">
        <v>772027.94395391282</v>
      </c>
      <c r="E148" s="506">
        <v>0</v>
      </c>
      <c r="F148" s="506">
        <v>0</v>
      </c>
      <c r="G148" s="506">
        <v>0</v>
      </c>
      <c r="H148" s="503">
        <f t="shared" si="24"/>
        <v>1541009.9695864865</v>
      </c>
      <c r="I148" s="506">
        <v>45623.094262295082</v>
      </c>
      <c r="J148" s="348">
        <f>'B) D RI'!U148</f>
        <v>53711.269344262299</v>
      </c>
      <c r="K148" s="62">
        <f t="shared" si="25"/>
        <v>33.776971827622056</v>
      </c>
      <c r="L148" s="33">
        <f>'B) D RI'!S148</f>
        <v>61</v>
      </c>
      <c r="M148" s="442">
        <f t="shared" si="18"/>
        <v>27.223028172377944</v>
      </c>
      <c r="N148" s="437">
        <f>+'J) Plafonnement effort'!H147+'J) Plafonnement effort'!I147-'K) Plafonnement aide'!I147</f>
        <v>32.8106946681038</v>
      </c>
      <c r="O148" s="145">
        <f t="shared" si="19"/>
        <v>60.033722840481744</v>
      </c>
      <c r="P148" s="47">
        <f t="shared" si="20"/>
        <v>0</v>
      </c>
      <c r="Q148" s="55">
        <f t="shared" si="23"/>
        <v>0</v>
      </c>
      <c r="R148" s="145">
        <f t="shared" si="21"/>
        <v>60.033722840481744</v>
      </c>
      <c r="S148" s="125">
        <f t="shared" si="22"/>
        <v>-0.96627715951825621</v>
      </c>
      <c r="T148" s="144">
        <f t="shared" si="26"/>
        <v>0</v>
      </c>
      <c r="V148" s="12"/>
    </row>
    <row r="149" spans="1:22" x14ac:dyDescent="0.25">
      <c r="A149" s="49">
        <f>'A) Base RI'!A149</f>
        <v>5640</v>
      </c>
      <c r="B149" s="344" t="str">
        <f>'A) Base RI'!B149</f>
        <v>Lussy-sur-Morges</v>
      </c>
      <c r="C149" s="505">
        <v>1373333.9867743717</v>
      </c>
      <c r="D149" s="505">
        <v>1003431.1276830628</v>
      </c>
      <c r="E149" s="506">
        <v>0</v>
      </c>
      <c r="F149" s="506">
        <v>0</v>
      </c>
      <c r="G149" s="506">
        <v>0</v>
      </c>
      <c r="H149" s="503">
        <f t="shared" si="24"/>
        <v>2376765.1144574345</v>
      </c>
      <c r="I149" s="506">
        <v>57031.532424242418</v>
      </c>
      <c r="J149" s="348">
        <f>'B) D RI'!U149</f>
        <v>70527.814108527149</v>
      </c>
      <c r="K149" s="62">
        <f t="shared" si="25"/>
        <v>41.674579192039069</v>
      </c>
      <c r="L149" s="33">
        <f>'B) D RI'!S149</f>
        <v>64.5</v>
      </c>
      <c r="M149" s="442">
        <f t="shared" si="18"/>
        <v>22.825420807960931</v>
      </c>
      <c r="N149" s="437">
        <f>+'J) Plafonnement effort'!H148+'J) Plafonnement effort'!I148-'K) Plafonnement aide'!I148</f>
        <v>40.093961097005419</v>
      </c>
      <c r="O149" s="145">
        <f t="shared" si="19"/>
        <v>62.91938190496635</v>
      </c>
      <c r="P149" s="47">
        <f t="shared" si="20"/>
        <v>0</v>
      </c>
      <c r="Q149" s="55">
        <f t="shared" si="23"/>
        <v>0</v>
      </c>
      <c r="R149" s="145">
        <f t="shared" si="21"/>
        <v>62.91938190496635</v>
      </c>
      <c r="S149" s="125">
        <f t="shared" si="22"/>
        <v>-1.5806180950336497</v>
      </c>
      <c r="T149" s="144">
        <f t="shared" si="26"/>
        <v>0</v>
      </c>
      <c r="V149" s="12"/>
    </row>
    <row r="150" spans="1:22" x14ac:dyDescent="0.25">
      <c r="A150" s="49">
        <f>'A) Base RI'!A150</f>
        <v>5642</v>
      </c>
      <c r="B150" s="344" t="str">
        <f>'A) Base RI'!B150</f>
        <v>Morges</v>
      </c>
      <c r="C150" s="505">
        <v>13917012.989499314</v>
      </c>
      <c r="D150" s="505">
        <v>4255111.145142924</v>
      </c>
      <c r="E150" s="506">
        <v>0</v>
      </c>
      <c r="F150" s="506">
        <v>0</v>
      </c>
      <c r="G150" s="506">
        <v>0</v>
      </c>
      <c r="H150" s="503">
        <f t="shared" si="24"/>
        <v>18172124.134642236</v>
      </c>
      <c r="I150" s="506">
        <v>787513.11402985093</v>
      </c>
      <c r="J150" s="348">
        <f>'B) D RI'!U150</f>
        <v>999726.82119402988</v>
      </c>
      <c r="K150" s="62">
        <f t="shared" si="25"/>
        <v>23.075328919479322</v>
      </c>
      <c r="L150" s="33">
        <f>'B) D RI'!S150</f>
        <v>67</v>
      </c>
      <c r="M150" s="442">
        <f t="shared" si="18"/>
        <v>43.924671080520682</v>
      </c>
      <c r="N150" s="437">
        <f>+'J) Plafonnement effort'!H149+'J) Plafonnement effort'!I149-'K) Plafonnement aide'!I149</f>
        <v>21.836459969539643</v>
      </c>
      <c r="O150" s="145">
        <f t="shared" si="19"/>
        <v>65.761131050060328</v>
      </c>
      <c r="P150" s="47">
        <f t="shared" si="20"/>
        <v>0</v>
      </c>
      <c r="Q150" s="55">
        <f t="shared" si="23"/>
        <v>0</v>
      </c>
      <c r="R150" s="145">
        <f t="shared" si="21"/>
        <v>65.761131050060328</v>
      </c>
      <c r="S150" s="125">
        <f t="shared" si="22"/>
        <v>-1.2388689499396719</v>
      </c>
      <c r="T150" s="144">
        <f t="shared" si="26"/>
        <v>0</v>
      </c>
      <c r="V150" s="12"/>
    </row>
    <row r="151" spans="1:22" x14ac:dyDescent="0.25">
      <c r="A151" s="49">
        <f>'A) Base RI'!A151</f>
        <v>5643</v>
      </c>
      <c r="B151" s="344" t="str">
        <f>'A) Base RI'!B151</f>
        <v>Préverenges</v>
      </c>
      <c r="C151" s="505">
        <v>4136413.5929758837</v>
      </c>
      <c r="D151" s="505">
        <v>3073696.7199277328</v>
      </c>
      <c r="E151" s="506">
        <v>0</v>
      </c>
      <c r="F151" s="506">
        <v>0</v>
      </c>
      <c r="G151" s="506">
        <v>0</v>
      </c>
      <c r="H151" s="503">
        <f t="shared" si="24"/>
        <v>7210110.3129036166</v>
      </c>
      <c r="I151" s="506">
        <v>262337.37167999998</v>
      </c>
      <c r="J151" s="348">
        <f>'B) D RI'!U151</f>
        <v>257752.82112000001</v>
      </c>
      <c r="K151" s="62">
        <f t="shared" si="25"/>
        <v>27.484114317111224</v>
      </c>
      <c r="L151" s="33">
        <f>'B) D RI'!S151</f>
        <v>62.5</v>
      </c>
      <c r="M151" s="442">
        <f t="shared" si="18"/>
        <v>35.015885682888779</v>
      </c>
      <c r="N151" s="437">
        <f>+'J) Plafonnement effort'!H150+'J) Plafonnement effort'!I150-'K) Plafonnement aide'!I150</f>
        <v>23.725670107450689</v>
      </c>
      <c r="O151" s="145">
        <f t="shared" si="19"/>
        <v>58.741555790339469</v>
      </c>
      <c r="P151" s="47">
        <f t="shared" si="20"/>
        <v>0</v>
      </c>
      <c r="Q151" s="55">
        <f t="shared" si="23"/>
        <v>0</v>
      </c>
      <c r="R151" s="145">
        <f t="shared" si="21"/>
        <v>58.741555790339469</v>
      </c>
      <c r="S151" s="125">
        <f t="shared" si="22"/>
        <v>-3.7584442096605315</v>
      </c>
      <c r="T151" s="144">
        <f t="shared" si="26"/>
        <v>0</v>
      </c>
      <c r="V151" s="12"/>
    </row>
    <row r="152" spans="1:22" x14ac:dyDescent="0.25">
      <c r="A152" s="49">
        <f>'A) Base RI'!A152</f>
        <v>5644</v>
      </c>
      <c r="B152" s="344" t="str">
        <f>'A) Base RI'!B152</f>
        <v>Reverolle</v>
      </c>
      <c r="C152" s="505">
        <v>230874.04181697263</v>
      </c>
      <c r="D152" s="505">
        <v>177812.45915806526</v>
      </c>
      <c r="E152" s="506">
        <v>0</v>
      </c>
      <c r="F152" s="506">
        <v>0</v>
      </c>
      <c r="G152" s="506">
        <v>0</v>
      </c>
      <c r="H152" s="503">
        <f t="shared" si="24"/>
        <v>408686.50097503792</v>
      </c>
      <c r="I152" s="506">
        <v>16020.747027027028</v>
      </c>
      <c r="J152" s="348">
        <f>'B) D RI'!U152</f>
        <v>16363.457972972968</v>
      </c>
      <c r="K152" s="62">
        <f t="shared" si="25"/>
        <v>25.509827992763576</v>
      </c>
      <c r="L152" s="33">
        <f>'B) D RI'!S152</f>
        <v>74</v>
      </c>
      <c r="M152" s="442">
        <f t="shared" si="18"/>
        <v>48.490172007236424</v>
      </c>
      <c r="N152" s="437">
        <f>+'J) Plafonnement effort'!H151+'J) Plafonnement effort'!I151-'K) Plafonnement aide'!I151</f>
        <v>23.717356908142463</v>
      </c>
      <c r="O152" s="145">
        <f t="shared" si="19"/>
        <v>72.207528915378887</v>
      </c>
      <c r="P152" s="47">
        <f t="shared" si="20"/>
        <v>0</v>
      </c>
      <c r="Q152" s="55">
        <f t="shared" si="23"/>
        <v>0</v>
      </c>
      <c r="R152" s="145">
        <f t="shared" si="21"/>
        <v>72.207528915378887</v>
      </c>
      <c r="S152" s="125">
        <f t="shared" si="22"/>
        <v>-1.7924710846211127</v>
      </c>
      <c r="T152" s="144">
        <f t="shared" si="26"/>
        <v>0</v>
      </c>
      <c r="V152" s="12"/>
    </row>
    <row r="153" spans="1:22" x14ac:dyDescent="0.25">
      <c r="A153" s="49">
        <f>'A) Base RI'!A153</f>
        <v>5645</v>
      </c>
      <c r="B153" s="344" t="str">
        <f>'A) Base RI'!B153</f>
        <v>Romanel-sur-Morges</v>
      </c>
      <c r="C153" s="505">
        <v>527711.09225883393</v>
      </c>
      <c r="D153" s="505">
        <v>466645.4407504361</v>
      </c>
      <c r="E153" s="506">
        <v>0</v>
      </c>
      <c r="F153" s="506">
        <v>0</v>
      </c>
      <c r="G153" s="506">
        <v>0</v>
      </c>
      <c r="H153" s="503">
        <f t="shared" si="24"/>
        <v>994356.53300926997</v>
      </c>
      <c r="I153" s="506">
        <v>27365.134464285718</v>
      </c>
      <c r="J153" s="348">
        <f>'B) D RI'!U153</f>
        <v>26586.021785714285</v>
      </c>
      <c r="K153" s="62">
        <f t="shared" si="25"/>
        <v>36.336621488449339</v>
      </c>
      <c r="L153" s="33">
        <f>'B) D RI'!S153</f>
        <v>56</v>
      </c>
      <c r="M153" s="442">
        <f t="shared" si="18"/>
        <v>19.663378511550661</v>
      </c>
      <c r="N153" s="437">
        <f>+'J) Plafonnement effort'!H152+'J) Plafonnement effort'!I152-'K) Plafonnement aide'!I152</f>
        <v>30.512584054380252</v>
      </c>
      <c r="O153" s="145">
        <f t="shared" si="19"/>
        <v>50.175962565930917</v>
      </c>
      <c r="P153" s="47">
        <f t="shared" si="20"/>
        <v>0</v>
      </c>
      <c r="Q153" s="55">
        <f t="shared" si="23"/>
        <v>0</v>
      </c>
      <c r="R153" s="145">
        <f t="shared" si="21"/>
        <v>50.175962565930917</v>
      </c>
      <c r="S153" s="125">
        <f t="shared" si="22"/>
        <v>-5.8240374340690835</v>
      </c>
      <c r="T153" s="144">
        <f t="shared" si="26"/>
        <v>0</v>
      </c>
      <c r="V153" s="12"/>
    </row>
    <row r="154" spans="1:22" x14ac:dyDescent="0.25">
      <c r="A154" s="49">
        <f>'A) Base RI'!A154</f>
        <v>5646</v>
      </c>
      <c r="B154" s="344" t="str">
        <f>'A) Base RI'!B154</f>
        <v>Saint-Prex</v>
      </c>
      <c r="C154" s="505">
        <v>13375686.068332639</v>
      </c>
      <c r="D154" s="505">
        <v>8044388.8778055096</v>
      </c>
      <c r="E154" s="506">
        <v>0</v>
      </c>
      <c r="F154" s="506">
        <v>0</v>
      </c>
      <c r="G154" s="506">
        <v>0</v>
      </c>
      <c r="H154" s="503">
        <f t="shared" si="24"/>
        <v>21420074.946138147</v>
      </c>
      <c r="I154" s="506">
        <v>541092.68090909091</v>
      </c>
      <c r="J154" s="348">
        <f>'B) D RI'!U154</f>
        <v>527982.74983050849</v>
      </c>
      <c r="K154" s="62">
        <f t="shared" si="25"/>
        <v>39.58670242988731</v>
      </c>
      <c r="L154" s="33">
        <f>'B) D RI'!S154</f>
        <v>59</v>
      </c>
      <c r="M154" s="442">
        <f t="shared" si="18"/>
        <v>19.41329757011269</v>
      </c>
      <c r="N154" s="437">
        <f>+'J) Plafonnement effort'!H153+'J) Plafonnement effort'!I153-'K) Plafonnement aide'!I153</f>
        <v>35.254810659196544</v>
      </c>
      <c r="O154" s="145">
        <f t="shared" si="19"/>
        <v>54.668108229309233</v>
      </c>
      <c r="P154" s="47">
        <f t="shared" si="20"/>
        <v>0</v>
      </c>
      <c r="Q154" s="55">
        <f t="shared" si="23"/>
        <v>0</v>
      </c>
      <c r="R154" s="145">
        <f t="shared" si="21"/>
        <v>54.668108229309233</v>
      </c>
      <c r="S154" s="125">
        <f t="shared" si="22"/>
        <v>-4.3318917706907669</v>
      </c>
      <c r="T154" s="144">
        <f t="shared" si="26"/>
        <v>0</v>
      </c>
      <c r="V154" s="12"/>
    </row>
    <row r="155" spans="1:22" x14ac:dyDescent="0.25">
      <c r="A155" s="49">
        <f>'A) Base RI'!A155</f>
        <v>5648</v>
      </c>
      <c r="B155" s="344" t="str">
        <f>'A) Base RI'!B155</f>
        <v>Saint-Sulpice</v>
      </c>
      <c r="C155" s="505">
        <v>8827102.0457805265</v>
      </c>
      <c r="D155" s="505">
        <v>5832991.1409827136</v>
      </c>
      <c r="E155" s="506">
        <v>0</v>
      </c>
      <c r="F155" s="506">
        <v>0</v>
      </c>
      <c r="G155" s="506">
        <v>0</v>
      </c>
      <c r="H155" s="503">
        <f t="shared" si="24"/>
        <v>14660093.18676324</v>
      </c>
      <c r="I155" s="506">
        <v>396480.48181818181</v>
      </c>
      <c r="J155" s="348">
        <f>'B) D RI'!U155</f>
        <v>394426.68886363629</v>
      </c>
      <c r="K155" s="62">
        <f t="shared" si="25"/>
        <v>36.975573474726737</v>
      </c>
      <c r="L155" s="33">
        <f>'B) D RI'!S155</f>
        <v>55</v>
      </c>
      <c r="M155" s="442">
        <f t="shared" si="18"/>
        <v>18.024426525273263</v>
      </c>
      <c r="N155" s="437">
        <f>+'J) Plafonnement effort'!H154+'J) Plafonnement effort'!I154-'K) Plafonnement aide'!I154</f>
        <v>32.821369543042593</v>
      </c>
      <c r="O155" s="145">
        <f t="shared" si="19"/>
        <v>50.845796068315856</v>
      </c>
      <c r="P155" s="47">
        <f t="shared" si="20"/>
        <v>0</v>
      </c>
      <c r="Q155" s="55">
        <f t="shared" si="23"/>
        <v>0</v>
      </c>
      <c r="R155" s="145">
        <f t="shared" si="21"/>
        <v>50.845796068315856</v>
      </c>
      <c r="S155" s="125">
        <f t="shared" si="22"/>
        <v>-4.1542039316841439</v>
      </c>
      <c r="T155" s="144">
        <f t="shared" si="26"/>
        <v>0</v>
      </c>
      <c r="V155" s="12"/>
    </row>
    <row r="156" spans="1:22" x14ac:dyDescent="0.25">
      <c r="A156" s="49">
        <f>'A) Base RI'!A156</f>
        <v>5649</v>
      </c>
      <c r="B156" s="344" t="str">
        <f>'A) Base RI'!B156</f>
        <v>Tolochenaz</v>
      </c>
      <c r="C156" s="505">
        <v>6311179.0340569997</v>
      </c>
      <c r="D156" s="505">
        <v>3698138.1396239004</v>
      </c>
      <c r="E156" s="506">
        <v>0</v>
      </c>
      <c r="F156" s="506">
        <v>0</v>
      </c>
      <c r="G156" s="506">
        <v>0</v>
      </c>
      <c r="H156" s="503">
        <f t="shared" si="24"/>
        <v>10009317.1736809</v>
      </c>
      <c r="I156" s="506">
        <v>215548.34569230766</v>
      </c>
      <c r="J156" s="348">
        <f>'B) D RI'!U156</f>
        <v>155778.42171874997</v>
      </c>
      <c r="K156" s="62">
        <f t="shared" si="25"/>
        <v>46.43652977958395</v>
      </c>
      <c r="L156" s="33">
        <f>'B) D RI'!S156</f>
        <v>64</v>
      </c>
      <c r="M156" s="442">
        <f t="shared" si="18"/>
        <v>17.56347022041605</v>
      </c>
      <c r="N156" s="437">
        <f>+'J) Plafonnement effort'!H155+'J) Plafonnement effort'!I155-'K) Plafonnement aide'!I155</f>
        <v>36.182892564207641</v>
      </c>
      <c r="O156" s="145">
        <f t="shared" si="19"/>
        <v>53.746362784623692</v>
      </c>
      <c r="P156" s="47">
        <f t="shared" si="20"/>
        <v>0</v>
      </c>
      <c r="Q156" s="55">
        <f t="shared" si="23"/>
        <v>0</v>
      </c>
      <c r="R156" s="145">
        <f t="shared" si="21"/>
        <v>53.746362784623692</v>
      </c>
      <c r="S156" s="125">
        <f t="shared" si="22"/>
        <v>-10.253637215376308</v>
      </c>
      <c r="T156" s="144">
        <f t="shared" si="26"/>
        <v>0</v>
      </c>
      <c r="V156" s="12"/>
    </row>
    <row r="157" spans="1:22" x14ac:dyDescent="0.25">
      <c r="A157" s="49">
        <f>'A) Base RI'!A157</f>
        <v>5650</v>
      </c>
      <c r="B157" s="344" t="str">
        <f>'A) Base RI'!B157</f>
        <v>Vaux-sur-Morges</v>
      </c>
      <c r="C157" s="505">
        <v>12989857.617240502</v>
      </c>
      <c r="D157" s="505">
        <v>1183326.4678820488</v>
      </c>
      <c r="E157" s="506">
        <v>0</v>
      </c>
      <c r="F157" s="506">
        <v>-619663.35440826486</v>
      </c>
      <c r="G157" s="506">
        <v>0</v>
      </c>
      <c r="H157" s="503">
        <f t="shared" si="24"/>
        <v>13553520.730714286</v>
      </c>
      <c r="I157" s="506">
        <v>63002.429285714286</v>
      </c>
      <c r="J157" s="348">
        <f>'B) D RI'!U157</f>
        <v>83125.71642857141</v>
      </c>
      <c r="K157" s="62">
        <f t="shared" si="25"/>
        <v>215.12695437900405</v>
      </c>
      <c r="L157" s="33">
        <f>'B) D RI'!S157</f>
        <v>56</v>
      </c>
      <c r="M157" s="442">
        <f t="shared" si="18"/>
        <v>-159.12695437900405</v>
      </c>
      <c r="N157" s="437">
        <f>+'J) Plafonnement effort'!H156+'J) Plafonnement effort'!I156-'K) Plafonnement aide'!I156</f>
        <v>48</v>
      </c>
      <c r="O157" s="145">
        <f t="shared" si="19"/>
        <v>-111.12695437900405</v>
      </c>
      <c r="P157" s="47">
        <f t="shared" si="20"/>
        <v>0</v>
      </c>
      <c r="Q157" s="55">
        <f t="shared" si="23"/>
        <v>0</v>
      </c>
      <c r="R157" s="145">
        <f t="shared" si="21"/>
        <v>-111.12695437900405</v>
      </c>
      <c r="S157" s="125">
        <f t="shared" si="22"/>
        <v>-167.12695437900405</v>
      </c>
      <c r="T157" s="144">
        <f t="shared" si="26"/>
        <v>0</v>
      </c>
      <c r="V157" s="12"/>
    </row>
    <row r="158" spans="1:22" x14ac:dyDescent="0.25">
      <c r="A158" s="49">
        <f>'A) Base RI'!A158</f>
        <v>5651</v>
      </c>
      <c r="B158" s="344" t="str">
        <f>'A) Base RI'!B158</f>
        <v>Villars-Sainte-Croix</v>
      </c>
      <c r="C158" s="505">
        <v>1079431.7399279783</v>
      </c>
      <c r="D158" s="505">
        <v>956230.19922465575</v>
      </c>
      <c r="E158" s="506">
        <v>0</v>
      </c>
      <c r="F158" s="506">
        <v>0</v>
      </c>
      <c r="G158" s="506">
        <v>0</v>
      </c>
      <c r="H158" s="503">
        <f t="shared" si="24"/>
        <v>2035661.939152634</v>
      </c>
      <c r="I158" s="506">
        <v>56095.490247933893</v>
      </c>
      <c r="J158" s="348">
        <f>'B) D RI'!U158</f>
        <v>57697.031735537188</v>
      </c>
      <c r="K158" s="62">
        <f t="shared" si="25"/>
        <v>36.289226284596225</v>
      </c>
      <c r="L158" s="33">
        <f>'B) D RI'!S158</f>
        <v>60.5</v>
      </c>
      <c r="M158" s="442">
        <f t="shared" si="18"/>
        <v>24.210773715403775</v>
      </c>
      <c r="N158" s="437">
        <f>+'J) Plafonnement effort'!H157+'J) Plafonnement effort'!I157-'K) Plafonnement aide'!I157</f>
        <v>31.51793949584297</v>
      </c>
      <c r="O158" s="145">
        <f t="shared" si="19"/>
        <v>55.728713211246742</v>
      </c>
      <c r="P158" s="47">
        <f t="shared" si="20"/>
        <v>0</v>
      </c>
      <c r="Q158" s="55">
        <f t="shared" si="23"/>
        <v>0</v>
      </c>
      <c r="R158" s="145">
        <f t="shared" si="21"/>
        <v>55.728713211246742</v>
      </c>
      <c r="S158" s="125">
        <f t="shared" si="22"/>
        <v>-4.7712867887532582</v>
      </c>
      <c r="T158" s="144">
        <f t="shared" si="26"/>
        <v>0</v>
      </c>
      <c r="V158" s="12"/>
    </row>
    <row r="159" spans="1:22" x14ac:dyDescent="0.25">
      <c r="A159" s="49">
        <f>'A) Base RI'!A159</f>
        <v>5652</v>
      </c>
      <c r="B159" s="344" t="str">
        <f>'A) Base RI'!B159</f>
        <v>Villars-sous-Yens</v>
      </c>
      <c r="C159" s="505">
        <v>431278.66688005638</v>
      </c>
      <c r="D159" s="505">
        <v>323726.10277722613</v>
      </c>
      <c r="E159" s="506">
        <v>0</v>
      </c>
      <c r="F159" s="506">
        <v>0</v>
      </c>
      <c r="G159" s="506">
        <v>0</v>
      </c>
      <c r="H159" s="503">
        <f t="shared" si="24"/>
        <v>755004.76965728251</v>
      </c>
      <c r="I159" s="506">
        <v>25662.281995614037</v>
      </c>
      <c r="J159" s="348">
        <f>'B) D RI'!U159</f>
        <v>25902.630833333329</v>
      </c>
      <c r="K159" s="62">
        <f t="shared" si="25"/>
        <v>29.420796240424799</v>
      </c>
      <c r="L159" s="33">
        <f>'B) D RI'!S159</f>
        <v>76</v>
      </c>
      <c r="M159" s="442">
        <f t="shared" si="18"/>
        <v>46.579203759575201</v>
      </c>
      <c r="N159" s="437">
        <f>+'J) Plafonnement effort'!H158+'J) Plafonnement effort'!I158-'K) Plafonnement aide'!I158</f>
        <v>24.0588074233128</v>
      </c>
      <c r="O159" s="145">
        <f t="shared" si="19"/>
        <v>70.638011182887993</v>
      </c>
      <c r="P159" s="47">
        <f t="shared" si="20"/>
        <v>0</v>
      </c>
      <c r="Q159" s="55">
        <f t="shared" si="23"/>
        <v>0</v>
      </c>
      <c r="R159" s="145">
        <f t="shared" si="21"/>
        <v>70.638011182887993</v>
      </c>
      <c r="S159" s="125">
        <f t="shared" si="22"/>
        <v>-5.3619888171120067</v>
      </c>
      <c r="T159" s="144">
        <f t="shared" si="26"/>
        <v>0</v>
      </c>
      <c r="V159" s="12"/>
    </row>
    <row r="160" spans="1:22" x14ac:dyDescent="0.25">
      <c r="A160" s="49">
        <f>'A) Base RI'!A160</f>
        <v>5653</v>
      </c>
      <c r="B160" s="344" t="str">
        <f>'A) Base RI'!B160</f>
        <v>Vufflens-le-Château</v>
      </c>
      <c r="C160" s="505">
        <v>1566833.4273874885</v>
      </c>
      <c r="D160" s="505">
        <v>1210343.8109818723</v>
      </c>
      <c r="E160" s="506">
        <v>0</v>
      </c>
      <c r="F160" s="506">
        <v>0</v>
      </c>
      <c r="G160" s="506">
        <v>0</v>
      </c>
      <c r="H160" s="503">
        <f t="shared" si="24"/>
        <v>2777177.2383693606</v>
      </c>
      <c r="I160" s="506">
        <v>68786.034529914527</v>
      </c>
      <c r="J160" s="348">
        <f>'B) D RI'!U160</f>
        <v>67496.149401709394</v>
      </c>
      <c r="K160" s="62">
        <f t="shared" si="25"/>
        <v>40.374143637566242</v>
      </c>
      <c r="L160" s="33">
        <f>'B) D RI'!S160</f>
        <v>58.5</v>
      </c>
      <c r="M160" s="442">
        <f t="shared" si="18"/>
        <v>18.125856362433758</v>
      </c>
      <c r="N160" s="437">
        <f>+'J) Plafonnement effort'!H159+'J) Plafonnement effort'!I159-'K) Plafonnement aide'!I159</f>
        <v>35.11802276039451</v>
      </c>
      <c r="O160" s="145">
        <f t="shared" si="19"/>
        <v>53.243879122828268</v>
      </c>
      <c r="P160" s="47">
        <f t="shared" si="20"/>
        <v>0</v>
      </c>
      <c r="Q160" s="55">
        <f t="shared" si="23"/>
        <v>0</v>
      </c>
      <c r="R160" s="145">
        <f t="shared" si="21"/>
        <v>53.243879122828268</v>
      </c>
      <c r="S160" s="125">
        <f t="shared" si="22"/>
        <v>-5.2561208771717318</v>
      </c>
      <c r="T160" s="144">
        <f t="shared" si="26"/>
        <v>0</v>
      </c>
      <c r="V160" s="12"/>
    </row>
    <row r="161" spans="1:22" x14ac:dyDescent="0.25">
      <c r="A161" s="49">
        <f>'A) Base RI'!A161</f>
        <v>5654</v>
      </c>
      <c r="B161" s="344" t="str">
        <f>'A) Base RI'!B161</f>
        <v>Vullierens</v>
      </c>
      <c r="C161" s="505">
        <v>341293.38951403101</v>
      </c>
      <c r="D161" s="505">
        <v>143456.75130748667</v>
      </c>
      <c r="E161" s="506">
        <v>0</v>
      </c>
      <c r="F161" s="506">
        <v>0</v>
      </c>
      <c r="G161" s="506">
        <v>0</v>
      </c>
      <c r="H161" s="503">
        <f t="shared" si="24"/>
        <v>484750.14082151768</v>
      </c>
      <c r="I161" s="506">
        <v>19265.899342105262</v>
      </c>
      <c r="J161" s="348">
        <f>'B) D RI'!U161</f>
        <v>20665.692500000001</v>
      </c>
      <c r="K161" s="62">
        <f t="shared" si="25"/>
        <v>25.161043988333592</v>
      </c>
      <c r="L161" s="33">
        <f>'B) D RI'!S161</f>
        <v>76</v>
      </c>
      <c r="M161" s="442">
        <f t="shared" si="18"/>
        <v>50.838956011666411</v>
      </c>
      <c r="N161" s="437">
        <f>+'J) Plafonnement effort'!H160+'J) Plafonnement effort'!I160-'K) Plafonnement aide'!I160</f>
        <v>20.416812223377939</v>
      </c>
      <c r="O161" s="145">
        <f t="shared" si="19"/>
        <v>71.255768235044343</v>
      </c>
      <c r="P161" s="47">
        <f t="shared" si="20"/>
        <v>0</v>
      </c>
      <c r="Q161" s="55">
        <f t="shared" si="23"/>
        <v>0</v>
      </c>
      <c r="R161" s="145">
        <f t="shared" si="21"/>
        <v>71.255768235044343</v>
      </c>
      <c r="S161" s="125">
        <f t="shared" si="22"/>
        <v>-4.7442317649556571</v>
      </c>
      <c r="T161" s="144">
        <f t="shared" si="26"/>
        <v>0</v>
      </c>
      <c r="V161" s="12"/>
    </row>
    <row r="162" spans="1:22" x14ac:dyDescent="0.25">
      <c r="A162" s="49">
        <f>'A) Base RI'!A162</f>
        <v>5655</v>
      </c>
      <c r="B162" s="344" t="str">
        <f>'A) Base RI'!B162</f>
        <v>Yens</v>
      </c>
      <c r="C162" s="505">
        <v>1782540.5577110946</v>
      </c>
      <c r="D162" s="505">
        <v>1452042.7865031902</v>
      </c>
      <c r="E162" s="506">
        <v>0</v>
      </c>
      <c r="F162" s="506">
        <v>0</v>
      </c>
      <c r="G162" s="506">
        <v>0</v>
      </c>
      <c r="H162" s="503">
        <f t="shared" si="24"/>
        <v>3234583.3442142848</v>
      </c>
      <c r="I162" s="506">
        <v>90935.122097902116</v>
      </c>
      <c r="J162" s="348">
        <f>'B) D RI'!U162</f>
        <v>73454.856083916078</v>
      </c>
      <c r="K162" s="62">
        <f t="shared" si="25"/>
        <v>35.57023149682346</v>
      </c>
      <c r="L162" s="33">
        <f>'B) D RI'!S162</f>
        <v>71.5</v>
      </c>
      <c r="M162" s="442">
        <f t="shared" si="18"/>
        <v>35.92976850317654</v>
      </c>
      <c r="N162" s="437">
        <f>+'J) Plafonnement effort'!H161+'J) Plafonnement effort'!I161-'K) Plafonnement aide'!I161</f>
        <v>27.103009575528105</v>
      </c>
      <c r="O162" s="145">
        <f t="shared" si="19"/>
        <v>63.032778078704645</v>
      </c>
      <c r="P162" s="47">
        <f t="shared" si="20"/>
        <v>0</v>
      </c>
      <c r="Q162" s="55">
        <f t="shared" si="23"/>
        <v>0</v>
      </c>
      <c r="R162" s="145">
        <f t="shared" si="21"/>
        <v>63.032778078704645</v>
      </c>
      <c r="S162" s="125">
        <f t="shared" si="22"/>
        <v>-8.467221921295355</v>
      </c>
      <c r="T162" s="144">
        <f t="shared" si="26"/>
        <v>0</v>
      </c>
      <c r="V162" s="12"/>
    </row>
    <row r="163" spans="1:22" x14ac:dyDescent="0.25">
      <c r="A163" s="49">
        <f>'A) Base RI'!A163</f>
        <v>5661</v>
      </c>
      <c r="B163" s="344" t="str">
        <f>'A) Base RI'!B163</f>
        <v>Boulens</v>
      </c>
      <c r="C163" s="505">
        <v>154515.82421717723</v>
      </c>
      <c r="D163" s="505">
        <v>-6913.1790662886924</v>
      </c>
      <c r="E163" s="506">
        <v>0</v>
      </c>
      <c r="F163" s="506">
        <v>0</v>
      </c>
      <c r="G163" s="506">
        <v>0</v>
      </c>
      <c r="H163" s="503">
        <f t="shared" si="24"/>
        <v>147602.64515088854</v>
      </c>
      <c r="I163" s="506">
        <v>10167.852447552446</v>
      </c>
      <c r="J163" s="348">
        <f>'B) D RI'!U163</f>
        <v>11226.588951048951</v>
      </c>
      <c r="K163" s="62">
        <f t="shared" si="25"/>
        <v>14.516599833863511</v>
      </c>
      <c r="L163" s="33">
        <f>'B) D RI'!S163</f>
        <v>71.5</v>
      </c>
      <c r="M163" s="442">
        <f t="shared" si="18"/>
        <v>56.983400166136491</v>
      </c>
      <c r="N163" s="437">
        <f>+'J) Plafonnement effort'!H162+'J) Plafonnement effort'!I162-'K) Plafonnement aide'!I162</f>
        <v>14.616982964004951</v>
      </c>
      <c r="O163" s="145">
        <f t="shared" si="19"/>
        <v>71.600383130141438</v>
      </c>
      <c r="P163" s="47">
        <f t="shared" si="20"/>
        <v>0</v>
      </c>
      <c r="Q163" s="55">
        <f t="shared" si="23"/>
        <v>0</v>
      </c>
      <c r="R163" s="145">
        <f t="shared" si="21"/>
        <v>71.600383130141438</v>
      </c>
      <c r="S163" s="125">
        <f t="shared" si="22"/>
        <v>0.10038313014143796</v>
      </c>
      <c r="T163" s="144">
        <f t="shared" si="26"/>
        <v>0</v>
      </c>
      <c r="V163" s="12"/>
    </row>
    <row r="164" spans="1:22" x14ac:dyDescent="0.25">
      <c r="A164" s="49">
        <f>'A) Base RI'!A164</f>
        <v>5663</v>
      </c>
      <c r="B164" s="344" t="str">
        <f>'A) Base RI'!B164</f>
        <v>Bussy-sur-Moudon</v>
      </c>
      <c r="C164" s="505">
        <v>83667.040745368722</v>
      </c>
      <c r="D164" s="505">
        <v>-55517.963668418568</v>
      </c>
      <c r="E164" s="506">
        <v>0</v>
      </c>
      <c r="F164" s="506">
        <v>0</v>
      </c>
      <c r="G164" s="506">
        <v>0</v>
      </c>
      <c r="H164" s="503">
        <f t="shared" si="24"/>
        <v>28149.077076950154</v>
      </c>
      <c r="I164" s="506">
        <v>5408.1284999999998</v>
      </c>
      <c r="J164" s="348">
        <f>'B) D RI'!U164</f>
        <v>5263.6754140127387</v>
      </c>
      <c r="K164" s="62">
        <f t="shared" si="25"/>
        <v>5.2049571449624681</v>
      </c>
      <c r="L164" s="33">
        <f>'B) D RI'!S164</f>
        <v>78.5</v>
      </c>
      <c r="M164" s="442">
        <f t="shared" si="18"/>
        <v>73.295042855037536</v>
      </c>
      <c r="N164" s="437">
        <f>+'J) Plafonnement effort'!H163+'J) Plafonnement effort'!I163-'K) Plafonnement aide'!I163</f>
        <v>-3.4344312841694165</v>
      </c>
      <c r="O164" s="145">
        <f t="shared" si="19"/>
        <v>69.860611570868116</v>
      </c>
      <c r="P164" s="47">
        <f t="shared" si="20"/>
        <v>0</v>
      </c>
      <c r="Q164" s="55">
        <f t="shared" si="23"/>
        <v>0</v>
      </c>
      <c r="R164" s="145">
        <f t="shared" si="21"/>
        <v>69.860611570868116</v>
      </c>
      <c r="S164" s="125">
        <f t="shared" si="22"/>
        <v>-8.6393884291318841</v>
      </c>
      <c r="T164" s="144">
        <f t="shared" si="26"/>
        <v>0</v>
      </c>
      <c r="V164" s="12"/>
    </row>
    <row r="165" spans="1:22" x14ac:dyDescent="0.25">
      <c r="A165" s="49">
        <f>'A) Base RI'!A165</f>
        <v>5665</v>
      </c>
      <c r="B165" s="344" t="str">
        <f>'A) Base RI'!B165</f>
        <v>Chavannes-sur-Moudon</v>
      </c>
      <c r="C165" s="505">
        <v>118809.73548497618</v>
      </c>
      <c r="D165" s="505">
        <v>19800.977675279442</v>
      </c>
      <c r="E165" s="506">
        <v>0</v>
      </c>
      <c r="F165" s="506">
        <v>0</v>
      </c>
      <c r="G165" s="506">
        <v>0</v>
      </c>
      <c r="H165" s="503">
        <f t="shared" si="24"/>
        <v>138610.71316025563</v>
      </c>
      <c r="I165" s="506">
        <v>6834.8221917808223</v>
      </c>
      <c r="J165" s="348">
        <f>'B) D RI'!U165</f>
        <v>4920.86942857143</v>
      </c>
      <c r="K165" s="62">
        <f t="shared" si="25"/>
        <v>20.280075950906401</v>
      </c>
      <c r="L165" s="33">
        <f>'B) D RI'!S165</f>
        <v>70</v>
      </c>
      <c r="M165" s="442">
        <f t="shared" si="18"/>
        <v>49.719924049093599</v>
      </c>
      <c r="N165" s="437">
        <f>+'J) Plafonnement effort'!H164+'J) Plafonnement effort'!I164-'K) Plafonnement aide'!I164</f>
        <v>2.1757098509648691</v>
      </c>
      <c r="O165" s="145">
        <f t="shared" si="19"/>
        <v>51.895633900058471</v>
      </c>
      <c r="P165" s="47">
        <f t="shared" si="20"/>
        <v>0</v>
      </c>
      <c r="Q165" s="55">
        <f t="shared" si="23"/>
        <v>0</v>
      </c>
      <c r="R165" s="145">
        <f t="shared" si="21"/>
        <v>51.895633900058471</v>
      </c>
      <c r="S165" s="125">
        <f t="shared" si="22"/>
        <v>-18.104366099941529</v>
      </c>
      <c r="T165" s="144">
        <f t="shared" si="26"/>
        <v>0</v>
      </c>
      <c r="V165" s="12"/>
    </row>
    <row r="166" spans="1:22" x14ac:dyDescent="0.25">
      <c r="A166" s="49">
        <f>'A) Base RI'!A166</f>
        <v>5669</v>
      </c>
      <c r="B166" s="344" t="str">
        <f>'A) Base RI'!B166</f>
        <v>Curtilles</v>
      </c>
      <c r="C166" s="505">
        <v>155136.31552199807</v>
      </c>
      <c r="D166" s="505">
        <v>69759.576646810223</v>
      </c>
      <c r="E166" s="506">
        <v>0</v>
      </c>
      <c r="F166" s="506">
        <v>0</v>
      </c>
      <c r="G166" s="506">
        <v>0</v>
      </c>
      <c r="H166" s="503">
        <f t="shared" si="24"/>
        <v>224895.89216880829</v>
      </c>
      <c r="I166" s="506">
        <v>10286.853972602739</v>
      </c>
      <c r="J166" s="348">
        <f>'B) D RI'!U166</f>
        <v>9338.3773972602739</v>
      </c>
      <c r="K166" s="62">
        <f t="shared" si="25"/>
        <v>21.862455981953246</v>
      </c>
      <c r="L166" s="33">
        <f>'B) D RI'!S166</f>
        <v>73</v>
      </c>
      <c r="M166" s="442">
        <f t="shared" si="18"/>
        <v>51.137544018046754</v>
      </c>
      <c r="N166" s="437">
        <f>+'J) Plafonnement effort'!H165+'J) Plafonnement effort'!I165-'K) Plafonnement aide'!I165</f>
        <v>15.657106665758789</v>
      </c>
      <c r="O166" s="145">
        <f t="shared" si="19"/>
        <v>66.794650683805543</v>
      </c>
      <c r="P166" s="47">
        <f t="shared" si="20"/>
        <v>0</v>
      </c>
      <c r="Q166" s="55">
        <f t="shared" si="23"/>
        <v>0</v>
      </c>
      <c r="R166" s="145">
        <f t="shared" si="21"/>
        <v>66.794650683805543</v>
      </c>
      <c r="S166" s="125">
        <f t="shared" si="22"/>
        <v>-6.2053493161944573</v>
      </c>
      <c r="T166" s="144">
        <f t="shared" si="26"/>
        <v>0</v>
      </c>
      <c r="V166" s="12"/>
    </row>
    <row r="167" spans="1:22" x14ac:dyDescent="0.25">
      <c r="A167" s="49">
        <f>'A) Base RI'!A167</f>
        <v>5671</v>
      </c>
      <c r="B167" s="344" t="str">
        <f>'A) Base RI'!B167</f>
        <v>Dompierre</v>
      </c>
      <c r="C167" s="505">
        <v>110672.61733831752</v>
      </c>
      <c r="D167" s="505">
        <v>-55520.160931044971</v>
      </c>
      <c r="E167" s="506">
        <v>0</v>
      </c>
      <c r="F167" s="506">
        <v>0</v>
      </c>
      <c r="G167" s="506">
        <v>0</v>
      </c>
      <c r="H167" s="503">
        <f t="shared" si="24"/>
        <v>55152.456407272548</v>
      </c>
      <c r="I167" s="506">
        <v>6034.0657692307695</v>
      </c>
      <c r="J167" s="348">
        <f>'B) D RI'!U167</f>
        <v>6463.9784615384606</v>
      </c>
      <c r="K167" s="62">
        <f t="shared" si="25"/>
        <v>9.1401815155063275</v>
      </c>
      <c r="L167" s="33">
        <f>'B) D RI'!S167</f>
        <v>78</v>
      </c>
      <c r="M167" s="442">
        <f t="shared" ref="M167:M218" si="27">L167-K167</f>
        <v>68.859818484493672</v>
      </c>
      <c r="N167" s="437">
        <f>+'J) Plafonnement effort'!H166+'J) Plafonnement effort'!I166-'K) Plafonnement aide'!I166</f>
        <v>5.7599244993247005</v>
      </c>
      <c r="O167" s="145">
        <f t="shared" ref="O167:O218" si="28">M167+N167</f>
        <v>74.619742983818369</v>
      </c>
      <c r="P167" s="47">
        <f t="shared" ref="P167:P218" si="29">IF(O167&gt;$P$6,$P$6-O167,0)</f>
        <v>0</v>
      </c>
      <c r="Q167" s="55">
        <f t="shared" si="23"/>
        <v>0</v>
      </c>
      <c r="R167" s="145">
        <f t="shared" ref="R167:R218" si="30">O167+P167</f>
        <v>74.619742983818369</v>
      </c>
      <c r="S167" s="125">
        <f t="shared" ref="S167:S218" si="31">R167-L167</f>
        <v>-3.3802570161816305</v>
      </c>
      <c r="T167" s="144">
        <f t="shared" si="26"/>
        <v>0</v>
      </c>
      <c r="V167" s="12"/>
    </row>
    <row r="168" spans="1:22" x14ac:dyDescent="0.25">
      <c r="A168" s="49">
        <f>'A) Base RI'!A168</f>
        <v>5673</v>
      </c>
      <c r="B168" s="344" t="str">
        <f>'A) Base RI'!B168</f>
        <v>Hermenches</v>
      </c>
      <c r="C168" s="505">
        <v>157821.18486359189</v>
      </c>
      <c r="D168" s="505">
        <v>-14054.063852440217</v>
      </c>
      <c r="E168" s="506">
        <v>0</v>
      </c>
      <c r="F168" s="506">
        <v>0</v>
      </c>
      <c r="G168" s="506">
        <v>0</v>
      </c>
      <c r="H168" s="503">
        <f t="shared" si="24"/>
        <v>143767.12101115167</v>
      </c>
      <c r="I168" s="506">
        <v>10638.728435374151</v>
      </c>
      <c r="J168" s="348">
        <f>'B) D RI'!U168</f>
        <v>10227.431292517007</v>
      </c>
      <c r="K168" s="62">
        <f t="shared" si="25"/>
        <v>13.513562441646775</v>
      </c>
      <c r="L168" s="33">
        <f>'B) D RI'!S168</f>
        <v>73.5</v>
      </c>
      <c r="M168" s="442">
        <f t="shared" si="27"/>
        <v>59.986437558353224</v>
      </c>
      <c r="N168" s="437">
        <f>+'J) Plafonnement effort'!H167+'J) Plafonnement effort'!I167-'K) Plafonnement aide'!I167</f>
        <v>10.142602109180185</v>
      </c>
      <c r="O168" s="145">
        <f t="shared" si="28"/>
        <v>70.129039667533405</v>
      </c>
      <c r="P168" s="47">
        <f t="shared" si="29"/>
        <v>0</v>
      </c>
      <c r="Q168" s="55">
        <f t="shared" ref="Q168:Q221" si="32">P168*J168</f>
        <v>0</v>
      </c>
      <c r="R168" s="145">
        <f t="shared" si="30"/>
        <v>70.129039667533405</v>
      </c>
      <c r="S168" s="125">
        <f t="shared" si="31"/>
        <v>-3.3709603324665949</v>
      </c>
      <c r="T168" s="144">
        <f t="shared" si="26"/>
        <v>0</v>
      </c>
      <c r="V168" s="12"/>
    </row>
    <row r="169" spans="1:22" x14ac:dyDescent="0.25">
      <c r="A169" s="49">
        <f>'A) Base RI'!A169</f>
        <v>5674</v>
      </c>
      <c r="B169" s="344" t="str">
        <f>'A) Base RI'!B169</f>
        <v>Lovatens</v>
      </c>
      <c r="C169" s="505">
        <v>84114.698331179039</v>
      </c>
      <c r="D169" s="505">
        <v>-28800.641810924455</v>
      </c>
      <c r="E169" s="506">
        <v>0</v>
      </c>
      <c r="F169" s="506">
        <v>0</v>
      </c>
      <c r="G169" s="506">
        <v>0</v>
      </c>
      <c r="H169" s="503">
        <f t="shared" si="24"/>
        <v>55314.056520254584</v>
      </c>
      <c r="I169" s="506">
        <v>3430.742038095239</v>
      </c>
      <c r="J169" s="348">
        <f>'B) D RI'!U169</f>
        <v>4217.2714666666661</v>
      </c>
      <c r="K169" s="62">
        <f t="shared" si="25"/>
        <v>16.123059065952145</v>
      </c>
      <c r="L169" s="33">
        <f>'B) D RI'!S169</f>
        <v>75</v>
      </c>
      <c r="M169" s="442">
        <f t="shared" si="27"/>
        <v>58.876940934047852</v>
      </c>
      <c r="N169" s="437">
        <f>+'J) Plafonnement effort'!H168+'J) Plafonnement effort'!I168-'K) Plafonnement aide'!I168</f>
        <v>11.477854348881397</v>
      </c>
      <c r="O169" s="145">
        <f t="shared" si="28"/>
        <v>70.354795282929246</v>
      </c>
      <c r="P169" s="47">
        <f t="shared" si="29"/>
        <v>0</v>
      </c>
      <c r="Q169" s="55">
        <f t="shared" si="32"/>
        <v>0</v>
      </c>
      <c r="R169" s="145">
        <f t="shared" si="30"/>
        <v>70.354795282929246</v>
      </c>
      <c r="S169" s="125">
        <f t="shared" si="31"/>
        <v>-4.6452047170707544</v>
      </c>
      <c r="T169" s="144">
        <f t="shared" si="26"/>
        <v>0</v>
      </c>
      <c r="V169" s="12"/>
    </row>
    <row r="170" spans="1:22" x14ac:dyDescent="0.25">
      <c r="A170" s="49">
        <f>'A) Base RI'!A170</f>
        <v>5675</v>
      </c>
      <c r="B170" s="344" t="str">
        <f>'A) Base RI'!B170</f>
        <v>Lucens</v>
      </c>
      <c r="C170" s="505">
        <v>1572416.1674650915</v>
      </c>
      <c r="D170" s="505">
        <v>-1623961.3985867461</v>
      </c>
      <c r="E170" s="506">
        <v>0</v>
      </c>
      <c r="F170" s="506">
        <v>0</v>
      </c>
      <c r="G170" s="506">
        <v>0</v>
      </c>
      <c r="H170" s="503">
        <f t="shared" si="24"/>
        <v>-51545.231121654622</v>
      </c>
      <c r="I170" s="506">
        <v>97154.219717171698</v>
      </c>
      <c r="J170" s="348">
        <f>'B) D RI'!U170</f>
        <v>105170.58216835017</v>
      </c>
      <c r="K170" s="62">
        <f t="shared" si="25"/>
        <v>-0.53055061603818499</v>
      </c>
      <c r="L170" s="33">
        <f>'B) D RI'!S170</f>
        <v>67.5</v>
      </c>
      <c r="M170" s="442">
        <f t="shared" ref="M170" si="33">L170-K170</f>
        <v>68.030550616038184</v>
      </c>
      <c r="N170" s="437">
        <f>+'J) Plafonnement effort'!H169+'J) Plafonnement effort'!I169-'K) Plafonnement aide'!I169</f>
        <v>-1.7951146698898546</v>
      </c>
      <c r="O170" s="145">
        <f t="shared" ref="O170" si="34">M170+N170</f>
        <v>66.235435946148328</v>
      </c>
      <c r="P170" s="47">
        <f t="shared" ref="P170" si="35">IF(O170&gt;$P$6,$P$6-O170,0)</f>
        <v>0</v>
      </c>
      <c r="Q170" s="55">
        <f t="shared" ref="Q170" si="36">P170*J170</f>
        <v>0</v>
      </c>
      <c r="R170" s="145">
        <f t="shared" ref="R170" si="37">O170+P170</f>
        <v>66.235435946148328</v>
      </c>
      <c r="S170" s="125">
        <f t="shared" ref="S170" si="38">R170-L170</f>
        <v>-1.2645640538516716</v>
      </c>
      <c r="T170" s="144">
        <f t="shared" si="26"/>
        <v>0</v>
      </c>
      <c r="V170" s="12"/>
    </row>
    <row r="171" spans="1:22" x14ac:dyDescent="0.25">
      <c r="A171" s="49">
        <f>'A) Base RI'!A171</f>
        <v>5678</v>
      </c>
      <c r="B171" s="344" t="str">
        <f>'A) Base RI'!B171</f>
        <v>Moudon</v>
      </c>
      <c r="C171" s="505">
        <v>2346705.2817523354</v>
      </c>
      <c r="D171" s="505">
        <v>-3645789.8807779234</v>
      </c>
      <c r="E171" s="506">
        <v>299361.25006007089</v>
      </c>
      <c r="F171" s="506">
        <v>0</v>
      </c>
      <c r="G171" s="506">
        <v>0</v>
      </c>
      <c r="H171" s="503">
        <f t="shared" si="24"/>
        <v>-999723.34896551713</v>
      </c>
      <c r="I171" s="506">
        <v>124965.41862068966</v>
      </c>
      <c r="J171" s="348">
        <f>'B) D RI'!U171</f>
        <v>124836.852</v>
      </c>
      <c r="K171" s="62">
        <f t="shared" si="25"/>
        <v>-7.9999999999999991</v>
      </c>
      <c r="L171" s="33">
        <f>'B) D RI'!S171</f>
        <v>72.5</v>
      </c>
      <c r="M171" s="442">
        <f t="shared" si="27"/>
        <v>80.5</v>
      </c>
      <c r="N171" s="437">
        <f>+'J) Plafonnement effort'!H170+'J) Plafonnement effort'!I170-'K) Plafonnement aide'!I170</f>
        <v>-15.492851509905105</v>
      </c>
      <c r="O171" s="145">
        <f t="shared" si="28"/>
        <v>65.007148490094892</v>
      </c>
      <c r="P171" s="47">
        <f t="shared" si="29"/>
        <v>0</v>
      </c>
      <c r="Q171" s="55">
        <f t="shared" si="32"/>
        <v>0</v>
      </c>
      <c r="R171" s="145">
        <f t="shared" si="30"/>
        <v>65.007148490094892</v>
      </c>
      <c r="S171" s="125">
        <f t="shared" si="31"/>
        <v>-7.4928515099051083</v>
      </c>
      <c r="T171" s="144">
        <f t="shared" si="26"/>
        <v>0</v>
      </c>
      <c r="V171" s="12"/>
    </row>
    <row r="172" spans="1:22" x14ac:dyDescent="0.25">
      <c r="A172" s="49">
        <f>'A) Base RI'!A172</f>
        <v>5680</v>
      </c>
      <c r="B172" s="344" t="str">
        <f>'A) Base RI'!B172</f>
        <v>Ogens</v>
      </c>
      <c r="C172" s="505">
        <v>168656.99811826195</v>
      </c>
      <c r="D172" s="505">
        <v>-13230.337099781376</v>
      </c>
      <c r="E172" s="506">
        <v>0</v>
      </c>
      <c r="F172" s="506">
        <v>0</v>
      </c>
      <c r="G172" s="506">
        <v>0</v>
      </c>
      <c r="H172" s="503">
        <f t="shared" si="24"/>
        <v>155426.66101848058</v>
      </c>
      <c r="I172" s="506">
        <v>8675.0652136752142</v>
      </c>
      <c r="J172" s="348">
        <f>'B) D RI'!U172</f>
        <v>8501.5391880341886</v>
      </c>
      <c r="K172" s="62">
        <f t="shared" si="25"/>
        <v>17.916483298992247</v>
      </c>
      <c r="L172" s="33">
        <f>'B) D RI'!S172</f>
        <v>78</v>
      </c>
      <c r="M172" s="442">
        <f t="shared" si="27"/>
        <v>60.083516701007753</v>
      </c>
      <c r="N172" s="437">
        <f>+'J) Plafonnement effort'!H171+'J) Plafonnement effort'!I171-'K) Plafonnement aide'!I171</f>
        <v>6.1495741911480026</v>
      </c>
      <c r="O172" s="145">
        <f t="shared" si="28"/>
        <v>66.233090892155758</v>
      </c>
      <c r="P172" s="47">
        <f t="shared" si="29"/>
        <v>0</v>
      </c>
      <c r="Q172" s="55">
        <f t="shared" si="32"/>
        <v>0</v>
      </c>
      <c r="R172" s="145">
        <f t="shared" si="30"/>
        <v>66.233090892155758</v>
      </c>
      <c r="S172" s="125">
        <f t="shared" si="31"/>
        <v>-11.766909107844242</v>
      </c>
      <c r="T172" s="144">
        <f t="shared" si="26"/>
        <v>0</v>
      </c>
      <c r="V172" s="12"/>
    </row>
    <row r="173" spans="1:22" x14ac:dyDescent="0.25">
      <c r="A173" s="49">
        <f>'A) Base RI'!A173</f>
        <v>5683</v>
      </c>
      <c r="B173" s="344" t="str">
        <f>'A) Base RI'!B173</f>
        <v>Prévonloup</v>
      </c>
      <c r="C173" s="505">
        <v>69816.704189291631</v>
      </c>
      <c r="D173" s="505">
        <v>-28736.051951591973</v>
      </c>
      <c r="E173" s="506">
        <v>0</v>
      </c>
      <c r="F173" s="506">
        <v>0</v>
      </c>
      <c r="G173" s="506">
        <v>0</v>
      </c>
      <c r="H173" s="503">
        <f t="shared" si="24"/>
        <v>41080.652237699658</v>
      </c>
      <c r="I173" s="506">
        <v>5006.0282758620697</v>
      </c>
      <c r="J173" s="348">
        <f>'B) D RI'!U173</f>
        <v>5386.44</v>
      </c>
      <c r="K173" s="62">
        <f t="shared" si="25"/>
        <v>8.2062365559901504</v>
      </c>
      <c r="L173" s="33">
        <f>'B) D RI'!S173</f>
        <v>72.5</v>
      </c>
      <c r="M173" s="442">
        <f t="shared" si="27"/>
        <v>64.293763444009855</v>
      </c>
      <c r="N173" s="437">
        <f>+'J) Plafonnement effort'!H172+'J) Plafonnement effort'!I172-'K) Plafonnement aide'!I172</f>
        <v>6.4267100317227968</v>
      </c>
      <c r="O173" s="145">
        <f t="shared" si="28"/>
        <v>70.720473475732646</v>
      </c>
      <c r="P173" s="47">
        <f t="shared" si="29"/>
        <v>0</v>
      </c>
      <c r="Q173" s="55">
        <f t="shared" si="32"/>
        <v>0</v>
      </c>
      <c r="R173" s="145">
        <f t="shared" si="30"/>
        <v>70.720473475732646</v>
      </c>
      <c r="S173" s="125">
        <f t="shared" si="31"/>
        <v>-1.7795265242673537</v>
      </c>
      <c r="T173" s="144">
        <f t="shared" si="26"/>
        <v>0</v>
      </c>
      <c r="V173" s="12"/>
    </row>
    <row r="174" spans="1:22" x14ac:dyDescent="0.25">
      <c r="A174" s="49">
        <f>'A) Base RI'!A174</f>
        <v>5684</v>
      </c>
      <c r="B174" s="344" t="str">
        <f>'A) Base RI'!B174</f>
        <v>Rossenges</v>
      </c>
      <c r="C174" s="505">
        <v>62908.167625324408</v>
      </c>
      <c r="D174" s="505">
        <v>72666.833364051185</v>
      </c>
      <c r="E174" s="506">
        <v>0</v>
      </c>
      <c r="F174" s="506">
        <v>0</v>
      </c>
      <c r="G174" s="506">
        <v>0</v>
      </c>
      <c r="H174" s="503">
        <f t="shared" si="24"/>
        <v>135575.00098937558</v>
      </c>
      <c r="I174" s="506">
        <v>4335.3234000000011</v>
      </c>
      <c r="J174" s="348">
        <f>'B) D RI'!U174</f>
        <v>3253.4816666666666</v>
      </c>
      <c r="K174" s="62">
        <f t="shared" si="25"/>
        <v>31.272177062817399</v>
      </c>
      <c r="L174" s="33">
        <f>'B) D RI'!S174</f>
        <v>75</v>
      </c>
      <c r="M174" s="442">
        <f t="shared" si="27"/>
        <v>43.727822937182601</v>
      </c>
      <c r="N174" s="437">
        <f>+'J) Plafonnement effort'!H173+'J) Plafonnement effort'!I173-'K) Plafonnement aide'!I173</f>
        <v>18.801121967056417</v>
      </c>
      <c r="O174" s="145">
        <f t="shared" si="28"/>
        <v>62.528944904239019</v>
      </c>
      <c r="P174" s="47">
        <f t="shared" si="29"/>
        <v>0</v>
      </c>
      <c r="Q174" s="55">
        <f t="shared" si="32"/>
        <v>0</v>
      </c>
      <c r="R174" s="145">
        <f t="shared" si="30"/>
        <v>62.528944904239019</v>
      </c>
      <c r="S174" s="125">
        <f t="shared" si="31"/>
        <v>-12.471055095760981</v>
      </c>
      <c r="T174" s="144">
        <f t="shared" si="26"/>
        <v>0</v>
      </c>
      <c r="V174" s="12"/>
    </row>
    <row r="175" spans="1:22" x14ac:dyDescent="0.25">
      <c r="A175" s="49">
        <f>'A) Base RI'!A175</f>
        <v>5688</v>
      </c>
      <c r="B175" s="344" t="str">
        <f>'A) Base RI'!B175</f>
        <v>Syens</v>
      </c>
      <c r="C175" s="505">
        <v>68843.040204403122</v>
      </c>
      <c r="D175" s="505">
        <v>22780.898933697084</v>
      </c>
      <c r="E175" s="506">
        <v>0</v>
      </c>
      <c r="F175" s="506">
        <v>0</v>
      </c>
      <c r="G175" s="506">
        <v>-29396.217297415456</v>
      </c>
      <c r="H175" s="503">
        <f t="shared" si="24"/>
        <v>62227.721840684753</v>
      </c>
      <c r="I175" s="506">
        <v>5094.0764550264557</v>
      </c>
      <c r="J175" s="348">
        <f>'B) D RI'!U175</f>
        <v>6245.666153846154</v>
      </c>
      <c r="K175" s="62">
        <f t="shared" si="25"/>
        <v>12.21570237315207</v>
      </c>
      <c r="L175" s="33">
        <f>'B) D RI'!S175</f>
        <v>65</v>
      </c>
      <c r="M175" s="442">
        <f t="shared" si="27"/>
        <v>52.78429762684793</v>
      </c>
      <c r="N175" s="437">
        <f>+'J) Plafonnement effort'!H174+'J) Plafonnement effort'!I174-'K) Plafonnement aide'!I174</f>
        <v>23.596777467922838</v>
      </c>
      <c r="O175" s="145">
        <f t="shared" si="28"/>
        <v>76.381075094770765</v>
      </c>
      <c r="P175" s="47">
        <f t="shared" si="29"/>
        <v>0</v>
      </c>
      <c r="Q175" s="55">
        <f t="shared" si="32"/>
        <v>0</v>
      </c>
      <c r="R175" s="145">
        <f t="shared" si="30"/>
        <v>76.381075094770765</v>
      </c>
      <c r="S175" s="125">
        <f t="shared" si="31"/>
        <v>11.381075094770765</v>
      </c>
      <c r="T175" s="144">
        <f t="shared" si="26"/>
        <v>0</v>
      </c>
      <c r="V175" s="12"/>
    </row>
    <row r="176" spans="1:22" x14ac:dyDescent="0.25">
      <c r="A176" s="49">
        <f>'A) Base RI'!A176</f>
        <v>5690</v>
      </c>
      <c r="B176" s="344" t="str">
        <f>'A) Base RI'!B176</f>
        <v>Villars-le-Comte</v>
      </c>
      <c r="C176" s="505">
        <v>64844.243896383501</v>
      </c>
      <c r="D176" s="505">
        <v>6736.2117896009877</v>
      </c>
      <c r="E176" s="506">
        <v>0</v>
      </c>
      <c r="F176" s="506">
        <v>0</v>
      </c>
      <c r="G176" s="506">
        <v>0</v>
      </c>
      <c r="H176" s="503">
        <f t="shared" si="24"/>
        <v>71580.455685984489</v>
      </c>
      <c r="I176" s="506">
        <v>3483.7788571428573</v>
      </c>
      <c r="J176" s="348">
        <f>'B) D RI'!U176</f>
        <v>3510.0358095238093</v>
      </c>
      <c r="K176" s="62">
        <f t="shared" si="25"/>
        <v>20.546785149471166</v>
      </c>
      <c r="L176" s="33">
        <f>'B) D RI'!S176</f>
        <v>70</v>
      </c>
      <c r="M176" s="442">
        <f t="shared" si="27"/>
        <v>49.453214850528838</v>
      </c>
      <c r="N176" s="437">
        <f>+'J) Plafonnement effort'!H175+'J) Plafonnement effort'!I175-'K) Plafonnement aide'!I175</f>
        <v>9.9268989077508518</v>
      </c>
      <c r="O176" s="145">
        <f t="shared" si="28"/>
        <v>59.380113758279691</v>
      </c>
      <c r="P176" s="47">
        <f t="shared" si="29"/>
        <v>0</v>
      </c>
      <c r="Q176" s="55">
        <f t="shared" si="32"/>
        <v>0</v>
      </c>
      <c r="R176" s="145">
        <f t="shared" si="30"/>
        <v>59.380113758279691</v>
      </c>
      <c r="S176" s="125">
        <f t="shared" si="31"/>
        <v>-10.619886241720309</v>
      </c>
      <c r="T176" s="144">
        <f t="shared" si="26"/>
        <v>0</v>
      </c>
      <c r="V176" s="12"/>
    </row>
    <row r="177" spans="1:22" x14ac:dyDescent="0.25">
      <c r="A177" s="49">
        <f>'A) Base RI'!A177</f>
        <v>5692</v>
      </c>
      <c r="B177" s="344" t="str">
        <f>'A) Base RI'!B177</f>
        <v>Vucherens</v>
      </c>
      <c r="C177" s="505">
        <v>298488.78182712855</v>
      </c>
      <c r="D177" s="505">
        <v>-6719.8888191436999</v>
      </c>
      <c r="E177" s="506">
        <v>0</v>
      </c>
      <c r="F177" s="506">
        <v>0</v>
      </c>
      <c r="G177" s="506">
        <v>0</v>
      </c>
      <c r="H177" s="503">
        <f t="shared" si="24"/>
        <v>291768.89300798485</v>
      </c>
      <c r="I177" s="506">
        <v>18084.556363636369</v>
      </c>
      <c r="J177" s="348">
        <f>'B) D RI'!U177</f>
        <v>18793.189090909087</v>
      </c>
      <c r="K177" s="62">
        <f t="shared" si="25"/>
        <v>16.133594164060387</v>
      </c>
      <c r="L177" s="33">
        <f>'B) D RI'!S177</f>
        <v>77</v>
      </c>
      <c r="M177" s="442">
        <f t="shared" si="27"/>
        <v>60.866405835939617</v>
      </c>
      <c r="N177" s="437">
        <f>+'J) Plafonnement effort'!H176+'J) Plafonnement effort'!I176-'K) Plafonnement aide'!I176</f>
        <v>12.525265667276038</v>
      </c>
      <c r="O177" s="145">
        <f t="shared" si="28"/>
        <v>73.391671503215662</v>
      </c>
      <c r="P177" s="47">
        <f t="shared" si="29"/>
        <v>0</v>
      </c>
      <c r="Q177" s="55">
        <f t="shared" si="32"/>
        <v>0</v>
      </c>
      <c r="R177" s="145">
        <f t="shared" si="30"/>
        <v>73.391671503215662</v>
      </c>
      <c r="S177" s="125">
        <f t="shared" si="31"/>
        <v>-3.6083284967843383</v>
      </c>
      <c r="T177" s="144">
        <f t="shared" si="26"/>
        <v>0</v>
      </c>
      <c r="V177" s="12"/>
    </row>
    <row r="178" spans="1:22" x14ac:dyDescent="0.25">
      <c r="A178" s="49">
        <f>'A) Base RI'!A178</f>
        <v>5693</v>
      </c>
      <c r="B178" s="344" t="str">
        <f>'A) Base RI'!B178</f>
        <v>Montanaire</v>
      </c>
      <c r="C178" s="505">
        <v>1218889.6696645399</v>
      </c>
      <c r="D178" s="505">
        <v>-687660.75519837881</v>
      </c>
      <c r="E178" s="506">
        <v>0</v>
      </c>
      <c r="F178" s="506">
        <v>0</v>
      </c>
      <c r="G178" s="506">
        <v>0</v>
      </c>
      <c r="H178" s="503">
        <f t="shared" si="24"/>
        <v>531228.91446616105</v>
      </c>
      <c r="I178" s="506">
        <v>71120.535138888881</v>
      </c>
      <c r="J178" s="348">
        <f>'B) D RI'!U178</f>
        <v>75690.162142857153</v>
      </c>
      <c r="K178" s="62">
        <f t="shared" si="25"/>
        <v>7.4694167223115251</v>
      </c>
      <c r="L178" s="33">
        <f>'B) D RI'!S178</f>
        <v>70</v>
      </c>
      <c r="M178" s="442">
        <f>L178-K178</f>
        <v>62.530583277688478</v>
      </c>
      <c r="N178" s="437">
        <f>+'J) Plafonnement effort'!H177+'J) Plafonnement effort'!I177-'K) Plafonnement aide'!I177</f>
        <v>6.0997336857698716</v>
      </c>
      <c r="O178" s="145">
        <f>M178+N178</f>
        <v>68.630316963458355</v>
      </c>
      <c r="P178" s="47">
        <f t="shared" si="29"/>
        <v>0</v>
      </c>
      <c r="Q178" s="55">
        <f>P178*J178</f>
        <v>0</v>
      </c>
      <c r="R178" s="145">
        <f>O178+P178</f>
        <v>68.630316963458355</v>
      </c>
      <c r="S178" s="125">
        <f>R178-L178</f>
        <v>-1.3696830365416446</v>
      </c>
      <c r="T178" s="144">
        <f t="shared" si="26"/>
        <v>0</v>
      </c>
      <c r="V178" s="12"/>
    </row>
    <row r="179" spans="1:22" x14ac:dyDescent="0.25">
      <c r="A179" s="49">
        <f>'A) Base RI'!A179</f>
        <v>5701</v>
      </c>
      <c r="B179" s="344" t="str">
        <f>'A) Base RI'!B179</f>
        <v>Arnex-sur-Nyon</v>
      </c>
      <c r="C179" s="505">
        <v>261697.76606511991</v>
      </c>
      <c r="D179" s="505">
        <v>211313.4589915468</v>
      </c>
      <c r="E179" s="506">
        <v>0</v>
      </c>
      <c r="F179" s="506">
        <v>0</v>
      </c>
      <c r="G179" s="506">
        <v>0</v>
      </c>
      <c r="H179" s="503">
        <f t="shared" si="24"/>
        <v>473011.22505666671</v>
      </c>
      <c r="I179" s="506">
        <v>12579.391714285715</v>
      </c>
      <c r="J179" s="348">
        <f>'B) D RI'!U179</f>
        <v>14488.714857142857</v>
      </c>
      <c r="K179" s="62">
        <f t="shared" si="25"/>
        <v>37.602074551784106</v>
      </c>
      <c r="L179" s="33">
        <f>'B) D RI'!S179</f>
        <v>70</v>
      </c>
      <c r="M179" s="442">
        <f>L179-K179</f>
        <v>32.397925448215894</v>
      </c>
      <c r="N179" s="437">
        <f>+'J) Plafonnement effort'!H178+'J) Plafonnement effort'!I178-'K) Plafonnement aide'!I178</f>
        <v>33.139898483879463</v>
      </c>
      <c r="O179" s="145">
        <f>M179+N179</f>
        <v>65.537823932095364</v>
      </c>
      <c r="P179" s="47">
        <f t="shared" si="29"/>
        <v>0</v>
      </c>
      <c r="Q179" s="55">
        <f>P179*J179</f>
        <v>0</v>
      </c>
      <c r="R179" s="145">
        <f>O179+P179</f>
        <v>65.537823932095364</v>
      </c>
      <c r="S179" s="125">
        <f>R179-L179</f>
        <v>-4.4621760679046361</v>
      </c>
      <c r="T179" s="144">
        <f t="shared" si="26"/>
        <v>0</v>
      </c>
      <c r="V179" s="12"/>
    </row>
    <row r="180" spans="1:22" x14ac:dyDescent="0.25">
      <c r="A180" s="49">
        <f>'A) Base RI'!A180</f>
        <v>5702</v>
      </c>
      <c r="B180" s="344" t="str">
        <f>'A) Base RI'!B180</f>
        <v>Arzier-Le Muids</v>
      </c>
      <c r="C180" s="505">
        <v>3111629.4105793475</v>
      </c>
      <c r="D180" s="505">
        <v>2426981.6614446696</v>
      </c>
      <c r="E180" s="506">
        <v>0</v>
      </c>
      <c r="F180" s="506">
        <v>0</v>
      </c>
      <c r="G180" s="506">
        <v>0</v>
      </c>
      <c r="H180" s="503">
        <f t="shared" si="24"/>
        <v>5538611.0720240176</v>
      </c>
      <c r="I180" s="506">
        <v>167751.11713541666</v>
      </c>
      <c r="J180" s="348">
        <f>'B) D RI'!U180</f>
        <v>174862.96255208339</v>
      </c>
      <c r="K180" s="62">
        <f t="shared" si="25"/>
        <v>33.016835694471041</v>
      </c>
      <c r="L180" s="33">
        <f>'B) D RI'!S180</f>
        <v>64</v>
      </c>
      <c r="M180" s="442">
        <f t="shared" si="27"/>
        <v>30.983164305528959</v>
      </c>
      <c r="N180" s="437">
        <f>+'J) Plafonnement effort'!H179+'J) Plafonnement effort'!I179-'K) Plafonnement aide'!I179</f>
        <v>28.888934237640882</v>
      </c>
      <c r="O180" s="145">
        <f t="shared" si="28"/>
        <v>59.872098543169841</v>
      </c>
      <c r="P180" s="47">
        <f t="shared" si="29"/>
        <v>0</v>
      </c>
      <c r="Q180" s="55">
        <f t="shared" si="32"/>
        <v>0</v>
      </c>
      <c r="R180" s="145">
        <f t="shared" si="30"/>
        <v>59.872098543169841</v>
      </c>
      <c r="S180" s="125">
        <f t="shared" si="31"/>
        <v>-4.1279014568301591</v>
      </c>
      <c r="T180" s="144">
        <f t="shared" si="26"/>
        <v>0</v>
      </c>
      <c r="V180" s="12"/>
    </row>
    <row r="181" spans="1:22" x14ac:dyDescent="0.25">
      <c r="A181" s="49">
        <f>'A) Base RI'!A181</f>
        <v>5703</v>
      </c>
      <c r="B181" s="344" t="str">
        <f>'A) Base RI'!B181</f>
        <v>Bassins</v>
      </c>
      <c r="C181" s="505">
        <v>1167079.7700135177</v>
      </c>
      <c r="D181" s="505">
        <v>905832.02854243456</v>
      </c>
      <c r="E181" s="506">
        <v>0</v>
      </c>
      <c r="F181" s="506">
        <v>0</v>
      </c>
      <c r="G181" s="506">
        <v>0</v>
      </c>
      <c r="H181" s="503">
        <f t="shared" si="24"/>
        <v>2072911.7985559523</v>
      </c>
      <c r="I181" s="506">
        <v>66904.36396059113</v>
      </c>
      <c r="J181" s="348">
        <f>'B) D RI'!U181</f>
        <v>66800.247822660094</v>
      </c>
      <c r="K181" s="62">
        <f t="shared" si="25"/>
        <v>30.983207609251998</v>
      </c>
      <c r="L181" s="33">
        <f>'B) D RI'!S181</f>
        <v>72.5</v>
      </c>
      <c r="M181" s="442">
        <f t="shared" si="27"/>
        <v>41.516792390748002</v>
      </c>
      <c r="N181" s="437">
        <f>+'J) Plafonnement effort'!H180+'J) Plafonnement effort'!I180-'K) Plafonnement aide'!I180</f>
        <v>24.953687466105073</v>
      </c>
      <c r="O181" s="145">
        <f t="shared" si="28"/>
        <v>66.470479856853075</v>
      </c>
      <c r="P181" s="47">
        <f t="shared" si="29"/>
        <v>0</v>
      </c>
      <c r="Q181" s="55">
        <f t="shared" si="32"/>
        <v>0</v>
      </c>
      <c r="R181" s="145">
        <f t="shared" si="30"/>
        <v>66.470479856853075</v>
      </c>
      <c r="S181" s="125">
        <f t="shared" si="31"/>
        <v>-6.0295201431469252</v>
      </c>
      <c r="T181" s="144">
        <f t="shared" si="26"/>
        <v>0</v>
      </c>
      <c r="V181" s="12"/>
    </row>
    <row r="182" spans="1:22" x14ac:dyDescent="0.25">
      <c r="A182" s="49">
        <f>'A) Base RI'!A182</f>
        <v>5704</v>
      </c>
      <c r="B182" s="344" t="str">
        <f>'A) Base RI'!B182</f>
        <v>Begnins</v>
      </c>
      <c r="C182" s="505">
        <v>2938556.8511514338</v>
      </c>
      <c r="D182" s="505">
        <v>2266275.7438854752</v>
      </c>
      <c r="E182" s="506">
        <v>0</v>
      </c>
      <c r="F182" s="506">
        <v>0</v>
      </c>
      <c r="G182" s="506">
        <v>0</v>
      </c>
      <c r="H182" s="503">
        <f t="shared" si="24"/>
        <v>5204832.595036909</v>
      </c>
      <c r="I182" s="506">
        <v>141538.79477333333</v>
      </c>
      <c r="J182" s="348">
        <f>'B) D RI'!U182</f>
        <v>202343.35360000003</v>
      </c>
      <c r="K182" s="62">
        <f t="shared" si="25"/>
        <v>36.773187191343297</v>
      </c>
      <c r="L182" s="33">
        <f>'B) D RI'!S182</f>
        <v>62.5</v>
      </c>
      <c r="M182" s="442">
        <f t="shared" si="27"/>
        <v>25.726812808656703</v>
      </c>
      <c r="N182" s="437">
        <f>+'J) Plafonnement effort'!H181+'J) Plafonnement effort'!I181-'K) Plafonnement aide'!I181</f>
        <v>40.562808740119202</v>
      </c>
      <c r="O182" s="145">
        <f t="shared" si="28"/>
        <v>66.289621548775898</v>
      </c>
      <c r="P182" s="47">
        <f t="shared" si="29"/>
        <v>0</v>
      </c>
      <c r="Q182" s="55">
        <f t="shared" si="32"/>
        <v>0</v>
      </c>
      <c r="R182" s="145">
        <f t="shared" si="30"/>
        <v>66.289621548775898</v>
      </c>
      <c r="S182" s="125">
        <f t="shared" si="31"/>
        <v>3.789621548775898</v>
      </c>
      <c r="T182" s="144">
        <f t="shared" si="26"/>
        <v>0</v>
      </c>
      <c r="V182" s="12"/>
    </row>
    <row r="183" spans="1:22" x14ac:dyDescent="0.25">
      <c r="A183" s="49">
        <f>'A) Base RI'!A183</f>
        <v>5705</v>
      </c>
      <c r="B183" s="344" t="str">
        <f>'A) Base RI'!B183</f>
        <v>Bogis-Bossey</v>
      </c>
      <c r="C183" s="505">
        <v>1261174.8148226461</v>
      </c>
      <c r="D183" s="505">
        <v>972505.92448608042</v>
      </c>
      <c r="E183" s="506">
        <v>0</v>
      </c>
      <c r="F183" s="506">
        <v>0</v>
      </c>
      <c r="G183" s="506">
        <v>0</v>
      </c>
      <c r="H183" s="503">
        <f t="shared" si="24"/>
        <v>2233680.7393087265</v>
      </c>
      <c r="I183" s="506">
        <v>56148.948053691274</v>
      </c>
      <c r="J183" s="348">
        <f>'B) D RI'!U183</f>
        <v>51953.338389261742</v>
      </c>
      <c r="K183" s="62">
        <f t="shared" si="25"/>
        <v>39.781346164719153</v>
      </c>
      <c r="L183" s="33">
        <f>'B) D RI'!S183</f>
        <v>74.5</v>
      </c>
      <c r="M183" s="442">
        <f t="shared" si="27"/>
        <v>34.718653835280847</v>
      </c>
      <c r="N183" s="437">
        <f>+'J) Plafonnement effort'!H182+'J) Plafonnement effort'!I182-'K) Plafonnement aide'!I182</f>
        <v>31.491156805632265</v>
      </c>
      <c r="O183" s="145">
        <f t="shared" si="28"/>
        <v>66.209810640913105</v>
      </c>
      <c r="P183" s="47">
        <f t="shared" si="29"/>
        <v>0</v>
      </c>
      <c r="Q183" s="55">
        <f t="shared" si="32"/>
        <v>0</v>
      </c>
      <c r="R183" s="145">
        <f t="shared" si="30"/>
        <v>66.209810640913105</v>
      </c>
      <c r="S183" s="125">
        <f t="shared" si="31"/>
        <v>-8.2901893590868951</v>
      </c>
      <c r="T183" s="144">
        <f t="shared" si="26"/>
        <v>0</v>
      </c>
      <c r="V183" s="12"/>
    </row>
    <row r="184" spans="1:22" x14ac:dyDescent="0.25">
      <c r="A184" s="49">
        <f>'A) Base RI'!A184</f>
        <v>5706</v>
      </c>
      <c r="B184" s="344" t="str">
        <f>'A) Base RI'!B184</f>
        <v>Borex</v>
      </c>
      <c r="C184" s="505">
        <v>1690158.331890923</v>
      </c>
      <c r="D184" s="505">
        <v>1432383.8420637292</v>
      </c>
      <c r="E184" s="506">
        <v>0</v>
      </c>
      <c r="F184" s="506">
        <v>0</v>
      </c>
      <c r="G184" s="506">
        <v>0</v>
      </c>
      <c r="H184" s="503">
        <f t="shared" si="24"/>
        <v>3122542.1739546522</v>
      </c>
      <c r="I184" s="506">
        <v>84057.706842105254</v>
      </c>
      <c r="J184" s="348">
        <f>'B) D RI'!U184</f>
        <v>71207.99596491229</v>
      </c>
      <c r="K184" s="62">
        <f t="shared" si="25"/>
        <v>37.147601228523442</v>
      </c>
      <c r="L184" s="33">
        <f>'B) D RI'!S184</f>
        <v>57</v>
      </c>
      <c r="M184" s="442">
        <f t="shared" si="27"/>
        <v>19.852398771476558</v>
      </c>
      <c r="N184" s="437">
        <f>+'J) Plafonnement effort'!H183+'J) Plafonnement effort'!I183-'K) Plafonnement aide'!I183</f>
        <v>31.093574710418899</v>
      </c>
      <c r="O184" s="145">
        <f t="shared" si="28"/>
        <v>50.945973481895457</v>
      </c>
      <c r="P184" s="47">
        <f t="shared" si="29"/>
        <v>0</v>
      </c>
      <c r="Q184" s="55">
        <f t="shared" si="32"/>
        <v>0</v>
      </c>
      <c r="R184" s="145">
        <f t="shared" si="30"/>
        <v>50.945973481895457</v>
      </c>
      <c r="S184" s="125">
        <f t="shared" si="31"/>
        <v>-6.0540265181045427</v>
      </c>
      <c r="T184" s="144">
        <f t="shared" si="26"/>
        <v>0</v>
      </c>
      <c r="V184" s="12"/>
    </row>
    <row r="185" spans="1:22" x14ac:dyDescent="0.25">
      <c r="A185" s="49">
        <f>'A) Base RI'!A185</f>
        <v>5707</v>
      </c>
      <c r="B185" s="344" t="str">
        <f>'A) Base RI'!B185</f>
        <v>Chavannes-de-Bogis</v>
      </c>
      <c r="C185" s="505">
        <v>1762136.8882629981</v>
      </c>
      <c r="D185" s="505">
        <v>1330078.439751057</v>
      </c>
      <c r="E185" s="506">
        <v>0</v>
      </c>
      <c r="F185" s="506">
        <v>0</v>
      </c>
      <c r="G185" s="506">
        <v>0</v>
      </c>
      <c r="H185" s="503">
        <f t="shared" si="24"/>
        <v>3092215.3280140553</v>
      </c>
      <c r="I185" s="506">
        <v>81835.320459770097</v>
      </c>
      <c r="J185" s="348">
        <f>'B) D RI'!U185</f>
        <v>88021.415574712664</v>
      </c>
      <c r="K185" s="62">
        <f t="shared" si="25"/>
        <v>37.785827814215935</v>
      </c>
      <c r="L185" s="33">
        <f>'B) D RI'!S185</f>
        <v>58</v>
      </c>
      <c r="M185" s="442">
        <f t="shared" si="27"/>
        <v>20.214172185784065</v>
      </c>
      <c r="N185" s="437">
        <f>+'J) Plafonnement effort'!H184+'J) Plafonnement effort'!I184-'K) Plafonnement aide'!I184</f>
        <v>32.098494415984483</v>
      </c>
      <c r="O185" s="145">
        <f t="shared" si="28"/>
        <v>52.312666601768548</v>
      </c>
      <c r="P185" s="47">
        <f t="shared" si="29"/>
        <v>0</v>
      </c>
      <c r="Q185" s="55">
        <f t="shared" si="32"/>
        <v>0</v>
      </c>
      <c r="R185" s="145">
        <f t="shared" si="30"/>
        <v>52.312666601768548</v>
      </c>
      <c r="S185" s="125">
        <f t="shared" si="31"/>
        <v>-5.687333398231452</v>
      </c>
      <c r="T185" s="144">
        <f t="shared" si="26"/>
        <v>0</v>
      </c>
      <c r="V185" s="12"/>
    </row>
    <row r="186" spans="1:22" x14ac:dyDescent="0.25">
      <c r="A186" s="49">
        <f>'A) Base RI'!A186</f>
        <v>5708</v>
      </c>
      <c r="B186" s="344" t="str">
        <f>'A) Base RI'!B186</f>
        <v>Chavannes-des-Bois</v>
      </c>
      <c r="C186" s="505">
        <v>1373029.8512153095</v>
      </c>
      <c r="D186" s="505">
        <v>1160391.7286775715</v>
      </c>
      <c r="E186" s="506">
        <v>0</v>
      </c>
      <c r="F186" s="506">
        <v>0</v>
      </c>
      <c r="G186" s="506">
        <v>0</v>
      </c>
      <c r="H186" s="503">
        <f t="shared" si="24"/>
        <v>2533421.5798928812</v>
      </c>
      <c r="I186" s="506">
        <v>67256.112794117653</v>
      </c>
      <c r="J186" s="348">
        <f>'B) D RI'!U186</f>
        <v>67001.640000000014</v>
      </c>
      <c r="K186" s="62">
        <f t="shared" si="25"/>
        <v>37.668272438642319</v>
      </c>
      <c r="L186" s="33">
        <f>'B) D RI'!S186</f>
        <v>68</v>
      </c>
      <c r="M186" s="442">
        <f t="shared" si="27"/>
        <v>30.331727561357681</v>
      </c>
      <c r="N186" s="437">
        <f>+'J) Plafonnement effort'!H185+'J) Plafonnement effort'!I185-'K) Plafonnement aide'!I185</f>
        <v>33.712144932613015</v>
      </c>
      <c r="O186" s="145">
        <f t="shared" si="28"/>
        <v>64.043872493970696</v>
      </c>
      <c r="P186" s="47">
        <f t="shared" si="29"/>
        <v>0</v>
      </c>
      <c r="Q186" s="55">
        <f t="shared" si="32"/>
        <v>0</v>
      </c>
      <c r="R186" s="145">
        <f t="shared" si="30"/>
        <v>64.043872493970696</v>
      </c>
      <c r="S186" s="125">
        <f t="shared" si="31"/>
        <v>-3.9561275060293042</v>
      </c>
      <c r="T186" s="144">
        <f t="shared" si="26"/>
        <v>0</v>
      </c>
      <c r="V186" s="12"/>
    </row>
    <row r="187" spans="1:22" x14ac:dyDescent="0.25">
      <c r="A187" s="49">
        <f>'A) Base RI'!A187</f>
        <v>5709</v>
      </c>
      <c r="B187" s="344" t="str">
        <f>'A) Base RI'!B187</f>
        <v>Chéserex</v>
      </c>
      <c r="C187" s="505">
        <v>2162117.3568649846</v>
      </c>
      <c r="D187" s="505">
        <v>1655870.4883459634</v>
      </c>
      <c r="E187" s="506">
        <v>0</v>
      </c>
      <c r="F187" s="506">
        <v>0</v>
      </c>
      <c r="G187" s="506">
        <v>0</v>
      </c>
      <c r="H187" s="503">
        <f t="shared" si="24"/>
        <v>3817987.845210948</v>
      </c>
      <c r="I187" s="506">
        <v>97368.06631578946</v>
      </c>
      <c r="J187" s="348">
        <f>'B) D RI'!U187</f>
        <v>88342.385614035084</v>
      </c>
      <c r="K187" s="62">
        <f t="shared" si="25"/>
        <v>39.21190991744912</v>
      </c>
      <c r="L187" s="33">
        <f>'B) D RI'!S187</f>
        <v>57</v>
      </c>
      <c r="M187" s="442">
        <f t="shared" si="27"/>
        <v>17.78809008255088</v>
      </c>
      <c r="N187" s="437">
        <f>+'J) Plafonnement effort'!H186+'J) Plafonnement effort'!I186-'K) Plafonnement aide'!I186</f>
        <v>33.025838436804655</v>
      </c>
      <c r="O187" s="145">
        <f t="shared" si="28"/>
        <v>50.813928519355535</v>
      </c>
      <c r="P187" s="47">
        <f t="shared" si="29"/>
        <v>0</v>
      </c>
      <c r="Q187" s="55">
        <f t="shared" si="32"/>
        <v>0</v>
      </c>
      <c r="R187" s="145">
        <f t="shared" si="30"/>
        <v>50.813928519355535</v>
      </c>
      <c r="S187" s="125">
        <f t="shared" si="31"/>
        <v>-6.1860714806444648</v>
      </c>
      <c r="T187" s="144">
        <f t="shared" si="26"/>
        <v>0</v>
      </c>
      <c r="V187" s="12"/>
    </row>
    <row r="188" spans="1:22" x14ac:dyDescent="0.25">
      <c r="A188" s="49">
        <f>'A) Base RI'!A188</f>
        <v>5710</v>
      </c>
      <c r="B188" s="344" t="str">
        <f>'A) Base RI'!B188</f>
        <v>Coinsins</v>
      </c>
      <c r="C188" s="505">
        <v>850424.65817788569</v>
      </c>
      <c r="D188" s="505">
        <v>724701.07249682595</v>
      </c>
      <c r="E188" s="506">
        <v>0</v>
      </c>
      <c r="F188" s="506">
        <v>0</v>
      </c>
      <c r="G188" s="506">
        <v>0</v>
      </c>
      <c r="H188" s="503">
        <f t="shared" si="24"/>
        <v>1575125.7306747115</v>
      </c>
      <c r="I188" s="506">
        <v>41108.965294117646</v>
      </c>
      <c r="J188" s="348">
        <f>'B) D RI'!U188</f>
        <v>43412.265098039228</v>
      </c>
      <c r="K188" s="62">
        <f t="shared" si="25"/>
        <v>38.315869042320536</v>
      </c>
      <c r="L188" s="33">
        <f>'B) D RI'!S188</f>
        <v>51</v>
      </c>
      <c r="M188" s="442">
        <f t="shared" si="27"/>
        <v>12.684130957679464</v>
      </c>
      <c r="N188" s="437">
        <f>+'J) Plafonnement effort'!H187+'J) Plafonnement effort'!I187-'K) Plafonnement aide'!I187</f>
        <v>36.363068892086034</v>
      </c>
      <c r="O188" s="145">
        <f t="shared" si="28"/>
        <v>49.047199849765498</v>
      </c>
      <c r="P188" s="47">
        <f t="shared" si="29"/>
        <v>0</v>
      </c>
      <c r="Q188" s="55">
        <f t="shared" si="32"/>
        <v>0</v>
      </c>
      <c r="R188" s="145">
        <f t="shared" si="30"/>
        <v>49.047199849765498</v>
      </c>
      <c r="S188" s="125">
        <f t="shared" si="31"/>
        <v>-1.952800150234502</v>
      </c>
      <c r="T188" s="144">
        <f t="shared" si="26"/>
        <v>0</v>
      </c>
      <c r="V188" s="12"/>
    </row>
    <row r="189" spans="1:22" x14ac:dyDescent="0.25">
      <c r="A189" s="49">
        <f>'A) Base RI'!A189</f>
        <v>5711</v>
      </c>
      <c r="B189" s="344" t="str">
        <f>'A) Base RI'!B189</f>
        <v>Commugny</v>
      </c>
      <c r="C189" s="505">
        <v>5902899.3225434162</v>
      </c>
      <c r="D189" s="505">
        <v>4026827.8942220341</v>
      </c>
      <c r="E189" s="506">
        <v>0</v>
      </c>
      <c r="F189" s="506">
        <v>0</v>
      </c>
      <c r="G189" s="506">
        <v>0</v>
      </c>
      <c r="H189" s="503">
        <f t="shared" si="24"/>
        <v>9929727.2167654503</v>
      </c>
      <c r="I189" s="506">
        <v>252772.67295911297</v>
      </c>
      <c r="J189" s="348">
        <f>'B) D RI'!U189</f>
        <v>286273.03470547468</v>
      </c>
      <c r="K189" s="62">
        <f t="shared" si="25"/>
        <v>39.283230661455342</v>
      </c>
      <c r="L189" s="33">
        <f>'B) D RI'!S189</f>
        <v>55.5</v>
      </c>
      <c r="M189" s="442">
        <f t="shared" si="27"/>
        <v>16.216769338544658</v>
      </c>
      <c r="N189" s="437">
        <f>+'J) Plafonnement effort'!H188+'J) Plafonnement effort'!I188-'K) Plafonnement aide'!I188</f>
        <v>37.086058793817877</v>
      </c>
      <c r="O189" s="145">
        <f t="shared" si="28"/>
        <v>53.302828132362535</v>
      </c>
      <c r="P189" s="47">
        <f t="shared" si="29"/>
        <v>0</v>
      </c>
      <c r="Q189" s="55">
        <f t="shared" si="32"/>
        <v>0</v>
      </c>
      <c r="R189" s="145">
        <f t="shared" si="30"/>
        <v>53.302828132362535</v>
      </c>
      <c r="S189" s="125">
        <f t="shared" si="31"/>
        <v>-2.197171867637465</v>
      </c>
      <c r="T189" s="144">
        <f t="shared" si="26"/>
        <v>0</v>
      </c>
      <c r="V189" s="12"/>
    </row>
    <row r="190" spans="1:22" x14ac:dyDescent="0.25">
      <c r="A190" s="49">
        <f>'A) Base RI'!A190</f>
        <v>5712</v>
      </c>
      <c r="B190" s="344" t="str">
        <f>'A) Base RI'!B190</f>
        <v>Coppet</v>
      </c>
      <c r="C190" s="505">
        <v>10575797.966616083</v>
      </c>
      <c r="D190" s="505">
        <v>6379876.6840076772</v>
      </c>
      <c r="E190" s="506">
        <v>0</v>
      </c>
      <c r="F190" s="506">
        <v>0</v>
      </c>
      <c r="G190" s="506">
        <v>0</v>
      </c>
      <c r="H190" s="503">
        <f t="shared" si="24"/>
        <v>16955674.650623761</v>
      </c>
      <c r="I190" s="506">
        <v>382004.08345911955</v>
      </c>
      <c r="J190" s="348">
        <f>'B) D RI'!U190</f>
        <v>333754.3945283019</v>
      </c>
      <c r="K190" s="62">
        <f t="shared" si="25"/>
        <v>44.386108381583007</v>
      </c>
      <c r="L190" s="33">
        <f>'B) D RI'!S190</f>
        <v>53</v>
      </c>
      <c r="M190" s="442">
        <f t="shared" si="27"/>
        <v>8.6138916184169929</v>
      </c>
      <c r="N190" s="437">
        <f>+'J) Plafonnement effort'!H189+'J) Plafonnement effort'!I189-'K) Plafonnement aide'!I189</f>
        <v>38.179504997070403</v>
      </c>
      <c r="O190" s="145">
        <f t="shared" si="28"/>
        <v>46.793396615487396</v>
      </c>
      <c r="P190" s="47">
        <f t="shared" si="29"/>
        <v>0</v>
      </c>
      <c r="Q190" s="55">
        <f t="shared" si="32"/>
        <v>0</v>
      </c>
      <c r="R190" s="145">
        <f t="shared" si="30"/>
        <v>46.793396615487396</v>
      </c>
      <c r="S190" s="125">
        <f t="shared" si="31"/>
        <v>-6.2066033845126043</v>
      </c>
      <c r="T190" s="144">
        <f t="shared" si="26"/>
        <v>0</v>
      </c>
      <c r="V190" s="12"/>
    </row>
    <row r="191" spans="1:22" x14ac:dyDescent="0.25">
      <c r="A191" s="49">
        <f>'A) Base RI'!A191</f>
        <v>5713</v>
      </c>
      <c r="B191" s="344" t="str">
        <f>'A) Base RI'!B191</f>
        <v>Crans</v>
      </c>
      <c r="C191" s="505">
        <v>9570225.205622267</v>
      </c>
      <c r="D191" s="505">
        <v>5326123.579691981</v>
      </c>
      <c r="E191" s="506">
        <v>0</v>
      </c>
      <c r="F191" s="506">
        <v>0</v>
      </c>
      <c r="G191" s="506">
        <v>0</v>
      </c>
      <c r="H191" s="503">
        <f t="shared" si="24"/>
        <v>14896348.785314247</v>
      </c>
      <c r="I191" s="506">
        <v>308668.8301785714</v>
      </c>
      <c r="J191" s="348">
        <f>'B) D RI'!U191</f>
        <v>302504.79982142855</v>
      </c>
      <c r="K191" s="62">
        <f t="shared" si="25"/>
        <v>48.259970975029766</v>
      </c>
      <c r="L191" s="33">
        <f>'B) D RI'!S191</f>
        <v>56</v>
      </c>
      <c r="M191" s="442">
        <f t="shared" si="27"/>
        <v>7.7400290249702337</v>
      </c>
      <c r="N191" s="437">
        <f>+'J) Plafonnement effort'!H190+'J) Plafonnement effort'!I190-'K) Plafonnement aide'!I190</f>
        <v>42.755144519846169</v>
      </c>
      <c r="O191" s="145">
        <f t="shared" si="28"/>
        <v>50.495173544816403</v>
      </c>
      <c r="P191" s="47">
        <f t="shared" si="29"/>
        <v>0</v>
      </c>
      <c r="Q191" s="55">
        <f t="shared" si="32"/>
        <v>0</v>
      </c>
      <c r="R191" s="145">
        <f t="shared" si="30"/>
        <v>50.495173544816403</v>
      </c>
      <c r="S191" s="125">
        <f t="shared" si="31"/>
        <v>-5.504826455183597</v>
      </c>
      <c r="T191" s="144">
        <f t="shared" si="26"/>
        <v>0</v>
      </c>
      <c r="V191" s="12"/>
    </row>
    <row r="192" spans="1:22" x14ac:dyDescent="0.25">
      <c r="A192" s="49">
        <f>'A) Base RI'!A192</f>
        <v>5714</v>
      </c>
      <c r="B192" s="344" t="str">
        <f>'A) Base RI'!B192</f>
        <v>Crassier</v>
      </c>
      <c r="C192" s="505">
        <v>885237.3179974485</v>
      </c>
      <c r="D192" s="505">
        <v>781622.8637622993</v>
      </c>
      <c r="E192" s="506">
        <v>0</v>
      </c>
      <c r="F192" s="506">
        <v>0</v>
      </c>
      <c r="G192" s="506">
        <v>0</v>
      </c>
      <c r="H192" s="503">
        <f t="shared" si="24"/>
        <v>1666860.1817597477</v>
      </c>
      <c r="I192" s="506">
        <v>53429.691617647055</v>
      </c>
      <c r="J192" s="348">
        <f>'B) D RI'!U192</f>
        <v>62136.029852941167</v>
      </c>
      <c r="K192" s="62">
        <f t="shared" si="25"/>
        <v>31.197263755293843</v>
      </c>
      <c r="L192" s="33">
        <f>'B) D RI'!S192</f>
        <v>68</v>
      </c>
      <c r="M192" s="442">
        <f t="shared" si="27"/>
        <v>36.802736244706153</v>
      </c>
      <c r="N192" s="437">
        <f>+'J) Plafonnement effort'!H191+'J) Plafonnement effort'!I191-'K) Plafonnement aide'!I191</f>
        <v>28.300699970476078</v>
      </c>
      <c r="O192" s="145">
        <f t="shared" si="28"/>
        <v>65.103436215182228</v>
      </c>
      <c r="P192" s="47">
        <f t="shared" si="29"/>
        <v>0</v>
      </c>
      <c r="Q192" s="55">
        <f t="shared" si="32"/>
        <v>0</v>
      </c>
      <c r="R192" s="145">
        <f t="shared" si="30"/>
        <v>65.103436215182228</v>
      </c>
      <c r="S192" s="125">
        <f t="shared" si="31"/>
        <v>-2.8965637848177721</v>
      </c>
      <c r="T192" s="144">
        <f t="shared" si="26"/>
        <v>0</v>
      </c>
      <c r="V192" s="12"/>
    </row>
    <row r="193" spans="1:22" x14ac:dyDescent="0.25">
      <c r="A193" s="49">
        <f>'A) Base RI'!A193</f>
        <v>5715</v>
      </c>
      <c r="B193" s="344" t="str">
        <f>'A) Base RI'!B193</f>
        <v>Duillier</v>
      </c>
      <c r="C193" s="505">
        <v>1165456.2676095408</v>
      </c>
      <c r="D193" s="505">
        <v>1011567.9391825885</v>
      </c>
      <c r="E193" s="506">
        <v>0</v>
      </c>
      <c r="F193" s="506">
        <v>0</v>
      </c>
      <c r="G193" s="506">
        <v>0</v>
      </c>
      <c r="H193" s="503">
        <f t="shared" si="24"/>
        <v>2177024.2067921292</v>
      </c>
      <c r="I193" s="506">
        <v>61573.714242424234</v>
      </c>
      <c r="J193" s="348">
        <f>'B) D RI'!U193</f>
        <v>70395.129393939395</v>
      </c>
      <c r="K193" s="62">
        <f t="shared" si="25"/>
        <v>35.356389225130769</v>
      </c>
      <c r="L193" s="33">
        <f>'B) D RI'!S193</f>
        <v>66</v>
      </c>
      <c r="M193" s="442">
        <f t="shared" si="27"/>
        <v>30.643610774869231</v>
      </c>
      <c r="N193" s="437">
        <f>+'J) Plafonnement effort'!H192+'J) Plafonnement effort'!I192-'K) Plafonnement aide'!I192</f>
        <v>31.659382653944316</v>
      </c>
      <c r="O193" s="145">
        <f t="shared" si="28"/>
        <v>62.302993428813551</v>
      </c>
      <c r="P193" s="47">
        <f t="shared" si="29"/>
        <v>0</v>
      </c>
      <c r="Q193" s="55">
        <f t="shared" si="32"/>
        <v>0</v>
      </c>
      <c r="R193" s="145">
        <f t="shared" si="30"/>
        <v>62.302993428813551</v>
      </c>
      <c r="S193" s="125">
        <f t="shared" si="31"/>
        <v>-3.6970065711864493</v>
      </c>
      <c r="T193" s="144">
        <f t="shared" si="26"/>
        <v>0</v>
      </c>
      <c r="V193" s="12"/>
    </row>
    <row r="194" spans="1:22" x14ac:dyDescent="0.25">
      <c r="A194" s="49">
        <f>'A) Base RI'!A194</f>
        <v>5716</v>
      </c>
      <c r="B194" s="344" t="str">
        <f>'A) Base RI'!B194</f>
        <v>Eysins</v>
      </c>
      <c r="C194" s="505">
        <v>11332849.905141495</v>
      </c>
      <c r="D194" s="505">
        <v>5588678.9757166272</v>
      </c>
      <c r="E194" s="506">
        <v>0</v>
      </c>
      <c r="F194" s="506">
        <v>-1128335.8500598031</v>
      </c>
      <c r="G194" s="506">
        <v>0</v>
      </c>
      <c r="H194" s="503">
        <f t="shared" si="24"/>
        <v>15793193.03079832</v>
      </c>
      <c r="I194" s="506">
        <v>311499.41949579836</v>
      </c>
      <c r="J194" s="348">
        <f>'B) D RI'!U194</f>
        <v>203854.36605042018</v>
      </c>
      <c r="K194" s="62">
        <f t="shared" si="25"/>
        <v>50.700553652272042</v>
      </c>
      <c r="L194" s="33">
        <f>'B) D RI'!S194</f>
        <v>59.5</v>
      </c>
      <c r="M194" s="442">
        <f t="shared" si="27"/>
        <v>8.7994463477279581</v>
      </c>
      <c r="N194" s="437">
        <f>+'J) Plafonnement effort'!H193+'J) Plafonnement effort'!I193-'K) Plafonnement aide'!I193</f>
        <v>42.442963138100779</v>
      </c>
      <c r="O194" s="145">
        <f t="shared" si="28"/>
        <v>51.242409485828738</v>
      </c>
      <c r="P194" s="47">
        <f t="shared" si="29"/>
        <v>0</v>
      </c>
      <c r="Q194" s="55">
        <f t="shared" si="32"/>
        <v>0</v>
      </c>
      <c r="R194" s="145">
        <f t="shared" si="30"/>
        <v>51.242409485828738</v>
      </c>
      <c r="S194" s="125">
        <f t="shared" si="31"/>
        <v>-8.2575905141712624</v>
      </c>
      <c r="T194" s="144">
        <f t="shared" si="26"/>
        <v>0</v>
      </c>
      <c r="V194" s="12"/>
    </row>
    <row r="195" spans="1:22" x14ac:dyDescent="0.25">
      <c r="A195" s="49">
        <f>'A) Base RI'!A195</f>
        <v>5717</v>
      </c>
      <c r="B195" s="344" t="str">
        <f>'A) Base RI'!B195</f>
        <v>Founex</v>
      </c>
      <c r="C195" s="505">
        <v>10352672.843415614</v>
      </c>
      <c r="D195" s="505">
        <v>6180678.7165428149</v>
      </c>
      <c r="E195" s="506">
        <v>0</v>
      </c>
      <c r="F195" s="506">
        <v>0</v>
      </c>
      <c r="G195" s="506">
        <v>0</v>
      </c>
      <c r="H195" s="503">
        <f t="shared" si="24"/>
        <v>16533351.559958428</v>
      </c>
      <c r="I195" s="506">
        <v>386801.60228070174</v>
      </c>
      <c r="J195" s="348">
        <f>'B) D RI'!U195</f>
        <v>390728.72</v>
      </c>
      <c r="K195" s="62">
        <f t="shared" si="25"/>
        <v>42.743751480016314</v>
      </c>
      <c r="L195" s="33">
        <f>'B) D RI'!S195</f>
        <v>57</v>
      </c>
      <c r="M195" s="442">
        <f t="shared" si="27"/>
        <v>14.256248519983686</v>
      </c>
      <c r="N195" s="437">
        <f>+'J) Plafonnement effort'!H194+'J) Plafonnement effort'!I194-'K) Plafonnement aide'!I194</f>
        <v>38.258806656585151</v>
      </c>
      <c r="O195" s="145">
        <f t="shared" si="28"/>
        <v>52.515055176568836</v>
      </c>
      <c r="P195" s="47">
        <f t="shared" si="29"/>
        <v>0</v>
      </c>
      <c r="Q195" s="55">
        <f t="shared" si="32"/>
        <v>0</v>
      </c>
      <c r="R195" s="145">
        <f t="shared" si="30"/>
        <v>52.515055176568836</v>
      </c>
      <c r="S195" s="125">
        <f t="shared" si="31"/>
        <v>-4.4849448234311637</v>
      </c>
      <c r="T195" s="144">
        <f t="shared" si="26"/>
        <v>0</v>
      </c>
      <c r="V195" s="12"/>
    </row>
    <row r="196" spans="1:22" x14ac:dyDescent="0.25">
      <c r="A196" s="49">
        <f>'A) Base RI'!A196</f>
        <v>5718</v>
      </c>
      <c r="B196" s="344" t="str">
        <f>'A) Base RI'!B196</f>
        <v>Genolier</v>
      </c>
      <c r="C196" s="505">
        <v>7000968.9285618495</v>
      </c>
      <c r="D196" s="505">
        <v>4226979.1366009703</v>
      </c>
      <c r="E196" s="506">
        <v>0</v>
      </c>
      <c r="F196" s="506">
        <v>0</v>
      </c>
      <c r="G196" s="506">
        <v>0</v>
      </c>
      <c r="H196" s="503">
        <f t="shared" si="24"/>
        <v>11227948.065162819</v>
      </c>
      <c r="I196" s="506">
        <v>245082.27927272729</v>
      </c>
      <c r="J196" s="348">
        <f>'B) D RI'!U196</f>
        <v>192274.57272727272</v>
      </c>
      <c r="K196" s="62">
        <f t="shared" si="25"/>
        <v>45.812973906074909</v>
      </c>
      <c r="L196" s="33">
        <f>'B) D RI'!S196</f>
        <v>55</v>
      </c>
      <c r="M196" s="442">
        <f t="shared" si="27"/>
        <v>9.1870260939250912</v>
      </c>
      <c r="N196" s="437">
        <f>+'J) Plafonnement effort'!H195+'J) Plafonnement effort'!I195-'K) Plafonnement aide'!I195</f>
        <v>37.336168048002683</v>
      </c>
      <c r="O196" s="145">
        <f t="shared" si="28"/>
        <v>46.523194141927775</v>
      </c>
      <c r="P196" s="47">
        <f t="shared" si="29"/>
        <v>0</v>
      </c>
      <c r="Q196" s="55">
        <f t="shared" si="32"/>
        <v>0</v>
      </c>
      <c r="R196" s="145">
        <f t="shared" si="30"/>
        <v>46.523194141927775</v>
      </c>
      <c r="S196" s="125">
        <f t="shared" si="31"/>
        <v>-8.4768058580722254</v>
      </c>
      <c r="T196" s="144">
        <f t="shared" si="26"/>
        <v>0</v>
      </c>
      <c r="V196" s="12"/>
    </row>
    <row r="197" spans="1:22" x14ac:dyDescent="0.25">
      <c r="A197" s="49">
        <f>'A) Base RI'!A197</f>
        <v>5719</v>
      </c>
      <c r="B197" s="344" t="str">
        <f>'A) Base RI'!B197</f>
        <v>Gingins</v>
      </c>
      <c r="C197" s="505">
        <v>4033313.1245107539</v>
      </c>
      <c r="D197" s="505">
        <v>2580158.1004556417</v>
      </c>
      <c r="E197" s="506">
        <v>0</v>
      </c>
      <c r="F197" s="506">
        <v>0</v>
      </c>
      <c r="G197" s="506">
        <v>0</v>
      </c>
      <c r="H197" s="503">
        <f t="shared" si="24"/>
        <v>6613471.2249663956</v>
      </c>
      <c r="I197" s="506">
        <v>145761.41602339179</v>
      </c>
      <c r="J197" s="348">
        <f>'B) D RI'!U197</f>
        <v>151296.69466666671</v>
      </c>
      <c r="K197" s="62">
        <f t="shared" si="25"/>
        <v>45.371891995787593</v>
      </c>
      <c r="L197" s="33">
        <f>'B) D RI'!S197</f>
        <v>60</v>
      </c>
      <c r="M197" s="442">
        <f t="shared" si="27"/>
        <v>14.628108004212407</v>
      </c>
      <c r="N197" s="437">
        <f>+'J) Plafonnement effort'!H196+'J) Plafonnement effort'!I196-'K) Plafonnement aide'!I196</f>
        <v>43.292942877138785</v>
      </c>
      <c r="O197" s="145">
        <f t="shared" si="28"/>
        <v>57.921050881351192</v>
      </c>
      <c r="P197" s="47">
        <f t="shared" si="29"/>
        <v>0</v>
      </c>
      <c r="Q197" s="55">
        <f t="shared" si="32"/>
        <v>0</v>
      </c>
      <c r="R197" s="145">
        <f t="shared" si="30"/>
        <v>57.921050881351192</v>
      </c>
      <c r="S197" s="125">
        <f t="shared" si="31"/>
        <v>-2.0789491186488078</v>
      </c>
      <c r="T197" s="144">
        <f t="shared" si="26"/>
        <v>0</v>
      </c>
      <c r="V197" s="12"/>
    </row>
    <row r="198" spans="1:22" x14ac:dyDescent="0.25">
      <c r="A198" s="49">
        <f>'A) Base RI'!A198</f>
        <v>5720</v>
      </c>
      <c r="B198" s="344" t="str">
        <f>'A) Base RI'!B198</f>
        <v>Givrins</v>
      </c>
      <c r="C198" s="505">
        <v>2112238.3496926464</v>
      </c>
      <c r="D198" s="505">
        <v>1478324.1096297628</v>
      </c>
      <c r="E198" s="506">
        <v>0</v>
      </c>
      <c r="F198" s="506">
        <v>0</v>
      </c>
      <c r="G198" s="506">
        <v>0</v>
      </c>
      <c r="H198" s="503">
        <f t="shared" si="24"/>
        <v>3590562.4593224092</v>
      </c>
      <c r="I198" s="506">
        <v>84172.254543946925</v>
      </c>
      <c r="J198" s="348">
        <f>'B) D RI'!U198</f>
        <v>74789.829883913771</v>
      </c>
      <c r="K198" s="62">
        <f t="shared" si="25"/>
        <v>42.65731598584842</v>
      </c>
      <c r="L198" s="33">
        <f>'B) D RI'!S198</f>
        <v>67</v>
      </c>
      <c r="M198" s="442">
        <f t="shared" si="27"/>
        <v>24.34268401415158</v>
      </c>
      <c r="N198" s="437">
        <f>+'J) Plafonnement effort'!H197+'J) Plafonnement effort'!I197-'K) Plafonnement aide'!I197</f>
        <v>35.49781600361483</v>
      </c>
      <c r="O198" s="145">
        <f t="shared" si="28"/>
        <v>59.840500017766409</v>
      </c>
      <c r="P198" s="47">
        <f t="shared" si="29"/>
        <v>0</v>
      </c>
      <c r="Q198" s="55">
        <f t="shared" si="32"/>
        <v>0</v>
      </c>
      <c r="R198" s="145">
        <f t="shared" si="30"/>
        <v>59.840500017766409</v>
      </c>
      <c r="S198" s="125">
        <f t="shared" si="31"/>
        <v>-7.1594999822335907</v>
      </c>
      <c r="T198" s="144">
        <f t="shared" si="26"/>
        <v>0</v>
      </c>
      <c r="V198" s="12"/>
    </row>
    <row r="199" spans="1:22" x14ac:dyDescent="0.25">
      <c r="A199" s="49">
        <f>'A) Base RI'!A199</f>
        <v>5721</v>
      </c>
      <c r="B199" s="344" t="str">
        <f>'A) Base RI'!B199</f>
        <v>Gland</v>
      </c>
      <c r="C199" s="505">
        <v>11163542.999764217</v>
      </c>
      <c r="D199" s="505">
        <v>4524374.8489265889</v>
      </c>
      <c r="E199" s="506">
        <v>0</v>
      </c>
      <c r="F199" s="506">
        <v>0</v>
      </c>
      <c r="G199" s="506">
        <v>0</v>
      </c>
      <c r="H199" s="503">
        <f t="shared" ref="H199:H262" si="39">SUM(C199:G199)</f>
        <v>15687917.848690806</v>
      </c>
      <c r="I199" s="506">
        <v>651107.04049180343</v>
      </c>
      <c r="J199" s="348">
        <f>'B) D RI'!U199</f>
        <v>723023.81196721317</v>
      </c>
      <c r="K199" s="62">
        <f t="shared" ref="K199:K262" si="40">H199/I199</f>
        <v>24.094222413631382</v>
      </c>
      <c r="L199" s="33">
        <f>'B) D RI'!S199</f>
        <v>61</v>
      </c>
      <c r="M199" s="442">
        <f t="shared" si="27"/>
        <v>36.905777586368615</v>
      </c>
      <c r="N199" s="437">
        <f>+'J) Plafonnement effort'!H198+'J) Plafonnement effort'!I198-'K) Plafonnement aide'!I198</f>
        <v>21.179098390687095</v>
      </c>
      <c r="O199" s="145">
        <f t="shared" si="28"/>
        <v>58.084875977055709</v>
      </c>
      <c r="P199" s="47">
        <f t="shared" si="29"/>
        <v>0</v>
      </c>
      <c r="Q199" s="55">
        <f t="shared" si="32"/>
        <v>0</v>
      </c>
      <c r="R199" s="145">
        <f t="shared" si="30"/>
        <v>58.084875977055709</v>
      </c>
      <c r="S199" s="125">
        <f t="shared" si="31"/>
        <v>-2.9151240229442905</v>
      </c>
      <c r="T199" s="144">
        <f t="shared" ref="T199:T262" si="41">+C199+D199+E199+F199+G199-H199</f>
        <v>0</v>
      </c>
      <c r="V199" s="12"/>
    </row>
    <row r="200" spans="1:22" x14ac:dyDescent="0.25">
      <c r="A200" s="49">
        <f>'A) Base RI'!A200</f>
        <v>5722</v>
      </c>
      <c r="B200" s="344" t="str">
        <f>'A) Base RI'!B200</f>
        <v>Grens</v>
      </c>
      <c r="C200" s="505">
        <v>446518.73501746339</v>
      </c>
      <c r="D200" s="505">
        <v>438956.19109813147</v>
      </c>
      <c r="E200" s="506">
        <v>0</v>
      </c>
      <c r="F200" s="506">
        <v>0</v>
      </c>
      <c r="G200" s="506">
        <v>0</v>
      </c>
      <c r="H200" s="503">
        <f t="shared" si="39"/>
        <v>885474.9261155948</v>
      </c>
      <c r="I200" s="506">
        <v>25525.601935483872</v>
      </c>
      <c r="J200" s="348">
        <f>'B) D RI'!U200</f>
        <v>22316.761129032264</v>
      </c>
      <c r="K200" s="62">
        <f t="shared" si="40"/>
        <v>34.689678556989115</v>
      </c>
      <c r="L200" s="33">
        <f>'B) D RI'!S200</f>
        <v>62</v>
      </c>
      <c r="M200" s="442">
        <f t="shared" si="27"/>
        <v>27.310321443010885</v>
      </c>
      <c r="N200" s="437">
        <f>+'J) Plafonnement effort'!H199+'J) Plafonnement effort'!I199-'K) Plafonnement aide'!I199</f>
        <v>30.374526697318146</v>
      </c>
      <c r="O200" s="145">
        <f t="shared" si="28"/>
        <v>57.684848140329031</v>
      </c>
      <c r="P200" s="47">
        <f t="shared" si="29"/>
        <v>0</v>
      </c>
      <c r="Q200" s="55">
        <f t="shared" si="32"/>
        <v>0</v>
      </c>
      <c r="R200" s="145">
        <f t="shared" si="30"/>
        <v>57.684848140329031</v>
      </c>
      <c r="S200" s="125">
        <f t="shared" si="31"/>
        <v>-4.3151518596709693</v>
      </c>
      <c r="T200" s="144">
        <f t="shared" si="41"/>
        <v>0</v>
      </c>
      <c r="V200" s="12"/>
    </row>
    <row r="201" spans="1:22" x14ac:dyDescent="0.25">
      <c r="A201" s="49">
        <f>'A) Base RI'!A201</f>
        <v>5723</v>
      </c>
      <c r="B201" s="344" t="str">
        <f>'A) Base RI'!B201</f>
        <v>Mies</v>
      </c>
      <c r="C201" s="505">
        <v>4875071.0828816518</v>
      </c>
      <c r="D201" s="505">
        <v>3259854.4310330073</v>
      </c>
      <c r="E201" s="506">
        <v>0</v>
      </c>
      <c r="F201" s="506">
        <v>0</v>
      </c>
      <c r="G201" s="506">
        <v>0</v>
      </c>
      <c r="H201" s="503">
        <f t="shared" si="39"/>
        <v>8134925.5139146596</v>
      </c>
      <c r="I201" s="506">
        <v>197805.17519230774</v>
      </c>
      <c r="J201" s="348">
        <f>'B) D RI'!U201</f>
        <v>245974.84538461536</v>
      </c>
      <c r="K201" s="62">
        <f t="shared" si="40"/>
        <v>41.125948833269007</v>
      </c>
      <c r="L201" s="33">
        <f>'B) D RI'!S201</f>
        <v>52</v>
      </c>
      <c r="M201" s="442">
        <f t="shared" si="27"/>
        <v>10.874051166730993</v>
      </c>
      <c r="N201" s="437">
        <f>+'J) Plafonnement effort'!H200+'J) Plafonnement effort'!I200-'K) Plafonnement aide'!I200</f>
        <v>39.746131165142302</v>
      </c>
      <c r="O201" s="145">
        <f t="shared" si="28"/>
        <v>50.620182331873295</v>
      </c>
      <c r="P201" s="47">
        <f t="shared" si="29"/>
        <v>0</v>
      </c>
      <c r="Q201" s="55">
        <f t="shared" si="32"/>
        <v>0</v>
      </c>
      <c r="R201" s="145">
        <f t="shared" si="30"/>
        <v>50.620182331873295</v>
      </c>
      <c r="S201" s="125">
        <f t="shared" si="31"/>
        <v>-1.3798176681267051</v>
      </c>
      <c r="T201" s="144">
        <f t="shared" si="41"/>
        <v>0</v>
      </c>
      <c r="V201" s="12"/>
    </row>
    <row r="202" spans="1:22" x14ac:dyDescent="0.25">
      <c r="A202" s="49">
        <f>'A) Base RI'!A202</f>
        <v>5724</v>
      </c>
      <c r="B202" s="344" t="str">
        <f>'A) Base RI'!B202</f>
        <v>Nyon</v>
      </c>
      <c r="C202" s="505">
        <v>32603159.754050858</v>
      </c>
      <c r="D202" s="505">
        <v>10411629.424118673</v>
      </c>
      <c r="E202" s="506">
        <v>0</v>
      </c>
      <c r="F202" s="506">
        <v>0</v>
      </c>
      <c r="G202" s="506">
        <v>0</v>
      </c>
      <c r="H202" s="503">
        <f t="shared" si="39"/>
        <v>43014789.178169534</v>
      </c>
      <c r="I202" s="506">
        <v>1415730.6761202184</v>
      </c>
      <c r="J202" s="348">
        <f>'B) D RI'!U202</f>
        <v>1461873.0345355188</v>
      </c>
      <c r="K202" s="62">
        <f t="shared" si="40"/>
        <v>30.383454920995781</v>
      </c>
      <c r="L202" s="33">
        <f>'B) D RI'!S202</f>
        <v>61</v>
      </c>
      <c r="M202" s="442">
        <f t="shared" si="27"/>
        <v>30.616545079004219</v>
      </c>
      <c r="N202" s="437">
        <f>+'J) Plafonnement effort'!H201+'J) Plafonnement effort'!I201-'K) Plafonnement aide'!I201</f>
        <v>23.220377490074323</v>
      </c>
      <c r="O202" s="145">
        <f t="shared" si="28"/>
        <v>53.836922569078538</v>
      </c>
      <c r="P202" s="47">
        <f t="shared" si="29"/>
        <v>0</v>
      </c>
      <c r="Q202" s="55">
        <f t="shared" si="32"/>
        <v>0</v>
      </c>
      <c r="R202" s="145">
        <f t="shared" si="30"/>
        <v>53.836922569078538</v>
      </c>
      <c r="S202" s="125">
        <f t="shared" si="31"/>
        <v>-7.1630774309214615</v>
      </c>
      <c r="T202" s="144">
        <f t="shared" si="41"/>
        <v>0</v>
      </c>
      <c r="V202" s="12"/>
    </row>
    <row r="203" spans="1:22" x14ac:dyDescent="0.25">
      <c r="A203" s="49">
        <f>'A) Base RI'!A203</f>
        <v>5725</v>
      </c>
      <c r="B203" s="344" t="str">
        <f>'A) Base RI'!B203</f>
        <v>Prangins</v>
      </c>
      <c r="C203" s="505">
        <v>6904413.7253820188</v>
      </c>
      <c r="D203" s="505">
        <v>4630177.7922678497</v>
      </c>
      <c r="E203" s="506">
        <v>0</v>
      </c>
      <c r="F203" s="506">
        <v>0</v>
      </c>
      <c r="G203" s="506">
        <v>0</v>
      </c>
      <c r="H203" s="503">
        <f t="shared" si="39"/>
        <v>11534591.517649869</v>
      </c>
      <c r="I203" s="506">
        <v>312804.93402597401</v>
      </c>
      <c r="J203" s="348">
        <f>'B) D RI'!U203</f>
        <v>355082.58820779232</v>
      </c>
      <c r="K203" s="62">
        <f t="shared" si="40"/>
        <v>36.874710923492287</v>
      </c>
      <c r="L203" s="33">
        <f>'B) D RI'!S203</f>
        <v>55</v>
      </c>
      <c r="M203" s="442">
        <f t="shared" si="27"/>
        <v>18.125289076507713</v>
      </c>
      <c r="N203" s="437">
        <f>+'J) Plafonnement effort'!H202+'J) Plafonnement effort'!I202-'K) Plafonnement aide'!I202</f>
        <v>34.884419361475246</v>
      </c>
      <c r="O203" s="145">
        <f t="shared" si="28"/>
        <v>53.009708437982958</v>
      </c>
      <c r="P203" s="47">
        <f t="shared" si="29"/>
        <v>0</v>
      </c>
      <c r="Q203" s="55">
        <f t="shared" si="32"/>
        <v>0</v>
      </c>
      <c r="R203" s="145">
        <f t="shared" si="30"/>
        <v>53.009708437982958</v>
      </c>
      <c r="S203" s="125">
        <f t="shared" si="31"/>
        <v>-1.9902915620170418</v>
      </c>
      <c r="T203" s="144">
        <f t="shared" si="41"/>
        <v>0</v>
      </c>
      <c r="V203" s="12"/>
    </row>
    <row r="204" spans="1:22" x14ac:dyDescent="0.25">
      <c r="A204" s="49">
        <f>'A) Base RI'!A204</f>
        <v>5726</v>
      </c>
      <c r="B204" s="344" t="str">
        <f>'A) Base RI'!B204</f>
        <v>La Rippe</v>
      </c>
      <c r="C204" s="505">
        <v>1332233.8243394583</v>
      </c>
      <c r="D204" s="505">
        <v>1101575.7171669663</v>
      </c>
      <c r="E204" s="506">
        <v>0</v>
      </c>
      <c r="F204" s="506">
        <v>0</v>
      </c>
      <c r="G204" s="506">
        <v>0</v>
      </c>
      <c r="H204" s="503">
        <f t="shared" si="39"/>
        <v>2433809.5415064245</v>
      </c>
      <c r="I204" s="506">
        <v>66324.764153846147</v>
      </c>
      <c r="J204" s="348">
        <f>'B) D RI'!U204</f>
        <v>70366.469687500008</v>
      </c>
      <c r="K204" s="62">
        <f t="shared" si="40"/>
        <v>36.695336539169418</v>
      </c>
      <c r="L204" s="33">
        <f>'B) D RI'!S204</f>
        <v>64</v>
      </c>
      <c r="M204" s="442">
        <f t="shared" si="27"/>
        <v>27.304663460830582</v>
      </c>
      <c r="N204" s="437">
        <f>+'J) Plafonnement effort'!H203+'J) Plafonnement effort'!I203-'K) Plafonnement aide'!I203</f>
        <v>31.194226435511244</v>
      </c>
      <c r="O204" s="145">
        <f t="shared" si="28"/>
        <v>58.498889896341822</v>
      </c>
      <c r="P204" s="47">
        <f t="shared" si="29"/>
        <v>0</v>
      </c>
      <c r="Q204" s="55">
        <f t="shared" si="32"/>
        <v>0</v>
      </c>
      <c r="R204" s="145">
        <f t="shared" si="30"/>
        <v>58.498889896341822</v>
      </c>
      <c r="S204" s="125">
        <f t="shared" si="31"/>
        <v>-5.5011101036581778</v>
      </c>
      <c r="T204" s="144">
        <f t="shared" si="41"/>
        <v>0</v>
      </c>
      <c r="V204" s="12"/>
    </row>
    <row r="205" spans="1:22" x14ac:dyDescent="0.25">
      <c r="A205" s="49">
        <f>'A) Base RI'!A205</f>
        <v>5727</v>
      </c>
      <c r="B205" s="344" t="str">
        <f>'A) Base RI'!B205</f>
        <v>Saint-Cergue</v>
      </c>
      <c r="C205" s="505">
        <v>1802560.094907816</v>
      </c>
      <c r="D205" s="505">
        <v>895603.27957527246</v>
      </c>
      <c r="E205" s="506">
        <v>0</v>
      </c>
      <c r="F205" s="506">
        <v>0</v>
      </c>
      <c r="G205" s="506">
        <v>0</v>
      </c>
      <c r="H205" s="503">
        <f t="shared" si="39"/>
        <v>2698163.3744830885</v>
      </c>
      <c r="I205" s="506">
        <v>105125.05141414142</v>
      </c>
      <c r="J205" s="348">
        <f>'B) D RI'!U205</f>
        <v>106173.30404040407</v>
      </c>
      <c r="K205" s="62">
        <f t="shared" si="40"/>
        <v>25.666226443530011</v>
      </c>
      <c r="L205" s="33">
        <f>'B) D RI'!S205</f>
        <v>66</v>
      </c>
      <c r="M205" s="442">
        <f t="shared" si="27"/>
        <v>40.333773556469993</v>
      </c>
      <c r="N205" s="437">
        <f>+'J) Plafonnement effort'!H204+'J) Plafonnement effort'!I204-'K) Plafonnement aide'!I204</f>
        <v>19.590291446366884</v>
      </c>
      <c r="O205" s="145">
        <f t="shared" si="28"/>
        <v>59.924065002836876</v>
      </c>
      <c r="P205" s="47">
        <f t="shared" si="29"/>
        <v>0</v>
      </c>
      <c r="Q205" s="55">
        <f t="shared" si="32"/>
        <v>0</v>
      </c>
      <c r="R205" s="145">
        <f t="shared" si="30"/>
        <v>59.924065002836876</v>
      </c>
      <c r="S205" s="125">
        <f t="shared" si="31"/>
        <v>-6.0759349971631238</v>
      </c>
      <c r="T205" s="144">
        <f t="shared" si="41"/>
        <v>0</v>
      </c>
      <c r="V205" s="12"/>
    </row>
    <row r="206" spans="1:22" x14ac:dyDescent="0.25">
      <c r="A206" s="49">
        <f>'A) Base RI'!A206</f>
        <v>5728</v>
      </c>
      <c r="B206" s="344" t="str">
        <f>'A) Base RI'!B206</f>
        <v>Signy-Avenex</v>
      </c>
      <c r="C206" s="505">
        <v>1167437.521693934</v>
      </c>
      <c r="D206" s="505">
        <v>872494.28712957015</v>
      </c>
      <c r="E206" s="506">
        <v>0</v>
      </c>
      <c r="F206" s="506">
        <v>0</v>
      </c>
      <c r="G206" s="506">
        <v>0</v>
      </c>
      <c r="H206" s="503">
        <f t="shared" si="39"/>
        <v>2039931.808823504</v>
      </c>
      <c r="I206" s="506">
        <v>49286.820862068969</v>
      </c>
      <c r="J206" s="348">
        <f>'B) D RI'!U206</f>
        <v>56477.02620689656</v>
      </c>
      <c r="K206" s="62">
        <f t="shared" si="40"/>
        <v>41.388991481766098</v>
      </c>
      <c r="L206" s="33">
        <f>'B) D RI'!S206</f>
        <v>58</v>
      </c>
      <c r="M206" s="442">
        <f t="shared" si="27"/>
        <v>16.611008518233902</v>
      </c>
      <c r="N206" s="437">
        <f>+'J) Plafonnement effort'!H205+'J) Plafonnement effort'!I205-'K) Plafonnement aide'!I205</f>
        <v>39.265552306293571</v>
      </c>
      <c r="O206" s="145">
        <f t="shared" si="28"/>
        <v>55.876560824527473</v>
      </c>
      <c r="P206" s="47">
        <f t="shared" si="29"/>
        <v>0</v>
      </c>
      <c r="Q206" s="55">
        <f t="shared" si="32"/>
        <v>0</v>
      </c>
      <c r="R206" s="145">
        <f t="shared" si="30"/>
        <v>55.876560824527473</v>
      </c>
      <c r="S206" s="125">
        <f t="shared" si="31"/>
        <v>-2.1234391754725266</v>
      </c>
      <c r="T206" s="144">
        <f t="shared" si="41"/>
        <v>0</v>
      </c>
      <c r="V206" s="12"/>
    </row>
    <row r="207" spans="1:22" x14ac:dyDescent="0.25">
      <c r="A207" s="49">
        <f>'A) Base RI'!A207</f>
        <v>5729</v>
      </c>
      <c r="B207" s="344" t="str">
        <f>'A) Base RI'!B207</f>
        <v>Tannay</v>
      </c>
      <c r="C207" s="505">
        <v>3258612.012721655</v>
      </c>
      <c r="D207" s="505">
        <v>2162365.5574305686</v>
      </c>
      <c r="E207" s="506">
        <v>0</v>
      </c>
      <c r="F207" s="506">
        <v>0</v>
      </c>
      <c r="G207" s="506">
        <v>0</v>
      </c>
      <c r="H207" s="503">
        <f t="shared" si="39"/>
        <v>5420977.5701522231</v>
      </c>
      <c r="I207" s="506">
        <v>130826.66865013774</v>
      </c>
      <c r="J207" s="348">
        <f>'B) D RI'!U207</f>
        <v>161688.04044077132</v>
      </c>
      <c r="K207" s="62">
        <f t="shared" si="40"/>
        <v>41.436334243511411</v>
      </c>
      <c r="L207" s="33">
        <f>'B) D RI'!S207</f>
        <v>60.5</v>
      </c>
      <c r="M207" s="442">
        <f t="shared" si="27"/>
        <v>19.063665756488589</v>
      </c>
      <c r="N207" s="437">
        <f>+'J) Plafonnement effort'!H206+'J) Plafonnement effort'!I206-'K) Plafonnement aide'!I206</f>
        <v>39.134499359741056</v>
      </c>
      <c r="O207" s="145">
        <f t="shared" si="28"/>
        <v>58.198165116229646</v>
      </c>
      <c r="P207" s="47">
        <f t="shared" si="29"/>
        <v>0</v>
      </c>
      <c r="Q207" s="55">
        <f t="shared" si="32"/>
        <v>0</v>
      </c>
      <c r="R207" s="145">
        <f t="shared" si="30"/>
        <v>58.198165116229646</v>
      </c>
      <c r="S207" s="125">
        <f t="shared" si="31"/>
        <v>-2.3018348837703542</v>
      </c>
      <c r="T207" s="144">
        <f t="shared" si="41"/>
        <v>0</v>
      </c>
      <c r="V207" s="12"/>
    </row>
    <row r="208" spans="1:22" x14ac:dyDescent="0.25">
      <c r="A208" s="49">
        <f>'A) Base RI'!A208</f>
        <v>5730</v>
      </c>
      <c r="B208" s="344" t="str">
        <f>'A) Base RI'!B208</f>
        <v>Trélex</v>
      </c>
      <c r="C208" s="505">
        <v>2578342.1614541695</v>
      </c>
      <c r="D208" s="505">
        <v>1860714.8413331609</v>
      </c>
      <c r="E208" s="506">
        <v>0</v>
      </c>
      <c r="F208" s="506">
        <v>0</v>
      </c>
      <c r="G208" s="506">
        <v>0</v>
      </c>
      <c r="H208" s="503">
        <f t="shared" si="39"/>
        <v>4439057.0027873302</v>
      </c>
      <c r="I208" s="506">
        <v>111625.98756756757</v>
      </c>
      <c r="J208" s="348">
        <f>'B) D RI'!U208</f>
        <v>125085.64878878882</v>
      </c>
      <c r="K208" s="62">
        <f t="shared" si="40"/>
        <v>39.767236102617723</v>
      </c>
      <c r="L208" s="33">
        <f>'B) D RI'!S208</f>
        <v>55.5</v>
      </c>
      <c r="M208" s="442">
        <f t="shared" si="27"/>
        <v>15.732763897382277</v>
      </c>
      <c r="N208" s="437">
        <f>+'J) Plafonnement effort'!H207+'J) Plafonnement effort'!I207-'K) Plafonnement aide'!I207</f>
        <v>36.450823784192188</v>
      </c>
      <c r="O208" s="145">
        <f t="shared" si="28"/>
        <v>52.183587681574465</v>
      </c>
      <c r="P208" s="47">
        <f t="shared" si="29"/>
        <v>0</v>
      </c>
      <c r="Q208" s="55">
        <f t="shared" si="32"/>
        <v>0</v>
      </c>
      <c r="R208" s="145">
        <f t="shared" si="30"/>
        <v>52.183587681574465</v>
      </c>
      <c r="S208" s="125">
        <f t="shared" si="31"/>
        <v>-3.3164123184255345</v>
      </c>
      <c r="T208" s="144">
        <f t="shared" si="41"/>
        <v>0</v>
      </c>
      <c r="V208" s="12"/>
    </row>
    <row r="209" spans="1:22" x14ac:dyDescent="0.25">
      <c r="A209" s="49">
        <f>'A) Base RI'!A209</f>
        <v>5731</v>
      </c>
      <c r="B209" s="344" t="str">
        <f>'A) Base RI'!B209</f>
        <v>Le Vaud</v>
      </c>
      <c r="C209" s="505">
        <v>1016097.8406262205</v>
      </c>
      <c r="D209" s="505">
        <v>933527.17417994165</v>
      </c>
      <c r="E209" s="506">
        <v>0</v>
      </c>
      <c r="F209" s="506">
        <v>0</v>
      </c>
      <c r="G209" s="506">
        <v>0</v>
      </c>
      <c r="H209" s="503">
        <f t="shared" si="39"/>
        <v>1949625.0148061621</v>
      </c>
      <c r="I209" s="506">
        <v>63942.206576576558</v>
      </c>
      <c r="J209" s="348">
        <f>'B) D RI'!U209</f>
        <v>69596.613288288281</v>
      </c>
      <c r="K209" s="62">
        <f t="shared" si="40"/>
        <v>30.490424387705644</v>
      </c>
      <c r="L209" s="33">
        <f>'B) D RI'!S209</f>
        <v>74</v>
      </c>
      <c r="M209" s="442">
        <f t="shared" si="27"/>
        <v>43.509575612294356</v>
      </c>
      <c r="N209" s="437">
        <f>+'J) Plafonnement effort'!H208+'J) Plafonnement effort'!I208-'K) Plafonnement aide'!I208</f>
        <v>27.787869950760488</v>
      </c>
      <c r="O209" s="145">
        <f t="shared" si="28"/>
        <v>71.29744556305485</v>
      </c>
      <c r="P209" s="47">
        <f t="shared" si="29"/>
        <v>0</v>
      </c>
      <c r="Q209" s="55">
        <f t="shared" si="32"/>
        <v>0</v>
      </c>
      <c r="R209" s="145">
        <f t="shared" si="30"/>
        <v>71.29744556305485</v>
      </c>
      <c r="S209" s="125">
        <f t="shared" si="31"/>
        <v>-2.7025544369451495</v>
      </c>
      <c r="T209" s="144">
        <f t="shared" si="41"/>
        <v>0</v>
      </c>
      <c r="V209" s="12"/>
    </row>
    <row r="210" spans="1:22" x14ac:dyDescent="0.25">
      <c r="A210" s="49">
        <f>'A) Base RI'!A210</f>
        <v>5732</v>
      </c>
      <c r="B210" s="344" t="str">
        <f>'A) Base RI'!B210</f>
        <v>Vich</v>
      </c>
      <c r="C210" s="505">
        <v>1479969.8915689634</v>
      </c>
      <c r="D210" s="505">
        <v>1182626.1819479405</v>
      </c>
      <c r="E210" s="506">
        <v>0</v>
      </c>
      <c r="F210" s="506">
        <v>0</v>
      </c>
      <c r="G210" s="506">
        <v>0</v>
      </c>
      <c r="H210" s="503">
        <f t="shared" si="39"/>
        <v>2662596.0735169039</v>
      </c>
      <c r="I210" s="506">
        <v>71006.972380952371</v>
      </c>
      <c r="J210" s="348">
        <f>'B) D RI'!U210</f>
        <v>86538.031587301579</v>
      </c>
      <c r="K210" s="62">
        <f t="shared" si="40"/>
        <v>37.497670781287184</v>
      </c>
      <c r="L210" s="33">
        <f>'B) D RI'!S210</f>
        <v>63</v>
      </c>
      <c r="M210" s="442">
        <f t="shared" si="27"/>
        <v>25.502329218712816</v>
      </c>
      <c r="N210" s="437">
        <f>+'J) Plafonnement effort'!H209+'J) Plafonnement effort'!I209-'K) Plafonnement aide'!I209</f>
        <v>34.959799272531008</v>
      </c>
      <c r="O210" s="145">
        <f t="shared" si="28"/>
        <v>60.462128491243824</v>
      </c>
      <c r="P210" s="47">
        <f t="shared" si="29"/>
        <v>0</v>
      </c>
      <c r="Q210" s="55">
        <f t="shared" si="32"/>
        <v>0</v>
      </c>
      <c r="R210" s="145">
        <f t="shared" si="30"/>
        <v>60.462128491243824</v>
      </c>
      <c r="S210" s="125">
        <f t="shared" si="31"/>
        <v>-2.5378715087561758</v>
      </c>
      <c r="T210" s="144">
        <f t="shared" si="41"/>
        <v>0</v>
      </c>
      <c r="V210" s="12"/>
    </row>
    <row r="211" spans="1:22" x14ac:dyDescent="0.25">
      <c r="A211" s="49">
        <f>'A) Base RI'!A211</f>
        <v>5741</v>
      </c>
      <c r="B211" s="344" t="str">
        <f>'A) Base RI'!B211</f>
        <v>L'Abergement</v>
      </c>
      <c r="C211" s="505">
        <v>124809.40103789062</v>
      </c>
      <c r="D211" s="505">
        <v>-21150.021970910195</v>
      </c>
      <c r="E211" s="506">
        <v>0</v>
      </c>
      <c r="F211" s="506">
        <v>0</v>
      </c>
      <c r="G211" s="506">
        <v>0</v>
      </c>
      <c r="H211" s="503">
        <f t="shared" si="39"/>
        <v>103659.37906698043</v>
      </c>
      <c r="I211" s="506">
        <v>7368.9297325102852</v>
      </c>
      <c r="J211" s="348">
        <f>'B) D RI'!U211</f>
        <v>8987.3782921810707</v>
      </c>
      <c r="K211" s="62">
        <f t="shared" si="40"/>
        <v>14.067087464500496</v>
      </c>
      <c r="L211" s="33">
        <f>'B) D RI'!S211</f>
        <v>81</v>
      </c>
      <c r="M211" s="442">
        <f t="shared" si="27"/>
        <v>66.932912535499497</v>
      </c>
      <c r="N211" s="437">
        <f>+'J) Plafonnement effort'!H210+'J) Plafonnement effort'!I210-'K) Plafonnement aide'!I210</f>
        <v>17.50362521411488</v>
      </c>
      <c r="O211" s="145">
        <f t="shared" si="28"/>
        <v>84.436537749614374</v>
      </c>
      <c r="P211" s="47">
        <f t="shared" si="29"/>
        <v>0</v>
      </c>
      <c r="Q211" s="55">
        <f t="shared" si="32"/>
        <v>0</v>
      </c>
      <c r="R211" s="145">
        <f t="shared" si="30"/>
        <v>84.436537749614374</v>
      </c>
      <c r="S211" s="125">
        <f t="shared" si="31"/>
        <v>3.4365377496143736</v>
      </c>
      <c r="T211" s="144">
        <f t="shared" si="41"/>
        <v>0</v>
      </c>
      <c r="V211" s="12"/>
    </row>
    <row r="212" spans="1:22" x14ac:dyDescent="0.25">
      <c r="A212" s="49">
        <f>'A) Base RI'!A212</f>
        <v>5742</v>
      </c>
      <c r="B212" s="344" t="str">
        <f>'A) Base RI'!B212</f>
        <v>Agiez</v>
      </c>
      <c r="C212" s="505">
        <v>137019.61154204703</v>
      </c>
      <c r="D212" s="505">
        <v>-88223.430418751232</v>
      </c>
      <c r="E212" s="506">
        <v>0</v>
      </c>
      <c r="F212" s="506">
        <v>0</v>
      </c>
      <c r="G212" s="506">
        <v>0</v>
      </c>
      <c r="H212" s="503">
        <f t="shared" si="39"/>
        <v>48796.181123295799</v>
      </c>
      <c r="I212" s="506">
        <v>8960.136710526318</v>
      </c>
      <c r="J212" s="348">
        <f>'B) D RI'!U212</f>
        <v>10160.069605263159</v>
      </c>
      <c r="K212" s="62">
        <f t="shared" si="40"/>
        <v>5.4459192643757683</v>
      </c>
      <c r="L212" s="33">
        <f>'B) D RI'!S212</f>
        <v>76</v>
      </c>
      <c r="M212" s="442">
        <f t="shared" si="27"/>
        <v>70.554080735624225</v>
      </c>
      <c r="N212" s="437">
        <f>+'J) Plafonnement effort'!H211+'J) Plafonnement effort'!I211-'K) Plafonnement aide'!I211</f>
        <v>8.2241314144257096</v>
      </c>
      <c r="O212" s="145">
        <f t="shared" si="28"/>
        <v>78.778212150049939</v>
      </c>
      <c r="P212" s="47">
        <f t="shared" si="29"/>
        <v>0</v>
      </c>
      <c r="Q212" s="55">
        <f t="shared" si="32"/>
        <v>0</v>
      </c>
      <c r="R212" s="145">
        <f t="shared" si="30"/>
        <v>78.778212150049939</v>
      </c>
      <c r="S212" s="125">
        <f t="shared" si="31"/>
        <v>2.7782121500499386</v>
      </c>
      <c r="T212" s="144">
        <f t="shared" si="41"/>
        <v>0</v>
      </c>
      <c r="V212" s="12"/>
    </row>
    <row r="213" spans="1:22" x14ac:dyDescent="0.25">
      <c r="A213" s="49">
        <f>'A) Base RI'!A213</f>
        <v>5743</v>
      </c>
      <c r="B213" s="344" t="str">
        <f>'A) Base RI'!B213</f>
        <v>Arnex-sur-Orbe</v>
      </c>
      <c r="C213" s="505">
        <v>310678.15609504585</v>
      </c>
      <c r="D213" s="505">
        <v>109865.71600834216</v>
      </c>
      <c r="E213" s="506">
        <v>0</v>
      </c>
      <c r="F213" s="506">
        <v>0</v>
      </c>
      <c r="G213" s="506">
        <v>0</v>
      </c>
      <c r="H213" s="503">
        <f t="shared" si="39"/>
        <v>420543.87210338801</v>
      </c>
      <c r="I213" s="506">
        <v>20549.584577464786</v>
      </c>
      <c r="J213" s="348">
        <f>'B) D RI'!U213</f>
        <v>18533.117816901413</v>
      </c>
      <c r="K213" s="62">
        <f t="shared" si="40"/>
        <v>20.46483570108602</v>
      </c>
      <c r="L213" s="33">
        <f>'B) D RI'!S213</f>
        <v>71</v>
      </c>
      <c r="M213" s="442">
        <f t="shared" si="27"/>
        <v>50.535164298913983</v>
      </c>
      <c r="N213" s="437">
        <f>+'J) Plafonnement effort'!H212+'J) Plafonnement effort'!I212-'K) Plafonnement aide'!I212</f>
        <v>11.667916525805069</v>
      </c>
      <c r="O213" s="145">
        <f t="shared" si="28"/>
        <v>62.203080824719052</v>
      </c>
      <c r="P213" s="47">
        <f t="shared" si="29"/>
        <v>0</v>
      </c>
      <c r="Q213" s="55">
        <f t="shared" si="32"/>
        <v>0</v>
      </c>
      <c r="R213" s="145">
        <f t="shared" si="30"/>
        <v>62.203080824719052</v>
      </c>
      <c r="S213" s="125">
        <f t="shared" si="31"/>
        <v>-8.7969191752809479</v>
      </c>
      <c r="T213" s="144">
        <f t="shared" si="41"/>
        <v>0</v>
      </c>
      <c r="V213" s="12"/>
    </row>
    <row r="214" spans="1:22" x14ac:dyDescent="0.25">
      <c r="A214" s="49">
        <f>'A) Base RI'!A214</f>
        <v>5744</v>
      </c>
      <c r="B214" s="344" t="str">
        <f>'A) Base RI'!B214</f>
        <v>Ballaigues</v>
      </c>
      <c r="C214" s="505">
        <v>1007958.9079965748</v>
      </c>
      <c r="D214" s="505">
        <v>354054.35545440001</v>
      </c>
      <c r="E214" s="506">
        <v>0</v>
      </c>
      <c r="F214" s="506">
        <v>0</v>
      </c>
      <c r="G214" s="506">
        <v>0</v>
      </c>
      <c r="H214" s="503">
        <f t="shared" si="39"/>
        <v>1362013.2634509748</v>
      </c>
      <c r="I214" s="506">
        <v>40453.358769230777</v>
      </c>
      <c r="J214" s="348">
        <f>'B) D RI'!U214</f>
        <v>49245.2596923077</v>
      </c>
      <c r="K214" s="62">
        <f t="shared" si="40"/>
        <v>33.66873122255884</v>
      </c>
      <c r="L214" s="33">
        <f>'B) D RI'!S214</f>
        <v>65</v>
      </c>
      <c r="M214" s="442">
        <f t="shared" si="27"/>
        <v>31.33126877744116</v>
      </c>
      <c r="N214" s="437">
        <f>+'J) Plafonnement effort'!H213+'J) Plafonnement effort'!I213-'K) Plafonnement aide'!I213</f>
        <v>24.653714603190693</v>
      </c>
      <c r="O214" s="145">
        <f t="shared" si="28"/>
        <v>55.984983380631853</v>
      </c>
      <c r="P214" s="47">
        <f t="shared" si="29"/>
        <v>0</v>
      </c>
      <c r="Q214" s="55">
        <f t="shared" si="32"/>
        <v>0</v>
      </c>
      <c r="R214" s="145">
        <f t="shared" si="30"/>
        <v>55.984983380631853</v>
      </c>
      <c r="S214" s="125">
        <f t="shared" si="31"/>
        <v>-9.0150166193681471</v>
      </c>
      <c r="T214" s="144">
        <f t="shared" si="41"/>
        <v>0</v>
      </c>
      <c r="V214" s="12"/>
    </row>
    <row r="215" spans="1:22" x14ac:dyDescent="0.25">
      <c r="A215" s="49">
        <f>'A) Base RI'!A215</f>
        <v>5745</v>
      </c>
      <c r="B215" s="344" t="str">
        <f>'A) Base RI'!B215</f>
        <v>Baulmes</v>
      </c>
      <c r="C215" s="505">
        <v>468319.12510337506</v>
      </c>
      <c r="D215" s="505">
        <v>-220347.64361498569</v>
      </c>
      <c r="E215" s="506">
        <v>0</v>
      </c>
      <c r="F215" s="506">
        <v>0</v>
      </c>
      <c r="G215" s="506">
        <v>0</v>
      </c>
      <c r="H215" s="503">
        <f t="shared" si="39"/>
        <v>247971.48148838937</v>
      </c>
      <c r="I215" s="506">
        <v>26827.589150326792</v>
      </c>
      <c r="J215" s="348">
        <f>'B) D RI'!U215</f>
        <v>28471.572156862745</v>
      </c>
      <c r="K215" s="62">
        <f t="shared" si="40"/>
        <v>9.2431518948234963</v>
      </c>
      <c r="L215" s="33">
        <f>'B) D RI'!S215</f>
        <v>76.5</v>
      </c>
      <c r="M215" s="442">
        <f t="shared" si="27"/>
        <v>67.256848105176502</v>
      </c>
      <c r="N215" s="437">
        <f>+'J) Plafonnement effort'!H214+'J) Plafonnement effort'!I214-'K) Plafonnement aide'!I214</f>
        <v>3.6718798807304847</v>
      </c>
      <c r="O215" s="145">
        <f t="shared" si="28"/>
        <v>70.928727985906988</v>
      </c>
      <c r="P215" s="47">
        <f t="shared" si="29"/>
        <v>0</v>
      </c>
      <c r="Q215" s="55">
        <f t="shared" si="32"/>
        <v>0</v>
      </c>
      <c r="R215" s="145">
        <f t="shared" si="30"/>
        <v>70.928727985906988</v>
      </c>
      <c r="S215" s="125">
        <f t="shared" si="31"/>
        <v>-5.5712720140930116</v>
      </c>
      <c r="T215" s="144">
        <f t="shared" si="41"/>
        <v>0</v>
      </c>
      <c r="V215" s="12"/>
    </row>
    <row r="216" spans="1:22" x14ac:dyDescent="0.25">
      <c r="A216" s="49">
        <f>'A) Base RI'!A216</f>
        <v>5746</v>
      </c>
      <c r="B216" s="344" t="str">
        <f>'A) Base RI'!B216</f>
        <v>Bavois</v>
      </c>
      <c r="C216" s="505">
        <v>616652.67683811358</v>
      </c>
      <c r="D216" s="505">
        <v>88304.681709219469</v>
      </c>
      <c r="E216" s="506">
        <v>0</v>
      </c>
      <c r="F216" s="506">
        <v>0</v>
      </c>
      <c r="G216" s="506">
        <v>0</v>
      </c>
      <c r="H216" s="503">
        <f t="shared" si="39"/>
        <v>704957.35854733305</v>
      </c>
      <c r="I216" s="506">
        <v>30466.611141552505</v>
      </c>
      <c r="J216" s="348">
        <f>'B) D RI'!U216</f>
        <v>27408.124908675796</v>
      </c>
      <c r="K216" s="62">
        <f t="shared" si="40"/>
        <v>23.138686323595167</v>
      </c>
      <c r="L216" s="33">
        <f>'B) D RI'!S216</f>
        <v>73</v>
      </c>
      <c r="M216" s="442">
        <f t="shared" si="27"/>
        <v>49.861313676404833</v>
      </c>
      <c r="N216" s="437">
        <f>+'J) Plafonnement effort'!H215+'J) Plafonnement effort'!I215-'K) Plafonnement aide'!I215</f>
        <v>11.048776989846374</v>
      </c>
      <c r="O216" s="145">
        <f t="shared" si="28"/>
        <v>60.910090666251207</v>
      </c>
      <c r="P216" s="47">
        <f t="shared" si="29"/>
        <v>0</v>
      </c>
      <c r="Q216" s="55">
        <f t="shared" si="32"/>
        <v>0</v>
      </c>
      <c r="R216" s="145">
        <f t="shared" si="30"/>
        <v>60.910090666251207</v>
      </c>
      <c r="S216" s="125">
        <f t="shared" si="31"/>
        <v>-12.089909333748793</v>
      </c>
      <c r="T216" s="144">
        <f t="shared" si="41"/>
        <v>0</v>
      </c>
      <c r="V216" s="12"/>
    </row>
    <row r="217" spans="1:22" x14ac:dyDescent="0.25">
      <c r="A217" s="49">
        <f>'A) Base RI'!A217</f>
        <v>5747</v>
      </c>
      <c r="B217" s="344" t="str">
        <f>'A) Base RI'!B217</f>
        <v>Bofflens</v>
      </c>
      <c r="C217" s="505">
        <v>100160.36851583535</v>
      </c>
      <c r="D217" s="505">
        <v>-461.16010328104312</v>
      </c>
      <c r="E217" s="506">
        <v>0</v>
      </c>
      <c r="F217" s="506">
        <v>0</v>
      </c>
      <c r="G217" s="506">
        <v>0</v>
      </c>
      <c r="H217" s="503">
        <f t="shared" si="39"/>
        <v>99699.208412554304</v>
      </c>
      <c r="I217" s="506">
        <v>5608.7786956521741</v>
      </c>
      <c r="J217" s="348">
        <f>'B) D RI'!U217</f>
        <v>5808.1759420289845</v>
      </c>
      <c r="K217" s="62">
        <f t="shared" si="40"/>
        <v>17.775564667908785</v>
      </c>
      <c r="L217" s="33">
        <f>'B) D RI'!S217</f>
        <v>69</v>
      </c>
      <c r="M217" s="442">
        <f t="shared" si="27"/>
        <v>51.224435332091218</v>
      </c>
      <c r="N217" s="437">
        <f>+'J) Plafonnement effort'!H216+'J) Plafonnement effort'!I216-'K) Plafonnement aide'!I216</f>
        <v>12.927046525335573</v>
      </c>
      <c r="O217" s="145">
        <f t="shared" si="28"/>
        <v>64.151481857426788</v>
      </c>
      <c r="P217" s="47">
        <f t="shared" si="29"/>
        <v>0</v>
      </c>
      <c r="Q217" s="55">
        <f t="shared" si="32"/>
        <v>0</v>
      </c>
      <c r="R217" s="145">
        <f t="shared" si="30"/>
        <v>64.151481857426788</v>
      </c>
      <c r="S217" s="125">
        <f t="shared" si="31"/>
        <v>-4.8485181425732122</v>
      </c>
      <c r="T217" s="144">
        <f t="shared" si="41"/>
        <v>0</v>
      </c>
      <c r="V217" s="12"/>
    </row>
    <row r="218" spans="1:22" x14ac:dyDescent="0.25">
      <c r="A218" s="49">
        <f>'A) Base RI'!A218</f>
        <v>5748</v>
      </c>
      <c r="B218" s="344" t="str">
        <f>'A) Base RI'!B218</f>
        <v>Bretonnières</v>
      </c>
      <c r="C218" s="505">
        <v>92620.248816850915</v>
      </c>
      <c r="D218" s="505">
        <v>-64237.781532688939</v>
      </c>
      <c r="E218" s="506">
        <v>0</v>
      </c>
      <c r="F218" s="506">
        <v>0</v>
      </c>
      <c r="G218" s="506">
        <v>0</v>
      </c>
      <c r="H218" s="503">
        <f t="shared" si="39"/>
        <v>28382.467284161976</v>
      </c>
      <c r="I218" s="506">
        <v>5789.9884160756492</v>
      </c>
      <c r="J218" s="348">
        <f>'B) D RI'!U218</f>
        <v>6643.6153664302601</v>
      </c>
      <c r="K218" s="62">
        <f t="shared" si="40"/>
        <v>4.9019903399736169</v>
      </c>
      <c r="L218" s="33">
        <f>'B) D RI'!S218</f>
        <v>70.5</v>
      </c>
      <c r="M218" s="442">
        <f t="shared" si="27"/>
        <v>65.598009660026378</v>
      </c>
      <c r="N218" s="437">
        <f>+'J) Plafonnement effort'!H217+'J) Plafonnement effort'!I217-'K) Plafonnement aide'!I217</f>
        <v>7.3590541408619341</v>
      </c>
      <c r="O218" s="145">
        <f t="shared" si="28"/>
        <v>72.957063800888307</v>
      </c>
      <c r="P218" s="47">
        <f t="shared" si="29"/>
        <v>0</v>
      </c>
      <c r="Q218" s="55">
        <f t="shared" si="32"/>
        <v>0</v>
      </c>
      <c r="R218" s="145">
        <f t="shared" si="30"/>
        <v>72.957063800888307</v>
      </c>
      <c r="S218" s="125">
        <f t="shared" si="31"/>
        <v>2.4570638008883066</v>
      </c>
      <c r="T218" s="144">
        <f t="shared" si="41"/>
        <v>0</v>
      </c>
      <c r="V218" s="12"/>
    </row>
    <row r="219" spans="1:22" x14ac:dyDescent="0.25">
      <c r="A219" s="49">
        <f>'A) Base RI'!A219</f>
        <v>5749</v>
      </c>
      <c r="B219" s="344" t="str">
        <f>'A) Base RI'!B219</f>
        <v>Chavornay</v>
      </c>
      <c r="C219" s="505">
        <v>2487733.5405925326</v>
      </c>
      <c r="D219" s="505">
        <v>-1464997.5906404178</v>
      </c>
      <c r="E219" s="506">
        <v>0</v>
      </c>
      <c r="F219" s="506">
        <v>0</v>
      </c>
      <c r="G219" s="506">
        <v>0</v>
      </c>
      <c r="H219" s="503">
        <f t="shared" si="39"/>
        <v>1022735.9499521148</v>
      </c>
      <c r="I219" s="506">
        <v>140676.80723404256</v>
      </c>
      <c r="J219" s="348">
        <f>'B) D RI'!U219</f>
        <v>153338.61687943264</v>
      </c>
      <c r="K219" s="62">
        <f t="shared" si="40"/>
        <v>7.2701106178120716</v>
      </c>
      <c r="L219" s="33">
        <f>'B) D RI'!S219</f>
        <v>70.5</v>
      </c>
      <c r="M219" s="442">
        <f t="shared" ref="M219" si="42">L219-K219</f>
        <v>63.229889382187928</v>
      </c>
      <c r="N219" s="437">
        <f>+'J) Plafonnement effort'!H218+'J) Plafonnement effort'!I218-'K) Plafonnement aide'!I218</f>
        <v>3.8992047725703483</v>
      </c>
      <c r="O219" s="145">
        <f t="shared" ref="O219" si="43">M219+N219</f>
        <v>67.129094154758278</v>
      </c>
      <c r="P219" s="47">
        <f t="shared" ref="P219" si="44">IF(O219&gt;$P$6,$P$6-O219,0)</f>
        <v>0</v>
      </c>
      <c r="Q219" s="55">
        <f t="shared" ref="Q219" si="45">P219*J219</f>
        <v>0</v>
      </c>
      <c r="R219" s="145">
        <f t="shared" ref="R219" si="46">O219+P219</f>
        <v>67.129094154758278</v>
      </c>
      <c r="S219" s="125">
        <f t="shared" ref="S219" si="47">R219-L219</f>
        <v>-3.3709058452417224</v>
      </c>
      <c r="T219" s="144">
        <f t="shared" si="41"/>
        <v>0</v>
      </c>
      <c r="V219" s="12"/>
    </row>
    <row r="220" spans="1:22" x14ac:dyDescent="0.25">
      <c r="A220" s="49">
        <f>'A) Base RI'!A220</f>
        <v>5750</v>
      </c>
      <c r="B220" s="344" t="str">
        <f>'A) Base RI'!B220</f>
        <v>Les Clées</v>
      </c>
      <c r="C220" s="505">
        <v>84458.480184872766</v>
      </c>
      <c r="D220" s="505">
        <v>16270.63758602507</v>
      </c>
      <c r="E220" s="506">
        <v>0</v>
      </c>
      <c r="F220" s="506">
        <v>0</v>
      </c>
      <c r="G220" s="506">
        <v>0</v>
      </c>
      <c r="H220" s="503">
        <f t="shared" si="39"/>
        <v>100729.11777089784</v>
      </c>
      <c r="I220" s="506">
        <v>6037.9437500000004</v>
      </c>
      <c r="J220" s="348">
        <f>'B) D RI'!U220</f>
        <v>4819.774166666667</v>
      </c>
      <c r="K220" s="62">
        <f t="shared" si="40"/>
        <v>16.682685685983383</v>
      </c>
      <c r="L220" s="33">
        <f>'B) D RI'!S220</f>
        <v>80</v>
      </c>
      <c r="M220" s="442">
        <f t="shared" ref="M220:M261" si="48">L220-K220</f>
        <v>63.317314314016613</v>
      </c>
      <c r="N220" s="437">
        <f>+'J) Plafonnement effort'!H219+'J) Plafonnement effort'!I219-'K) Plafonnement aide'!I219</f>
        <v>5.0987910171925099</v>
      </c>
      <c r="O220" s="145">
        <f t="shared" ref="O220:O261" si="49">M220+N220</f>
        <v>68.416105331209124</v>
      </c>
      <c r="P220" s="47">
        <f t="shared" ref="P220:P261" si="50">IF(O220&gt;$P$6,$P$6-O220,0)</f>
        <v>0</v>
      </c>
      <c r="Q220" s="55">
        <f t="shared" si="32"/>
        <v>0</v>
      </c>
      <c r="R220" s="145">
        <f t="shared" ref="R220:R261" si="51">O220+P220</f>
        <v>68.416105331209124</v>
      </c>
      <c r="S220" s="125">
        <f t="shared" ref="S220:S261" si="52">R220-L220</f>
        <v>-11.583894668790876</v>
      </c>
      <c r="T220" s="144">
        <f t="shared" si="41"/>
        <v>0</v>
      </c>
      <c r="V220" s="12"/>
    </row>
    <row r="221" spans="1:22" x14ac:dyDescent="0.25">
      <c r="A221" s="49">
        <f>'A) Base RI'!A221</f>
        <v>5752</v>
      </c>
      <c r="B221" s="344" t="str">
        <f>'A) Base RI'!B221</f>
        <v>Croy</v>
      </c>
      <c r="C221" s="505">
        <v>161349.69491089968</v>
      </c>
      <c r="D221" s="505">
        <v>-82011.718635465542</v>
      </c>
      <c r="E221" s="506">
        <v>0</v>
      </c>
      <c r="F221" s="506">
        <v>0</v>
      </c>
      <c r="G221" s="506">
        <v>0</v>
      </c>
      <c r="H221" s="503">
        <f t="shared" si="39"/>
        <v>79337.976275434135</v>
      </c>
      <c r="I221" s="506">
        <v>9416.7971235521236</v>
      </c>
      <c r="J221" s="348">
        <f>'B) D RI'!U221</f>
        <v>9670.9952316602321</v>
      </c>
      <c r="K221" s="62">
        <f t="shared" si="40"/>
        <v>8.425155096206101</v>
      </c>
      <c r="L221" s="33">
        <f>'B) D RI'!S221</f>
        <v>74</v>
      </c>
      <c r="M221" s="442">
        <f t="shared" si="48"/>
        <v>65.574844903793903</v>
      </c>
      <c r="N221" s="437">
        <f>+'J) Plafonnement effort'!H220+'J) Plafonnement effort'!I220-'K) Plafonnement aide'!I220</f>
        <v>5.119541101070447</v>
      </c>
      <c r="O221" s="145">
        <f t="shared" si="49"/>
        <v>70.694386004864356</v>
      </c>
      <c r="P221" s="47">
        <f t="shared" si="50"/>
        <v>0</v>
      </c>
      <c r="Q221" s="55">
        <f t="shared" si="32"/>
        <v>0</v>
      </c>
      <c r="R221" s="145">
        <f t="shared" si="51"/>
        <v>70.694386004864356</v>
      </c>
      <c r="S221" s="125">
        <f t="shared" si="52"/>
        <v>-3.3056139951356442</v>
      </c>
      <c r="T221" s="144">
        <f t="shared" si="41"/>
        <v>0</v>
      </c>
      <c r="V221" s="12"/>
    </row>
    <row r="222" spans="1:22" x14ac:dyDescent="0.25">
      <c r="A222" s="49">
        <f>'A) Base RI'!A222</f>
        <v>5754</v>
      </c>
      <c r="B222" s="344" t="str">
        <f>'A) Base RI'!B222</f>
        <v>Juriens</v>
      </c>
      <c r="C222" s="505">
        <v>120879.37434472695</v>
      </c>
      <c r="D222" s="505">
        <v>-91357.36294311707</v>
      </c>
      <c r="E222" s="506">
        <v>0</v>
      </c>
      <c r="F222" s="506">
        <v>0</v>
      </c>
      <c r="G222" s="506">
        <v>0</v>
      </c>
      <c r="H222" s="503">
        <f t="shared" si="39"/>
        <v>29522.011401609881</v>
      </c>
      <c r="I222" s="506">
        <v>8043.7859493670894</v>
      </c>
      <c r="J222" s="348">
        <f>'B) D RI'!U222</f>
        <v>9073.6935443037964</v>
      </c>
      <c r="K222" s="62">
        <f t="shared" si="40"/>
        <v>3.6701637248232304</v>
      </c>
      <c r="L222" s="33">
        <f>'B) D RI'!S222</f>
        <v>79</v>
      </c>
      <c r="M222" s="442">
        <f t="shared" si="48"/>
        <v>75.329836275176774</v>
      </c>
      <c r="N222" s="437">
        <f>+'J) Plafonnement effort'!H221+'J) Plafonnement effort'!I221-'K) Plafonnement aide'!I221</f>
        <v>4.8370386327159345</v>
      </c>
      <c r="O222" s="145">
        <f t="shared" si="49"/>
        <v>80.166874907892705</v>
      </c>
      <c r="P222" s="47">
        <f t="shared" si="50"/>
        <v>0</v>
      </c>
      <c r="Q222" s="55">
        <f t="shared" ref="Q222:Q266" si="53">P222*J222</f>
        <v>0</v>
      </c>
      <c r="R222" s="145">
        <f t="shared" si="51"/>
        <v>80.166874907892705</v>
      </c>
      <c r="S222" s="125">
        <f t="shared" si="52"/>
        <v>1.166874907892705</v>
      </c>
      <c r="T222" s="144">
        <f t="shared" si="41"/>
        <v>0</v>
      </c>
      <c r="V222" s="12"/>
    </row>
    <row r="223" spans="1:22" x14ac:dyDescent="0.25">
      <c r="A223" s="49">
        <f>'A) Base RI'!A223</f>
        <v>5755</v>
      </c>
      <c r="B223" s="344" t="str">
        <f>'A) Base RI'!B223</f>
        <v>Lignerolle</v>
      </c>
      <c r="C223" s="505">
        <v>265175.7398544664</v>
      </c>
      <c r="D223" s="505">
        <v>-174568.4394176701</v>
      </c>
      <c r="E223" s="506">
        <v>0</v>
      </c>
      <c r="F223" s="506">
        <v>0</v>
      </c>
      <c r="G223" s="506">
        <v>0</v>
      </c>
      <c r="H223" s="503">
        <f t="shared" si="39"/>
        <v>90607.3004367963</v>
      </c>
      <c r="I223" s="506">
        <v>9055.2737033666963</v>
      </c>
      <c r="J223" s="348">
        <f>'B) D RI'!U223</f>
        <v>10746.718034576888</v>
      </c>
      <c r="K223" s="62">
        <f t="shared" si="40"/>
        <v>10.006025594025838</v>
      </c>
      <c r="L223" s="33">
        <f>'B) D RI'!S223</f>
        <v>78.5</v>
      </c>
      <c r="M223" s="442">
        <f t="shared" si="48"/>
        <v>68.493974405974157</v>
      </c>
      <c r="N223" s="437">
        <f>+'J) Plafonnement effort'!H222+'J) Plafonnement effort'!I222-'K) Plafonnement aide'!I222</f>
        <v>5.4948700229912308</v>
      </c>
      <c r="O223" s="145">
        <f t="shared" si="49"/>
        <v>73.988844428965393</v>
      </c>
      <c r="P223" s="47">
        <f t="shared" si="50"/>
        <v>0</v>
      </c>
      <c r="Q223" s="55">
        <f t="shared" si="53"/>
        <v>0</v>
      </c>
      <c r="R223" s="145">
        <f t="shared" si="51"/>
        <v>73.988844428965393</v>
      </c>
      <c r="S223" s="125">
        <f t="shared" si="52"/>
        <v>-4.5111555710346067</v>
      </c>
      <c r="T223" s="144">
        <f t="shared" si="41"/>
        <v>0</v>
      </c>
      <c r="V223" s="12"/>
    </row>
    <row r="224" spans="1:22" x14ac:dyDescent="0.25">
      <c r="A224" s="49">
        <f>'A) Base RI'!A224</f>
        <v>5756</v>
      </c>
      <c r="B224" s="344" t="str">
        <f>'A) Base RI'!B224</f>
        <v>Montcherand</v>
      </c>
      <c r="C224" s="505">
        <v>267238.51405768143</v>
      </c>
      <c r="D224" s="505">
        <v>60065.382161013433</v>
      </c>
      <c r="E224" s="506">
        <v>0</v>
      </c>
      <c r="F224" s="506">
        <v>0</v>
      </c>
      <c r="G224" s="506">
        <v>0</v>
      </c>
      <c r="H224" s="503">
        <f t="shared" si="39"/>
        <v>327303.89621869486</v>
      </c>
      <c r="I224" s="506">
        <v>15758.308611111112</v>
      </c>
      <c r="J224" s="348">
        <f>'B) D RI'!U224</f>
        <v>17739.52444444444</v>
      </c>
      <c r="K224" s="62">
        <f t="shared" si="40"/>
        <v>20.770242815774935</v>
      </c>
      <c r="L224" s="33">
        <f>'B) D RI'!S224</f>
        <v>72</v>
      </c>
      <c r="M224" s="442">
        <f t="shared" si="48"/>
        <v>51.229757184225065</v>
      </c>
      <c r="N224" s="437">
        <f>+'J) Plafonnement effort'!H223+'J) Plafonnement effort'!I223-'K) Plafonnement aide'!I223</f>
        <v>19.801467410612908</v>
      </c>
      <c r="O224" s="145">
        <f t="shared" si="49"/>
        <v>71.031224594837965</v>
      </c>
      <c r="P224" s="47">
        <f t="shared" si="50"/>
        <v>0</v>
      </c>
      <c r="Q224" s="55">
        <f t="shared" si="53"/>
        <v>0</v>
      </c>
      <c r="R224" s="145">
        <f t="shared" si="51"/>
        <v>71.031224594837965</v>
      </c>
      <c r="S224" s="125">
        <f t="shared" si="52"/>
        <v>-0.96877540516203453</v>
      </c>
      <c r="T224" s="144">
        <f t="shared" si="41"/>
        <v>0</v>
      </c>
      <c r="V224" s="12"/>
    </row>
    <row r="225" spans="1:22" x14ac:dyDescent="0.25">
      <c r="A225" s="49">
        <f>'A) Base RI'!A225</f>
        <v>5757</v>
      </c>
      <c r="B225" s="344" t="str">
        <f>'A) Base RI'!B225</f>
        <v>Orbe</v>
      </c>
      <c r="C225" s="505">
        <v>4230593.9084623726</v>
      </c>
      <c r="D225" s="505">
        <v>-2356600.5827753269</v>
      </c>
      <c r="E225" s="506">
        <v>0</v>
      </c>
      <c r="F225" s="506">
        <v>0</v>
      </c>
      <c r="G225" s="506">
        <v>0</v>
      </c>
      <c r="H225" s="503">
        <f t="shared" si="39"/>
        <v>1873993.3256870457</v>
      </c>
      <c r="I225" s="506">
        <v>203783.43483443707</v>
      </c>
      <c r="J225" s="348">
        <f>'B) D RI'!U225</f>
        <v>216184.82317880794</v>
      </c>
      <c r="K225" s="62">
        <f t="shared" si="40"/>
        <v>9.1960042150117012</v>
      </c>
      <c r="L225" s="33">
        <f>'B) D RI'!S225</f>
        <v>75.5</v>
      </c>
      <c r="M225" s="442">
        <f t="shared" si="48"/>
        <v>66.303995784988302</v>
      </c>
      <c r="N225" s="437">
        <f>+'J) Plafonnement effort'!H224+'J) Plafonnement effort'!I224-'K) Plafonnement aide'!I224</f>
        <v>-0.38796728625219856</v>
      </c>
      <c r="O225" s="145">
        <f t="shared" si="49"/>
        <v>65.916028498736097</v>
      </c>
      <c r="P225" s="47">
        <f t="shared" si="50"/>
        <v>0</v>
      </c>
      <c r="Q225" s="55">
        <f t="shared" si="53"/>
        <v>0</v>
      </c>
      <c r="R225" s="145">
        <f t="shared" si="51"/>
        <v>65.916028498736097</v>
      </c>
      <c r="S225" s="125">
        <f t="shared" si="52"/>
        <v>-9.5839715012639033</v>
      </c>
      <c r="T225" s="144">
        <f t="shared" si="41"/>
        <v>0</v>
      </c>
      <c r="V225" s="12"/>
    </row>
    <row r="226" spans="1:22" x14ac:dyDescent="0.25">
      <c r="A226" s="49">
        <f>'A) Base RI'!A226</f>
        <v>5758</v>
      </c>
      <c r="B226" s="344" t="str">
        <f>'A) Base RI'!B226</f>
        <v>La Praz</v>
      </c>
      <c r="C226" s="505">
        <v>70670.02289921882</v>
      </c>
      <c r="D226" s="505">
        <v>-52805.633630506927</v>
      </c>
      <c r="E226" s="506">
        <v>0</v>
      </c>
      <c r="F226" s="506">
        <v>0</v>
      </c>
      <c r="G226" s="506">
        <v>0</v>
      </c>
      <c r="H226" s="503">
        <f t="shared" si="39"/>
        <v>17864.389268711893</v>
      </c>
      <c r="I226" s="506">
        <v>4313.3939759036139</v>
      </c>
      <c r="J226" s="348">
        <f>'B) D RI'!U226</f>
        <v>4771.8661445783146</v>
      </c>
      <c r="K226" s="62">
        <f t="shared" si="40"/>
        <v>4.1416085264897413</v>
      </c>
      <c r="L226" s="33">
        <f>'B) D RI'!S226</f>
        <v>83</v>
      </c>
      <c r="M226" s="442">
        <f t="shared" si="48"/>
        <v>78.858391473510252</v>
      </c>
      <c r="N226" s="437">
        <f>+'J) Plafonnement effort'!H225+'J) Plafonnement effort'!I225-'K) Plafonnement aide'!I225</f>
        <v>2.9264551405768122</v>
      </c>
      <c r="O226" s="145">
        <f t="shared" si="49"/>
        <v>81.784846614087058</v>
      </c>
      <c r="P226" s="47">
        <f t="shared" si="50"/>
        <v>0</v>
      </c>
      <c r="Q226" s="55">
        <f t="shared" si="53"/>
        <v>0</v>
      </c>
      <c r="R226" s="145">
        <f t="shared" si="51"/>
        <v>81.784846614087058</v>
      </c>
      <c r="S226" s="125">
        <f t="shared" si="52"/>
        <v>-1.2151533859129415</v>
      </c>
      <c r="T226" s="144">
        <f t="shared" si="41"/>
        <v>0</v>
      </c>
      <c r="V226" s="12"/>
    </row>
    <row r="227" spans="1:22" x14ac:dyDescent="0.25">
      <c r="A227" s="49">
        <f>'A) Base RI'!A227</f>
        <v>5759</v>
      </c>
      <c r="B227" s="344" t="str">
        <f>'A) Base RI'!B227</f>
        <v>Premier</v>
      </c>
      <c r="C227" s="505">
        <v>92241.779467405417</v>
      </c>
      <c r="D227" s="505">
        <v>-57008.438547982281</v>
      </c>
      <c r="E227" s="506">
        <v>0</v>
      </c>
      <c r="F227" s="506">
        <v>0</v>
      </c>
      <c r="G227" s="506">
        <v>0</v>
      </c>
      <c r="H227" s="503">
        <f t="shared" si="39"/>
        <v>35233.340919423135</v>
      </c>
      <c r="I227" s="506">
        <v>5307.4840251572332</v>
      </c>
      <c r="J227" s="348">
        <f>'B) D RI'!U227</f>
        <v>5900.0572327044019</v>
      </c>
      <c r="K227" s="62">
        <f t="shared" si="40"/>
        <v>6.638426183181843</v>
      </c>
      <c r="L227" s="33">
        <f>'B) D RI'!S227</f>
        <v>79.5</v>
      </c>
      <c r="M227" s="442">
        <f t="shared" si="48"/>
        <v>72.861573816818151</v>
      </c>
      <c r="N227" s="437">
        <f>+'J) Plafonnement effort'!H226+'J) Plafonnement effort'!I226-'K) Plafonnement aide'!I226</f>
        <v>3.2591719598622082</v>
      </c>
      <c r="O227" s="145">
        <f t="shared" si="49"/>
        <v>76.120745776680366</v>
      </c>
      <c r="P227" s="47">
        <f t="shared" si="50"/>
        <v>0</v>
      </c>
      <c r="Q227" s="55">
        <f t="shared" si="53"/>
        <v>0</v>
      </c>
      <c r="R227" s="145">
        <f t="shared" si="51"/>
        <v>76.120745776680366</v>
      </c>
      <c r="S227" s="125">
        <f t="shared" si="52"/>
        <v>-3.3792542233196343</v>
      </c>
      <c r="T227" s="144">
        <f t="shared" si="41"/>
        <v>0</v>
      </c>
      <c r="V227" s="12"/>
    </row>
    <row r="228" spans="1:22" x14ac:dyDescent="0.25">
      <c r="A228" s="49">
        <f>'A) Base RI'!A228</f>
        <v>5760</v>
      </c>
      <c r="B228" s="344" t="str">
        <f>'A) Base RI'!B228</f>
        <v>Rances</v>
      </c>
      <c r="C228" s="505">
        <v>227755.46846837425</v>
      </c>
      <c r="D228" s="505">
        <v>-96860.989979886217</v>
      </c>
      <c r="E228" s="506">
        <v>0</v>
      </c>
      <c r="F228" s="506">
        <v>0</v>
      </c>
      <c r="G228" s="506">
        <v>0</v>
      </c>
      <c r="H228" s="503">
        <f t="shared" si="39"/>
        <v>130894.47848848804</v>
      </c>
      <c r="I228" s="506">
        <v>12826.018997821348</v>
      </c>
      <c r="J228" s="348">
        <f>'B) D RI'!U228</f>
        <v>14481.892461873636</v>
      </c>
      <c r="K228" s="62">
        <f t="shared" si="40"/>
        <v>10.205386294119947</v>
      </c>
      <c r="L228" s="33">
        <f>'B) D RI'!S228</f>
        <v>76.5</v>
      </c>
      <c r="M228" s="442">
        <f t="shared" si="48"/>
        <v>66.294613705880053</v>
      </c>
      <c r="N228" s="437">
        <f>+'J) Plafonnement effort'!H227+'J) Plafonnement effort'!I227-'K) Plafonnement aide'!I227</f>
        <v>9.9392011610895725</v>
      </c>
      <c r="O228" s="145">
        <f t="shared" si="49"/>
        <v>76.233814866969624</v>
      </c>
      <c r="P228" s="47">
        <f t="shared" si="50"/>
        <v>0</v>
      </c>
      <c r="Q228" s="55">
        <f t="shared" si="53"/>
        <v>0</v>
      </c>
      <c r="R228" s="145">
        <f t="shared" si="51"/>
        <v>76.233814866969624</v>
      </c>
      <c r="S228" s="125">
        <f t="shared" si="52"/>
        <v>-0.26618513303037616</v>
      </c>
      <c r="T228" s="144">
        <f t="shared" si="41"/>
        <v>0</v>
      </c>
      <c r="V228" s="12"/>
    </row>
    <row r="229" spans="1:22" x14ac:dyDescent="0.25">
      <c r="A229" s="49">
        <f>'A) Base RI'!A229</f>
        <v>5761</v>
      </c>
      <c r="B229" s="344" t="str">
        <f>'A) Base RI'!B229</f>
        <v>Romainmôtier-Envy</v>
      </c>
      <c r="C229" s="505">
        <v>250006.30959882331</v>
      </c>
      <c r="D229" s="505">
        <v>-178791.75091027084</v>
      </c>
      <c r="E229" s="506">
        <v>0</v>
      </c>
      <c r="F229" s="506">
        <v>0</v>
      </c>
      <c r="G229" s="506">
        <v>0</v>
      </c>
      <c r="H229" s="503">
        <f t="shared" si="39"/>
        <v>71214.558688552468</v>
      </c>
      <c r="I229" s="506">
        <v>12135.004377104378</v>
      </c>
      <c r="J229" s="348">
        <f>'B) D RI'!U229</f>
        <v>12913.984792368126</v>
      </c>
      <c r="K229" s="62">
        <f t="shared" si="40"/>
        <v>5.8685235271044451</v>
      </c>
      <c r="L229" s="33">
        <f>'B) D RI'!S229</f>
        <v>81</v>
      </c>
      <c r="M229" s="442">
        <f t="shared" si="48"/>
        <v>75.131476472895557</v>
      </c>
      <c r="N229" s="437">
        <f>+'J) Plafonnement effort'!H228+'J) Plafonnement effort'!I228-'K) Plafonnement aide'!I228</f>
        <v>-2.2764784000364271</v>
      </c>
      <c r="O229" s="145">
        <f t="shared" si="49"/>
        <v>72.854998072859132</v>
      </c>
      <c r="P229" s="47">
        <f t="shared" si="50"/>
        <v>0</v>
      </c>
      <c r="Q229" s="55">
        <f t="shared" si="53"/>
        <v>0</v>
      </c>
      <c r="R229" s="145">
        <f t="shared" si="51"/>
        <v>72.854998072859132</v>
      </c>
      <c r="S229" s="125">
        <f t="shared" si="52"/>
        <v>-8.1450019271408678</v>
      </c>
      <c r="T229" s="144">
        <f t="shared" si="41"/>
        <v>0</v>
      </c>
      <c r="V229" s="12"/>
    </row>
    <row r="230" spans="1:22" x14ac:dyDescent="0.25">
      <c r="A230" s="49">
        <f>'A) Base RI'!A230</f>
        <v>5762</v>
      </c>
      <c r="B230" s="344" t="str">
        <f>'A) Base RI'!B230</f>
        <v>Sergey</v>
      </c>
      <c r="C230" s="505">
        <v>50974.901517918064</v>
      </c>
      <c r="D230" s="505">
        <v>-24063.750296848099</v>
      </c>
      <c r="E230" s="506">
        <v>0</v>
      </c>
      <c r="F230" s="506">
        <v>0</v>
      </c>
      <c r="G230" s="506">
        <v>0</v>
      </c>
      <c r="H230" s="503">
        <f t="shared" si="39"/>
        <v>26911.151221069966</v>
      </c>
      <c r="I230" s="506">
        <v>3773.0282051282052</v>
      </c>
      <c r="J230" s="348">
        <f>'B) D RI'!U230</f>
        <v>3849.6283333333336</v>
      </c>
      <c r="K230" s="62">
        <f t="shared" si="40"/>
        <v>7.1325073012952842</v>
      </c>
      <c r="L230" s="33">
        <f>'B) D RI'!S230</f>
        <v>78</v>
      </c>
      <c r="M230" s="442">
        <f t="shared" si="48"/>
        <v>70.867492698704723</v>
      </c>
      <c r="N230" s="437">
        <f>+'J) Plafonnement effort'!H229+'J) Plafonnement effort'!I229-'K) Plafonnement aide'!I229</f>
        <v>7.6224791095559139</v>
      </c>
      <c r="O230" s="145">
        <f t="shared" si="49"/>
        <v>78.489971808260634</v>
      </c>
      <c r="P230" s="47">
        <f t="shared" si="50"/>
        <v>0</v>
      </c>
      <c r="Q230" s="55">
        <f t="shared" si="53"/>
        <v>0</v>
      </c>
      <c r="R230" s="145">
        <f t="shared" si="51"/>
        <v>78.489971808260634</v>
      </c>
      <c r="S230" s="125">
        <f t="shared" si="52"/>
        <v>0.48997180826063413</v>
      </c>
      <c r="T230" s="144">
        <f t="shared" si="41"/>
        <v>0</v>
      </c>
      <c r="V230" s="12"/>
    </row>
    <row r="231" spans="1:22" x14ac:dyDescent="0.25">
      <c r="A231" s="49">
        <f>'A) Base RI'!A231</f>
        <v>5763</v>
      </c>
      <c r="B231" s="344" t="str">
        <f>'A) Base RI'!B231</f>
        <v>Valeyres-sous-Rances</v>
      </c>
      <c r="C231" s="505">
        <v>303678.99190062348</v>
      </c>
      <c r="D231" s="505">
        <v>151798.82547565878</v>
      </c>
      <c r="E231" s="506">
        <v>0</v>
      </c>
      <c r="F231" s="506">
        <v>0</v>
      </c>
      <c r="G231" s="506">
        <v>0</v>
      </c>
      <c r="H231" s="503">
        <f t="shared" si="39"/>
        <v>455477.8173762823</v>
      </c>
      <c r="I231" s="506">
        <v>20456.385294117645</v>
      </c>
      <c r="J231" s="348">
        <f>'B) D RI'!U231</f>
        <v>22663.97352941176</v>
      </c>
      <c r="K231" s="62">
        <f t="shared" si="40"/>
        <v>22.265801647139373</v>
      </c>
      <c r="L231" s="33">
        <f>'B) D RI'!S231</f>
        <v>68</v>
      </c>
      <c r="M231" s="442">
        <f t="shared" si="48"/>
        <v>45.734198352860631</v>
      </c>
      <c r="N231" s="437">
        <f>+'J) Plafonnement effort'!H230+'J) Plafonnement effort'!I230-'K) Plafonnement aide'!I230</f>
        <v>21.861244295675775</v>
      </c>
      <c r="O231" s="145">
        <f t="shared" si="49"/>
        <v>67.595442648536405</v>
      </c>
      <c r="P231" s="47">
        <f t="shared" si="50"/>
        <v>0</v>
      </c>
      <c r="Q231" s="55">
        <f t="shared" si="53"/>
        <v>0</v>
      </c>
      <c r="R231" s="145">
        <f t="shared" si="51"/>
        <v>67.595442648536405</v>
      </c>
      <c r="S231" s="125">
        <f t="shared" si="52"/>
        <v>-0.40455735146359473</v>
      </c>
      <c r="T231" s="144">
        <f t="shared" si="41"/>
        <v>0</v>
      </c>
      <c r="V231" s="12"/>
    </row>
    <row r="232" spans="1:22" x14ac:dyDescent="0.25">
      <c r="A232" s="49">
        <f>'A) Base RI'!A232</f>
        <v>5764</v>
      </c>
      <c r="B232" s="344" t="str">
        <f>'A) Base RI'!B232</f>
        <v>Vallorbe</v>
      </c>
      <c r="C232" s="505">
        <v>2010847.2256480502</v>
      </c>
      <c r="D232" s="505">
        <v>-1734287.397714451</v>
      </c>
      <c r="E232" s="506">
        <v>0</v>
      </c>
      <c r="F232" s="506">
        <v>0</v>
      </c>
      <c r="G232" s="506">
        <v>0</v>
      </c>
      <c r="H232" s="503">
        <f t="shared" si="39"/>
        <v>276559.82793359924</v>
      </c>
      <c r="I232" s="506">
        <v>84310.704615384602</v>
      </c>
      <c r="J232" s="348">
        <f>'B) D RI'!U232</f>
        <v>83682.382797202779</v>
      </c>
      <c r="K232" s="62">
        <f t="shared" si="40"/>
        <v>3.2802457196299359</v>
      </c>
      <c r="L232" s="33">
        <f>'B) D RI'!S232</f>
        <v>71.5</v>
      </c>
      <c r="M232" s="442">
        <f t="shared" si="48"/>
        <v>68.219754280370068</v>
      </c>
      <c r="N232" s="437">
        <f>+'J) Plafonnement effort'!H231+'J) Plafonnement effort'!I231-'K) Plafonnement aide'!I231</f>
        <v>-10.309030597207792</v>
      </c>
      <c r="O232" s="145">
        <f t="shared" si="49"/>
        <v>57.910723683162274</v>
      </c>
      <c r="P232" s="47">
        <f t="shared" si="50"/>
        <v>0</v>
      </c>
      <c r="Q232" s="55">
        <f t="shared" si="53"/>
        <v>0</v>
      </c>
      <c r="R232" s="145">
        <f t="shared" si="51"/>
        <v>57.910723683162274</v>
      </c>
      <c r="S232" s="125">
        <f t="shared" si="52"/>
        <v>-13.589276316837726</v>
      </c>
      <c r="T232" s="144">
        <f t="shared" si="41"/>
        <v>0</v>
      </c>
      <c r="V232" s="12"/>
    </row>
    <row r="233" spans="1:22" x14ac:dyDescent="0.25">
      <c r="A233" s="49">
        <f>'A) Base RI'!A233</f>
        <v>5765</v>
      </c>
      <c r="B233" s="344" t="str">
        <f>'A) Base RI'!B233</f>
        <v>Vaulion</v>
      </c>
      <c r="C233" s="505">
        <v>218022.75083541835</v>
      </c>
      <c r="D233" s="505">
        <v>-189662.49119344281</v>
      </c>
      <c r="E233" s="506">
        <v>0</v>
      </c>
      <c r="F233" s="506">
        <v>0</v>
      </c>
      <c r="G233" s="506">
        <v>0</v>
      </c>
      <c r="H233" s="503">
        <f t="shared" si="39"/>
        <v>28360.259641975543</v>
      </c>
      <c r="I233" s="506">
        <v>11314.597037037036</v>
      </c>
      <c r="J233" s="348">
        <f>'B) D RI'!U233</f>
        <v>10279.479012345679</v>
      </c>
      <c r="K233" s="62">
        <f t="shared" si="40"/>
        <v>2.5065196355770767</v>
      </c>
      <c r="L233" s="33">
        <f>'B) D RI'!S233</f>
        <v>81</v>
      </c>
      <c r="M233" s="442">
        <f t="shared" si="48"/>
        <v>78.493480364422922</v>
      </c>
      <c r="N233" s="437">
        <f>+'J) Plafonnement effort'!H232+'J) Plafonnement effort'!I232-'K) Plafonnement aide'!I232</f>
        <v>-9.5224365007431864</v>
      </c>
      <c r="O233" s="145">
        <f t="shared" si="49"/>
        <v>68.971043863679739</v>
      </c>
      <c r="P233" s="47">
        <f t="shared" si="50"/>
        <v>0</v>
      </c>
      <c r="Q233" s="55">
        <f t="shared" si="53"/>
        <v>0</v>
      </c>
      <c r="R233" s="145">
        <f t="shared" si="51"/>
        <v>68.971043863679739</v>
      </c>
      <c r="S233" s="125">
        <f t="shared" si="52"/>
        <v>-12.028956136320261</v>
      </c>
      <c r="T233" s="144">
        <f t="shared" si="41"/>
        <v>0</v>
      </c>
      <c r="V233" s="12"/>
    </row>
    <row r="234" spans="1:22" x14ac:dyDescent="0.25">
      <c r="A234" s="49">
        <f>'A) Base RI'!A234</f>
        <v>5766</v>
      </c>
      <c r="B234" s="344" t="str">
        <f>'A) Base RI'!B234</f>
        <v>Vuiteboeuf</v>
      </c>
      <c r="C234" s="505">
        <v>244222.18551944895</v>
      </c>
      <c r="D234" s="505">
        <v>-54627.244476666965</v>
      </c>
      <c r="E234" s="506">
        <v>0</v>
      </c>
      <c r="F234" s="506">
        <v>0</v>
      </c>
      <c r="G234" s="506">
        <v>0</v>
      </c>
      <c r="H234" s="503">
        <f t="shared" si="39"/>
        <v>189594.94104278198</v>
      </c>
      <c r="I234" s="506">
        <v>15993.559610389608</v>
      </c>
      <c r="J234" s="348">
        <f>'B) D RI'!U234</f>
        <v>15554.101904761903</v>
      </c>
      <c r="K234" s="62">
        <f t="shared" si="40"/>
        <v>11.854455522185246</v>
      </c>
      <c r="L234" s="33">
        <f>'B) D RI'!S234</f>
        <v>75</v>
      </c>
      <c r="M234" s="442">
        <f t="shared" si="48"/>
        <v>63.145544477814752</v>
      </c>
      <c r="N234" s="437">
        <f>+'J) Plafonnement effort'!H233+'J) Plafonnement effort'!I233-'K) Plafonnement aide'!I233</f>
        <v>7.3799896986408733</v>
      </c>
      <c r="O234" s="145">
        <f t="shared" si="49"/>
        <v>70.525534176455622</v>
      </c>
      <c r="P234" s="47">
        <f t="shared" si="50"/>
        <v>0</v>
      </c>
      <c r="Q234" s="55">
        <f t="shared" si="53"/>
        <v>0</v>
      </c>
      <c r="R234" s="145">
        <f t="shared" si="51"/>
        <v>70.525534176455622</v>
      </c>
      <c r="S234" s="125">
        <f t="shared" si="52"/>
        <v>-4.4744658235443779</v>
      </c>
      <c r="T234" s="144">
        <f t="shared" si="41"/>
        <v>0</v>
      </c>
      <c r="V234" s="12"/>
    </row>
    <row r="235" spans="1:22" x14ac:dyDescent="0.25">
      <c r="A235" s="49">
        <f>'A) Base RI'!A235</f>
        <v>5785</v>
      </c>
      <c r="B235" s="344" t="str">
        <f>'A) Base RI'!B235</f>
        <v>Corcelles-le-Jorat</v>
      </c>
      <c r="C235" s="505">
        <v>302918.69763711595</v>
      </c>
      <c r="D235" s="505">
        <v>179248.59361676784</v>
      </c>
      <c r="E235" s="506">
        <v>0</v>
      </c>
      <c r="F235" s="506">
        <v>0</v>
      </c>
      <c r="G235" s="506">
        <v>0</v>
      </c>
      <c r="H235" s="503">
        <f t="shared" si="39"/>
        <v>482167.2912538838</v>
      </c>
      <c r="I235" s="506">
        <v>17506.662467532471</v>
      </c>
      <c r="J235" s="348">
        <f>'B) D RI'!U235</f>
        <v>14579.940909090908</v>
      </c>
      <c r="K235" s="62">
        <f t="shared" si="40"/>
        <v>27.54193108755608</v>
      </c>
      <c r="L235" s="33">
        <f>'B) D RI'!S235</f>
        <v>77</v>
      </c>
      <c r="M235" s="442">
        <f t="shared" si="48"/>
        <v>49.45806891244392</v>
      </c>
      <c r="N235" s="437">
        <f>+'J) Plafonnement effort'!H234+'J) Plafonnement effort'!I234-'K) Plafonnement aide'!I234</f>
        <v>12.030418712076617</v>
      </c>
      <c r="O235" s="145">
        <f t="shared" si="49"/>
        <v>61.488487624520538</v>
      </c>
      <c r="P235" s="47">
        <f t="shared" si="50"/>
        <v>0</v>
      </c>
      <c r="Q235" s="55">
        <f t="shared" si="53"/>
        <v>0</v>
      </c>
      <c r="R235" s="145">
        <f t="shared" si="51"/>
        <v>61.488487624520538</v>
      </c>
      <c r="S235" s="125">
        <f t="shared" si="52"/>
        <v>-15.511512375479462</v>
      </c>
      <c r="T235" s="144">
        <f t="shared" si="41"/>
        <v>0</v>
      </c>
      <c r="V235" s="12"/>
    </row>
    <row r="236" spans="1:22" x14ac:dyDescent="0.25">
      <c r="A236" s="49">
        <f>'A) Base RI'!A236</f>
        <v>5788</v>
      </c>
      <c r="B236" s="344" t="str">
        <f>'A) Base RI'!B236</f>
        <v>Essertes</v>
      </c>
      <c r="C236" s="505">
        <v>255940.21827695286</v>
      </c>
      <c r="D236" s="505">
        <v>211158.14328060433</v>
      </c>
      <c r="E236" s="506">
        <v>0</v>
      </c>
      <c r="F236" s="506">
        <v>0</v>
      </c>
      <c r="G236" s="506">
        <v>0</v>
      </c>
      <c r="H236" s="503">
        <f t="shared" si="39"/>
        <v>467098.36155755719</v>
      </c>
      <c r="I236" s="506">
        <v>16224.893706293702</v>
      </c>
      <c r="J236" s="348">
        <f>'B) D RI'!U236</f>
        <v>13314.951048951047</v>
      </c>
      <c r="K236" s="62">
        <f t="shared" si="40"/>
        <v>28.788993629977856</v>
      </c>
      <c r="L236" s="33">
        <f>'B) D RI'!S236</f>
        <v>71.5</v>
      </c>
      <c r="M236" s="442">
        <f t="shared" si="48"/>
        <v>42.711006370022147</v>
      </c>
      <c r="N236" s="437">
        <f>+'J) Plafonnement effort'!H235+'J) Plafonnement effort'!I235-'K) Plafonnement aide'!I235</f>
        <v>18.216546258750355</v>
      </c>
      <c r="O236" s="145">
        <f t="shared" si="49"/>
        <v>60.927552628772503</v>
      </c>
      <c r="P236" s="47">
        <f t="shared" si="50"/>
        <v>0</v>
      </c>
      <c r="Q236" s="55">
        <f t="shared" si="53"/>
        <v>0</v>
      </c>
      <c r="R236" s="145">
        <f t="shared" si="51"/>
        <v>60.927552628772503</v>
      </c>
      <c r="S236" s="125">
        <f t="shared" si="52"/>
        <v>-10.572447371227497</v>
      </c>
      <c r="T236" s="144">
        <f t="shared" si="41"/>
        <v>0</v>
      </c>
      <c r="V236" s="12"/>
    </row>
    <row r="237" spans="1:22" x14ac:dyDescent="0.25">
      <c r="A237" s="49">
        <f>'A) Base RI'!A237</f>
        <v>5790</v>
      </c>
      <c r="B237" s="344" t="str">
        <f>'A) Base RI'!B237</f>
        <v>Maracon</v>
      </c>
      <c r="C237" s="505">
        <v>211694.3803648093</v>
      </c>
      <c r="D237" s="505">
        <v>-88674.620608195924</v>
      </c>
      <c r="E237" s="506">
        <v>0</v>
      </c>
      <c r="F237" s="506">
        <v>0</v>
      </c>
      <c r="G237" s="506">
        <v>0</v>
      </c>
      <c r="H237" s="503">
        <f t="shared" si="39"/>
        <v>123019.75975661338</v>
      </c>
      <c r="I237" s="506">
        <v>13398.084966442953</v>
      </c>
      <c r="J237" s="348">
        <f>'B) D RI'!U237</f>
        <v>15172.050604026846</v>
      </c>
      <c r="K237" s="62">
        <f t="shared" si="40"/>
        <v>9.181891297504869</v>
      </c>
      <c r="L237" s="33">
        <f>'B) D RI'!S237</f>
        <v>74.5</v>
      </c>
      <c r="M237" s="442">
        <f t="shared" si="48"/>
        <v>65.318108702495124</v>
      </c>
      <c r="N237" s="437">
        <f>+'J) Plafonnement effort'!H236+'J) Plafonnement effort'!I236-'K) Plafonnement aide'!I236</f>
        <v>9.9610257710032606</v>
      </c>
      <c r="O237" s="145">
        <f t="shared" si="49"/>
        <v>75.279134473498388</v>
      </c>
      <c r="P237" s="47">
        <f t="shared" si="50"/>
        <v>0</v>
      </c>
      <c r="Q237" s="55">
        <f t="shared" si="53"/>
        <v>0</v>
      </c>
      <c r="R237" s="145">
        <f t="shared" si="51"/>
        <v>75.279134473498388</v>
      </c>
      <c r="S237" s="125">
        <f t="shared" si="52"/>
        <v>0.77913447349838805</v>
      </c>
      <c r="T237" s="144">
        <f t="shared" si="41"/>
        <v>0</v>
      </c>
      <c r="V237" s="12"/>
    </row>
    <row r="238" spans="1:22" x14ac:dyDescent="0.25">
      <c r="A238" s="49">
        <f>'A) Base RI'!A238</f>
        <v>5792</v>
      </c>
      <c r="B238" s="344" t="str">
        <f>'A) Base RI'!B238</f>
        <v>Montpreveyres</v>
      </c>
      <c r="C238" s="505">
        <v>293880.10088959552</v>
      </c>
      <c r="D238" s="505">
        <v>-55962.628652593703</v>
      </c>
      <c r="E238" s="506">
        <v>0</v>
      </c>
      <c r="F238" s="506">
        <v>0</v>
      </c>
      <c r="G238" s="506">
        <v>0</v>
      </c>
      <c r="H238" s="503">
        <f t="shared" si="39"/>
        <v>237917.47223700181</v>
      </c>
      <c r="I238" s="506">
        <v>17609.230799999998</v>
      </c>
      <c r="J238" s="348">
        <f>'B) D RI'!U238</f>
        <v>20145.836291390729</v>
      </c>
      <c r="K238" s="62">
        <f t="shared" si="40"/>
        <v>13.510952008023079</v>
      </c>
      <c r="L238" s="33">
        <f>'B) D RI'!S238</f>
        <v>75.5</v>
      </c>
      <c r="M238" s="442">
        <f t="shared" si="48"/>
        <v>61.989047991976918</v>
      </c>
      <c r="N238" s="437">
        <f>+'J) Plafonnement effort'!H237+'J) Plafonnement effort'!I237-'K) Plafonnement aide'!I237</f>
        <v>13.43476215358476</v>
      </c>
      <c r="O238" s="145">
        <f t="shared" si="49"/>
        <v>75.423810145561674</v>
      </c>
      <c r="P238" s="47">
        <f t="shared" si="50"/>
        <v>0</v>
      </c>
      <c r="Q238" s="55">
        <f t="shared" si="53"/>
        <v>0</v>
      </c>
      <c r="R238" s="145">
        <f t="shared" si="51"/>
        <v>75.423810145561674</v>
      </c>
      <c r="S238" s="125">
        <f t="shared" si="52"/>
        <v>-7.618985443832571E-2</v>
      </c>
      <c r="T238" s="144">
        <f t="shared" si="41"/>
        <v>0</v>
      </c>
      <c r="V238" s="12"/>
    </row>
    <row r="239" spans="1:22" x14ac:dyDescent="0.25">
      <c r="A239" s="49">
        <f>'A) Base RI'!A239</f>
        <v>5798</v>
      </c>
      <c r="B239" s="344" t="str">
        <f>'A) Base RI'!B239</f>
        <v>Ropraz</v>
      </c>
      <c r="C239" s="505">
        <v>253966.01819904763</v>
      </c>
      <c r="D239" s="505">
        <v>3459.9108877165127</v>
      </c>
      <c r="E239" s="506">
        <v>0</v>
      </c>
      <c r="F239" s="506">
        <v>0</v>
      </c>
      <c r="G239" s="506">
        <v>0</v>
      </c>
      <c r="H239" s="503">
        <f t="shared" si="39"/>
        <v>257425.92908676414</v>
      </c>
      <c r="I239" s="506">
        <v>15760.164903225806</v>
      </c>
      <c r="J239" s="348">
        <f>'B) D RI'!U239</f>
        <v>17444.805161290325</v>
      </c>
      <c r="K239" s="62">
        <f t="shared" si="40"/>
        <v>16.333961647449129</v>
      </c>
      <c r="L239" s="33">
        <f>'B) D RI'!S239</f>
        <v>77.5</v>
      </c>
      <c r="M239" s="442">
        <f t="shared" si="48"/>
        <v>61.166038352550871</v>
      </c>
      <c r="N239" s="437">
        <f>+'J) Plafonnement effort'!H238+'J) Plafonnement effort'!I238-'K) Plafonnement aide'!I238</f>
        <v>15.607440288869661</v>
      </c>
      <c r="O239" s="145">
        <f t="shared" si="49"/>
        <v>76.773478641420525</v>
      </c>
      <c r="P239" s="47">
        <f t="shared" si="50"/>
        <v>0</v>
      </c>
      <c r="Q239" s="55">
        <f t="shared" si="53"/>
        <v>0</v>
      </c>
      <c r="R239" s="145">
        <f t="shared" si="51"/>
        <v>76.773478641420525</v>
      </c>
      <c r="S239" s="125">
        <f t="shared" si="52"/>
        <v>-0.72652135857947542</v>
      </c>
      <c r="T239" s="144">
        <f t="shared" si="41"/>
        <v>0</v>
      </c>
      <c r="V239" s="12"/>
    </row>
    <row r="240" spans="1:22" x14ac:dyDescent="0.25">
      <c r="A240" s="49">
        <f>'A) Base RI'!A240</f>
        <v>5799</v>
      </c>
      <c r="B240" s="344" t="str">
        <f>'A) Base RI'!B240</f>
        <v>Servion</v>
      </c>
      <c r="C240" s="505">
        <v>1232637.2184629845</v>
      </c>
      <c r="D240" s="505">
        <v>247439.52333954559</v>
      </c>
      <c r="E240" s="506">
        <v>0</v>
      </c>
      <c r="F240" s="506">
        <v>0</v>
      </c>
      <c r="G240" s="506">
        <v>0</v>
      </c>
      <c r="H240" s="503">
        <f t="shared" si="39"/>
        <v>1480076.7418025301</v>
      </c>
      <c r="I240" s="506">
        <v>69387.22289855071</v>
      </c>
      <c r="J240" s="348">
        <f>'B) D RI'!U240</f>
        <v>71744.263478260895</v>
      </c>
      <c r="K240" s="62">
        <f t="shared" si="40"/>
        <v>21.330681355651208</v>
      </c>
      <c r="L240" s="33">
        <f>'B) D RI'!S240</f>
        <v>69</v>
      </c>
      <c r="M240" s="442">
        <f t="shared" si="48"/>
        <v>47.669318644348792</v>
      </c>
      <c r="N240" s="437">
        <f>+'J) Plafonnement effort'!H239+'J) Plafonnement effort'!I239-'K) Plafonnement aide'!I239</f>
        <v>15.84361333092377</v>
      </c>
      <c r="O240" s="145">
        <f t="shared" si="49"/>
        <v>63.512931975272565</v>
      </c>
      <c r="P240" s="47">
        <f t="shared" si="50"/>
        <v>0</v>
      </c>
      <c r="Q240" s="55">
        <f t="shared" si="53"/>
        <v>0</v>
      </c>
      <c r="R240" s="145">
        <f t="shared" si="51"/>
        <v>63.512931975272565</v>
      </c>
      <c r="S240" s="125">
        <f t="shared" si="52"/>
        <v>-5.487068024727435</v>
      </c>
      <c r="T240" s="144">
        <f t="shared" si="41"/>
        <v>0</v>
      </c>
      <c r="V240" s="12"/>
    </row>
    <row r="241" spans="1:22" x14ac:dyDescent="0.25">
      <c r="A241" s="49">
        <f>'A) Base RI'!A241</f>
        <v>5803</v>
      </c>
      <c r="B241" s="344" t="str">
        <f>'A) Base RI'!B241</f>
        <v>Vulliens</v>
      </c>
      <c r="C241" s="505">
        <v>287244.66154286067</v>
      </c>
      <c r="D241" s="505">
        <v>25246.016978116124</v>
      </c>
      <c r="E241" s="506">
        <v>0</v>
      </c>
      <c r="F241" s="506">
        <v>0</v>
      </c>
      <c r="G241" s="506">
        <v>0</v>
      </c>
      <c r="H241" s="503">
        <f t="shared" si="39"/>
        <v>312490.6785209768</v>
      </c>
      <c r="I241" s="506">
        <v>18875.933421052636</v>
      </c>
      <c r="J241" s="348">
        <f>'B) D RI'!U241</f>
        <v>17996.188026315795</v>
      </c>
      <c r="K241" s="62">
        <f t="shared" si="40"/>
        <v>16.554978847957308</v>
      </c>
      <c r="L241" s="33">
        <f>'B) D RI'!S241</f>
        <v>76</v>
      </c>
      <c r="M241" s="442">
        <f t="shared" si="48"/>
        <v>59.445021152042692</v>
      </c>
      <c r="N241" s="437">
        <f>+'J) Plafonnement effort'!H240+'J) Plafonnement effort'!I240-'K) Plafonnement aide'!I240</f>
        <v>10.518492590040728</v>
      </c>
      <c r="O241" s="145">
        <f t="shared" si="49"/>
        <v>69.963513742083421</v>
      </c>
      <c r="P241" s="47">
        <f t="shared" si="50"/>
        <v>0</v>
      </c>
      <c r="Q241" s="55">
        <f t="shared" si="53"/>
        <v>0</v>
      </c>
      <c r="R241" s="145">
        <f t="shared" si="51"/>
        <v>69.963513742083421</v>
      </c>
      <c r="S241" s="125">
        <f t="shared" si="52"/>
        <v>-6.0364862579165788</v>
      </c>
      <c r="T241" s="144">
        <f t="shared" si="41"/>
        <v>0</v>
      </c>
      <c r="V241" s="12"/>
    </row>
    <row r="242" spans="1:22" x14ac:dyDescent="0.25">
      <c r="A242" s="49">
        <f>'A) Base RI'!A242</f>
        <v>5804</v>
      </c>
      <c r="B242" s="344" t="str">
        <f>'A) Base RI'!B242</f>
        <v>Jorat-Menthue</v>
      </c>
      <c r="C242" s="505">
        <v>829441.00267313956</v>
      </c>
      <c r="D242" s="505">
        <v>-45860.88891343656</v>
      </c>
      <c r="E242" s="506">
        <v>0</v>
      </c>
      <c r="F242" s="506">
        <v>0</v>
      </c>
      <c r="G242" s="506">
        <v>0</v>
      </c>
      <c r="H242" s="503">
        <f t="shared" si="39"/>
        <v>783580.113759703</v>
      </c>
      <c r="I242" s="506">
        <v>46692.865106382982</v>
      </c>
      <c r="J242" s="348">
        <f>'B) D RI'!U242</f>
        <v>46854.424539007086</v>
      </c>
      <c r="K242" s="62">
        <f t="shared" si="40"/>
        <v>16.781581339556446</v>
      </c>
      <c r="L242" s="33">
        <f>'B) D RI'!S242</f>
        <v>70.5</v>
      </c>
      <c r="M242" s="442">
        <f>L242-K242</f>
        <v>53.718418660443554</v>
      </c>
      <c r="N242" s="437">
        <f>+'J) Plafonnement effort'!H241+'J) Plafonnement effort'!I241-'K) Plafonnement aide'!I241</f>
        <v>10.800880296994411</v>
      </c>
      <c r="O242" s="145">
        <f>M242+N242</f>
        <v>64.519298957437968</v>
      </c>
      <c r="P242" s="47">
        <f t="shared" si="50"/>
        <v>0</v>
      </c>
      <c r="Q242" s="55">
        <f>P242*J242</f>
        <v>0</v>
      </c>
      <c r="R242" s="145">
        <f>O242+P242</f>
        <v>64.519298957437968</v>
      </c>
      <c r="S242" s="125">
        <f>R242-L242</f>
        <v>-5.9807010425620319</v>
      </c>
      <c r="T242" s="144">
        <f t="shared" si="41"/>
        <v>0</v>
      </c>
      <c r="V242" s="12"/>
    </row>
    <row r="243" spans="1:22" x14ac:dyDescent="0.25">
      <c r="A243" s="49">
        <f>'A) Base RI'!A243</f>
        <v>5805</v>
      </c>
      <c r="B243" s="344" t="str">
        <f>'A) Base RI'!B243</f>
        <v>Oron</v>
      </c>
      <c r="C243" s="505">
        <v>2447206.4735922152</v>
      </c>
      <c r="D243" s="505">
        <v>-1494727.0182530978</v>
      </c>
      <c r="E243" s="506">
        <v>0</v>
      </c>
      <c r="F243" s="506">
        <v>0</v>
      </c>
      <c r="G243" s="506">
        <v>0</v>
      </c>
      <c r="H243" s="503">
        <f t="shared" si="39"/>
        <v>952479.45533911744</v>
      </c>
      <c r="I243" s="506">
        <v>154727.47061923583</v>
      </c>
      <c r="J243" s="348">
        <f>'B) D RI'!U243</f>
        <v>162115.58504611329</v>
      </c>
      <c r="K243" s="62">
        <f t="shared" si="40"/>
        <v>6.1558522964745253</v>
      </c>
      <c r="L243" s="33">
        <f>'B) D RI'!S243</f>
        <v>69</v>
      </c>
      <c r="M243" s="442">
        <f>L243-K243</f>
        <v>62.844147703525472</v>
      </c>
      <c r="N243" s="437">
        <f>+'J) Plafonnement effort'!H242+'J) Plafonnement effort'!I242-'K) Plafonnement aide'!I242</f>
        <v>3.7861610567958923</v>
      </c>
      <c r="O243" s="145">
        <f>M243+N243</f>
        <v>66.63030876032137</v>
      </c>
      <c r="P243" s="47">
        <f t="shared" si="50"/>
        <v>0</v>
      </c>
      <c r="Q243" s="55">
        <f>P243*J243</f>
        <v>0</v>
      </c>
      <c r="R243" s="145">
        <f>O243+P243</f>
        <v>66.63030876032137</v>
      </c>
      <c r="S243" s="125">
        <f>R243-L243</f>
        <v>-2.3696912396786303</v>
      </c>
      <c r="T243" s="144">
        <f t="shared" si="41"/>
        <v>0</v>
      </c>
      <c r="V243" s="12"/>
    </row>
    <row r="244" spans="1:22" x14ac:dyDescent="0.25">
      <c r="A244" s="49">
        <f>'A) Base RI'!A244</f>
        <v>5806</v>
      </c>
      <c r="B244" s="344" t="str">
        <f>'A) Base RI'!B244</f>
        <v>Jorat-Mézières</v>
      </c>
      <c r="C244" s="505">
        <v>1503112.2555705293</v>
      </c>
      <c r="D244" s="505">
        <v>-168775.92901445087</v>
      </c>
      <c r="E244" s="506">
        <v>0</v>
      </c>
      <c r="F244" s="506">
        <v>0</v>
      </c>
      <c r="G244" s="506">
        <v>0</v>
      </c>
      <c r="H244" s="503">
        <f t="shared" si="39"/>
        <v>1334336.3265560784</v>
      </c>
      <c r="I244" s="506">
        <v>91070.268493150696</v>
      </c>
      <c r="J244" s="348">
        <f>'B) D RI'!U244</f>
        <v>102077.74465753423</v>
      </c>
      <c r="K244" s="62">
        <f t="shared" si="40"/>
        <v>14.65172277005456</v>
      </c>
      <c r="L244" s="33">
        <f>'B) D RI'!S244</f>
        <v>73</v>
      </c>
      <c r="M244" s="442">
        <f>L244-K244</f>
        <v>58.348277229945438</v>
      </c>
      <c r="N244" s="437">
        <f>+'J) Plafonnement effort'!H243+'J) Plafonnement effort'!I243-'K) Plafonnement aide'!I243</f>
        <v>12.501535422765961</v>
      </c>
      <c r="O244" s="145">
        <f>M244+N244</f>
        <v>70.849812652711393</v>
      </c>
      <c r="P244" s="47">
        <f t="shared" ref="P244" si="54">IF(O244&gt;$P$6,$P$6-O244,0)</f>
        <v>0</v>
      </c>
      <c r="Q244" s="55">
        <f>P244*J244</f>
        <v>0</v>
      </c>
      <c r="R244" s="145">
        <f>O244+P244</f>
        <v>70.849812652711393</v>
      </c>
      <c r="S244" s="125">
        <f>R244-L244</f>
        <v>-2.1501873472886075</v>
      </c>
      <c r="T244" s="144">
        <f t="shared" si="41"/>
        <v>0</v>
      </c>
      <c r="V244" s="12"/>
    </row>
    <row r="245" spans="1:22" x14ac:dyDescent="0.25">
      <c r="A245" s="49">
        <f>'A) Base RI'!A245</f>
        <v>5812</v>
      </c>
      <c r="B245" s="344" t="str">
        <f>'A) Base RI'!B245</f>
        <v>Champtauroz</v>
      </c>
      <c r="C245" s="505">
        <v>47185.654277212496</v>
      </c>
      <c r="D245" s="505">
        <v>-75340.654670685573</v>
      </c>
      <c r="E245" s="506">
        <v>8129.9385752912667</v>
      </c>
      <c r="F245" s="506">
        <v>0</v>
      </c>
      <c r="G245" s="506">
        <v>0</v>
      </c>
      <c r="H245" s="503">
        <f t="shared" si="39"/>
        <v>-20025.06181818181</v>
      </c>
      <c r="I245" s="506">
        <v>2503.1327272727272</v>
      </c>
      <c r="J245" s="348">
        <f>'B) D RI'!U245</f>
        <v>3349.1505194805191</v>
      </c>
      <c r="K245" s="62">
        <f t="shared" si="40"/>
        <v>-7.9999999999999973</v>
      </c>
      <c r="L245" s="33">
        <f>'B) D RI'!S245</f>
        <v>77</v>
      </c>
      <c r="M245" s="442">
        <f>L245-K245</f>
        <v>85</v>
      </c>
      <c r="N245" s="437">
        <f>+'J) Plafonnement effort'!H244+'J) Plafonnement effort'!I244-'K) Plafonnement aide'!I244</f>
        <v>-9.4994680521763328</v>
      </c>
      <c r="O245" s="145">
        <f>M245+N245</f>
        <v>75.500531947823674</v>
      </c>
      <c r="P245" s="47">
        <f t="shared" si="50"/>
        <v>0</v>
      </c>
      <c r="Q245" s="55">
        <f>P245*J245</f>
        <v>0</v>
      </c>
      <c r="R245" s="145">
        <f>O245+P245</f>
        <v>75.500531947823674</v>
      </c>
      <c r="S245" s="125">
        <f>R245-L245</f>
        <v>-1.4994680521763257</v>
      </c>
      <c r="T245" s="144">
        <f t="shared" si="41"/>
        <v>0</v>
      </c>
      <c r="V245" s="12"/>
    </row>
    <row r="246" spans="1:22" x14ac:dyDescent="0.25">
      <c r="A246" s="49">
        <f>'A) Base RI'!A246</f>
        <v>5813</v>
      </c>
      <c r="B246" s="344" t="str">
        <f>'A) Base RI'!B246</f>
        <v>Chevroux</v>
      </c>
      <c r="C246" s="505">
        <v>231682.40520457953</v>
      </c>
      <c r="D246" s="505">
        <v>66423.592611204949</v>
      </c>
      <c r="E246" s="506">
        <v>0</v>
      </c>
      <c r="F246" s="506">
        <v>0</v>
      </c>
      <c r="G246" s="506">
        <v>0</v>
      </c>
      <c r="H246" s="503">
        <f t="shared" si="39"/>
        <v>298105.99781578447</v>
      </c>
      <c r="I246" s="506">
        <v>15179.777080291971</v>
      </c>
      <c r="J246" s="348">
        <f>'B) D RI'!U246</f>
        <v>15276.905328467155</v>
      </c>
      <c r="K246" s="62">
        <f t="shared" si="40"/>
        <v>19.638364663656223</v>
      </c>
      <c r="L246" s="33">
        <f>'B) D RI'!S246</f>
        <v>68.5</v>
      </c>
      <c r="M246" s="442">
        <f t="shared" si="48"/>
        <v>48.861635336343781</v>
      </c>
      <c r="N246" s="437">
        <f>+'J) Plafonnement effort'!H245+'J) Plafonnement effort'!I245-'K) Plafonnement aide'!I245</f>
        <v>15.546895965018754</v>
      </c>
      <c r="O246" s="145">
        <f t="shared" si="49"/>
        <v>64.40853130136253</v>
      </c>
      <c r="P246" s="47">
        <f t="shared" si="50"/>
        <v>0</v>
      </c>
      <c r="Q246" s="55">
        <f t="shared" si="53"/>
        <v>0</v>
      </c>
      <c r="R246" s="145">
        <f t="shared" si="51"/>
        <v>64.40853130136253</v>
      </c>
      <c r="S246" s="125">
        <f t="shared" si="52"/>
        <v>-4.0914686986374704</v>
      </c>
      <c r="T246" s="144">
        <f t="shared" si="41"/>
        <v>0</v>
      </c>
      <c r="V246" s="12"/>
    </row>
    <row r="247" spans="1:22" x14ac:dyDescent="0.25">
      <c r="A247" s="49">
        <f>'A) Base RI'!A247</f>
        <v>5816</v>
      </c>
      <c r="B247" s="344" t="str">
        <f>'A) Base RI'!B247</f>
        <v>Corcelles-près-Payerne</v>
      </c>
      <c r="C247" s="505">
        <v>995671.15567738365</v>
      </c>
      <c r="D247" s="505">
        <v>-839304.59864187031</v>
      </c>
      <c r="E247" s="506">
        <v>0</v>
      </c>
      <c r="F247" s="506">
        <v>0</v>
      </c>
      <c r="G247" s="506">
        <v>0</v>
      </c>
      <c r="H247" s="503">
        <f t="shared" si="39"/>
        <v>156366.55703551334</v>
      </c>
      <c r="I247" s="506">
        <v>60528.996913451512</v>
      </c>
      <c r="J247" s="348">
        <f>'B) D RI'!U247</f>
        <v>65651.255161626686</v>
      </c>
      <c r="K247" s="62">
        <f t="shared" si="40"/>
        <v>2.5833330305984901</v>
      </c>
      <c r="L247" s="33">
        <f>'B) D RI'!S247</f>
        <v>68.5</v>
      </c>
      <c r="M247" s="442">
        <f t="shared" si="48"/>
        <v>65.916666969401504</v>
      </c>
      <c r="N247" s="437">
        <f>+'J) Plafonnement effort'!H246+'J) Plafonnement effort'!I246-'K) Plafonnement aide'!I246</f>
        <v>1.0425610640388725</v>
      </c>
      <c r="O247" s="145">
        <f t="shared" si="49"/>
        <v>66.959228033440382</v>
      </c>
      <c r="P247" s="47">
        <f t="shared" si="50"/>
        <v>0</v>
      </c>
      <c r="Q247" s="55">
        <f t="shared" si="53"/>
        <v>0</v>
      </c>
      <c r="R247" s="145">
        <f t="shared" si="51"/>
        <v>66.959228033440382</v>
      </c>
      <c r="S247" s="125">
        <f t="shared" si="52"/>
        <v>-1.5407719665596176</v>
      </c>
      <c r="T247" s="144">
        <f t="shared" si="41"/>
        <v>0</v>
      </c>
      <c r="V247" s="12"/>
    </row>
    <row r="248" spans="1:22" x14ac:dyDescent="0.25">
      <c r="A248" s="49">
        <f>'A) Base RI'!A248</f>
        <v>5817</v>
      </c>
      <c r="B248" s="344" t="str">
        <f>'A) Base RI'!B248</f>
        <v>Grandcour</v>
      </c>
      <c r="C248" s="505">
        <v>322562.03437477408</v>
      </c>
      <c r="D248" s="505">
        <v>-236968.61959875067</v>
      </c>
      <c r="E248" s="506">
        <v>0</v>
      </c>
      <c r="F248" s="506">
        <v>0</v>
      </c>
      <c r="G248" s="506">
        <v>0</v>
      </c>
      <c r="H248" s="503">
        <f t="shared" si="39"/>
        <v>85593.414776023419</v>
      </c>
      <c r="I248" s="506">
        <v>21854.748299319726</v>
      </c>
      <c r="J248" s="348">
        <f>'B) D RI'!U248</f>
        <v>24623.103809523807</v>
      </c>
      <c r="K248" s="62">
        <f t="shared" si="40"/>
        <v>3.9164676528755855</v>
      </c>
      <c r="L248" s="33">
        <f>'B) D RI'!S248</f>
        <v>73.5</v>
      </c>
      <c r="M248" s="442">
        <f t="shared" si="48"/>
        <v>69.583532347124418</v>
      </c>
      <c r="N248" s="437">
        <f>+'J) Plafonnement effort'!H247+'J) Plafonnement effort'!I247-'K) Plafonnement aide'!I247</f>
        <v>5.684200120246941</v>
      </c>
      <c r="O248" s="145">
        <f t="shared" si="49"/>
        <v>75.26773246737136</v>
      </c>
      <c r="P248" s="47">
        <f t="shared" si="50"/>
        <v>0</v>
      </c>
      <c r="Q248" s="55">
        <f t="shared" si="53"/>
        <v>0</v>
      </c>
      <c r="R248" s="145">
        <f t="shared" si="51"/>
        <v>75.26773246737136</v>
      </c>
      <c r="S248" s="125">
        <f t="shared" si="52"/>
        <v>1.7677324673713599</v>
      </c>
      <c r="T248" s="144">
        <f t="shared" si="41"/>
        <v>0</v>
      </c>
      <c r="V248" s="12"/>
    </row>
    <row r="249" spans="1:22" x14ac:dyDescent="0.25">
      <c r="A249" s="49">
        <f>'A) Base RI'!A249</f>
        <v>5819</v>
      </c>
      <c r="B249" s="344" t="str">
        <f>'A) Base RI'!B249</f>
        <v>Henniez</v>
      </c>
      <c r="C249" s="505">
        <v>175796.40523749735</v>
      </c>
      <c r="D249" s="505">
        <v>25374.796763721504</v>
      </c>
      <c r="E249" s="506">
        <v>0</v>
      </c>
      <c r="F249" s="506">
        <v>0</v>
      </c>
      <c r="G249" s="506">
        <v>0</v>
      </c>
      <c r="H249" s="503">
        <f t="shared" si="39"/>
        <v>201171.20200121886</v>
      </c>
      <c r="I249" s="506">
        <v>11468.217826086959</v>
      </c>
      <c r="J249" s="348">
        <f>'B) D RI'!U249</f>
        <v>10073.647101449274</v>
      </c>
      <c r="K249" s="62">
        <f t="shared" si="40"/>
        <v>17.541627221590712</v>
      </c>
      <c r="L249" s="33">
        <f>'B) D RI'!S249</f>
        <v>69</v>
      </c>
      <c r="M249" s="442">
        <f t="shared" si="48"/>
        <v>51.458372778409284</v>
      </c>
      <c r="N249" s="437">
        <f>+'J) Plafonnement effort'!H248+'J) Plafonnement effort'!I248-'K) Plafonnement aide'!I248</f>
        <v>7.7634586501027396</v>
      </c>
      <c r="O249" s="145">
        <f t="shared" si="49"/>
        <v>59.221831428512026</v>
      </c>
      <c r="P249" s="47">
        <f t="shared" si="50"/>
        <v>0</v>
      </c>
      <c r="Q249" s="55">
        <f t="shared" si="53"/>
        <v>0</v>
      </c>
      <c r="R249" s="145">
        <f t="shared" si="51"/>
        <v>59.221831428512026</v>
      </c>
      <c r="S249" s="125">
        <f t="shared" si="52"/>
        <v>-9.7781685714879742</v>
      </c>
      <c r="T249" s="144">
        <f t="shared" si="41"/>
        <v>0</v>
      </c>
      <c r="V249" s="12"/>
    </row>
    <row r="250" spans="1:22" x14ac:dyDescent="0.25">
      <c r="A250" s="49">
        <f>'A) Base RI'!A250</f>
        <v>5821</v>
      </c>
      <c r="B250" s="344" t="str">
        <f>'A) Base RI'!B250</f>
        <v>Missy</v>
      </c>
      <c r="C250" s="505">
        <v>122383.47562730033</v>
      </c>
      <c r="D250" s="505">
        <v>-99695.668850734975</v>
      </c>
      <c r="E250" s="506">
        <v>0</v>
      </c>
      <c r="F250" s="506">
        <v>0</v>
      </c>
      <c r="G250" s="506">
        <v>0</v>
      </c>
      <c r="H250" s="503">
        <f t="shared" si="39"/>
        <v>22687.806776565354</v>
      </c>
      <c r="I250" s="506">
        <v>7872.7337500000012</v>
      </c>
      <c r="J250" s="348">
        <f>'B) D RI'!U250</f>
        <v>8044.6855555555558</v>
      </c>
      <c r="K250" s="62">
        <f t="shared" si="40"/>
        <v>2.8818206606523877</v>
      </c>
      <c r="L250" s="33">
        <f>'B) D RI'!S250</f>
        <v>72</v>
      </c>
      <c r="M250" s="442">
        <f t="shared" si="48"/>
        <v>69.118179339347606</v>
      </c>
      <c r="N250" s="437">
        <f>+'J) Plafonnement effort'!H249+'J) Plafonnement effort'!I249-'K) Plafonnement aide'!I249</f>
        <v>0.40009773754634814</v>
      </c>
      <c r="O250" s="145">
        <f t="shared" si="49"/>
        <v>69.518277076893952</v>
      </c>
      <c r="P250" s="47">
        <f t="shared" si="50"/>
        <v>0</v>
      </c>
      <c r="Q250" s="55">
        <f t="shared" si="53"/>
        <v>0</v>
      </c>
      <c r="R250" s="145">
        <f t="shared" si="51"/>
        <v>69.518277076893952</v>
      </c>
      <c r="S250" s="125">
        <f t="shared" si="52"/>
        <v>-2.481722923106048</v>
      </c>
      <c r="T250" s="144">
        <f t="shared" si="41"/>
        <v>0</v>
      </c>
      <c r="V250" s="12"/>
    </row>
    <row r="251" spans="1:22" x14ac:dyDescent="0.25">
      <c r="A251" s="49">
        <f>'A) Base RI'!A251</f>
        <v>5822</v>
      </c>
      <c r="B251" s="344" t="str">
        <f>'A) Base RI'!B251</f>
        <v>Payerne</v>
      </c>
      <c r="C251" s="505">
        <v>4039833.6857324503</v>
      </c>
      <c r="D251" s="505">
        <v>-5891631.753376645</v>
      </c>
      <c r="E251" s="506">
        <v>0</v>
      </c>
      <c r="F251" s="506">
        <v>0</v>
      </c>
      <c r="G251" s="506">
        <v>0</v>
      </c>
      <c r="H251" s="503">
        <f t="shared" si="39"/>
        <v>-1851798.0676441947</v>
      </c>
      <c r="I251" s="506">
        <v>237851.57178082189</v>
      </c>
      <c r="J251" s="348">
        <f>'B) D RI'!U251</f>
        <v>239984.44424657538</v>
      </c>
      <c r="K251" s="62">
        <f t="shared" si="40"/>
        <v>-7.7855195733186502</v>
      </c>
      <c r="L251" s="33">
        <f>'B) D RI'!S251</f>
        <v>73</v>
      </c>
      <c r="M251" s="442">
        <f t="shared" si="48"/>
        <v>80.785519573318652</v>
      </c>
      <c r="N251" s="437">
        <f>+'J) Plafonnement effort'!H250+'J) Plafonnement effort'!I250-'K) Plafonnement aide'!I250</f>
        <v>-12.751835680767352</v>
      </c>
      <c r="O251" s="145">
        <f t="shared" si="49"/>
        <v>68.033683892551295</v>
      </c>
      <c r="P251" s="47">
        <f t="shared" si="50"/>
        <v>0</v>
      </c>
      <c r="Q251" s="55">
        <f t="shared" si="53"/>
        <v>0</v>
      </c>
      <c r="R251" s="145">
        <f t="shared" si="51"/>
        <v>68.033683892551295</v>
      </c>
      <c r="S251" s="125">
        <f t="shared" si="52"/>
        <v>-4.966316107448705</v>
      </c>
      <c r="T251" s="144">
        <f t="shared" si="41"/>
        <v>0</v>
      </c>
      <c r="V251" s="12"/>
    </row>
    <row r="252" spans="1:22" x14ac:dyDescent="0.25">
      <c r="A252" s="49">
        <f>'A) Base RI'!A252</f>
        <v>5827</v>
      </c>
      <c r="B252" s="344" t="str">
        <f>'A) Base RI'!B252</f>
        <v>Trey</v>
      </c>
      <c r="C252" s="505">
        <v>96237.46228543538</v>
      </c>
      <c r="D252" s="505">
        <v>-123961.74054953152</v>
      </c>
      <c r="E252" s="506">
        <v>0</v>
      </c>
      <c r="F252" s="506">
        <v>0</v>
      </c>
      <c r="G252" s="506">
        <v>0</v>
      </c>
      <c r="H252" s="503">
        <f t="shared" si="39"/>
        <v>-27724.278264096138</v>
      </c>
      <c r="I252" s="506">
        <v>6163.6291025641031</v>
      </c>
      <c r="J252" s="348">
        <f>'B) D RI'!U252</f>
        <v>7747.4438461538457</v>
      </c>
      <c r="K252" s="62">
        <f t="shared" si="40"/>
        <v>-4.4980445453089786</v>
      </c>
      <c r="L252" s="33">
        <f>'B) D RI'!S252</f>
        <v>78</v>
      </c>
      <c r="M252" s="442">
        <f t="shared" si="48"/>
        <v>82.498044545308971</v>
      </c>
      <c r="N252" s="437">
        <f>+'J) Plafonnement effort'!H251+'J) Plafonnement effort'!I251-'K) Plafonnement aide'!I251</f>
        <v>1.3632267018267354</v>
      </c>
      <c r="O252" s="145">
        <f t="shared" si="49"/>
        <v>83.861271247135704</v>
      </c>
      <c r="P252" s="47">
        <f t="shared" si="50"/>
        <v>0</v>
      </c>
      <c r="Q252" s="55">
        <f t="shared" si="53"/>
        <v>0</v>
      </c>
      <c r="R252" s="145">
        <f t="shared" si="51"/>
        <v>83.861271247135704</v>
      </c>
      <c r="S252" s="125">
        <f t="shared" si="52"/>
        <v>5.8612712471357042</v>
      </c>
      <c r="T252" s="144">
        <f t="shared" si="41"/>
        <v>0</v>
      </c>
      <c r="V252" s="12"/>
    </row>
    <row r="253" spans="1:22" x14ac:dyDescent="0.25">
      <c r="A253" s="49">
        <f>'A) Base RI'!A253</f>
        <v>5828</v>
      </c>
      <c r="B253" s="344" t="str">
        <f>'A) Base RI'!B253</f>
        <v>Treytorrens (Payerne)</v>
      </c>
      <c r="C253" s="505">
        <v>33941.833282358886</v>
      </c>
      <c r="D253" s="505">
        <v>-60950.605065700038</v>
      </c>
      <c r="E253" s="506">
        <v>8701.4435293728966</v>
      </c>
      <c r="F253" s="506">
        <v>0</v>
      </c>
      <c r="G253" s="506">
        <v>0</v>
      </c>
      <c r="H253" s="503">
        <f t="shared" si="39"/>
        <v>-18307.328253968255</v>
      </c>
      <c r="I253" s="506">
        <v>2288.4160317460314</v>
      </c>
      <c r="J253" s="348">
        <f>'B) D RI'!U253</f>
        <v>2899.2203232323236</v>
      </c>
      <c r="K253" s="62">
        <f t="shared" si="40"/>
        <v>-8.0000000000000018</v>
      </c>
      <c r="L253" s="33">
        <f>'B) D RI'!S253</f>
        <v>82.5</v>
      </c>
      <c r="M253" s="442">
        <f t="shared" si="48"/>
        <v>90.5</v>
      </c>
      <c r="N253" s="437">
        <f>+'J) Plafonnement effort'!H252+'J) Plafonnement effort'!I252-'K) Plafonnement aide'!I252</f>
        <v>3.4935477184443871</v>
      </c>
      <c r="O253" s="145">
        <f t="shared" si="49"/>
        <v>93.99354771844439</v>
      </c>
      <c r="P253" s="47">
        <f t="shared" si="50"/>
        <v>-0.11154771844438471</v>
      </c>
      <c r="Q253" s="55">
        <f t="shared" si="53"/>
        <v>-323.40141232415726</v>
      </c>
      <c r="R253" s="145">
        <f t="shared" si="51"/>
        <v>93.882000000000005</v>
      </c>
      <c r="S253" s="125">
        <f t="shared" si="52"/>
        <v>11.382000000000005</v>
      </c>
      <c r="T253" s="144">
        <f t="shared" si="41"/>
        <v>0</v>
      </c>
      <c r="V253" s="12"/>
    </row>
    <row r="254" spans="1:22" x14ac:dyDescent="0.25">
      <c r="A254" s="49">
        <f>'A) Base RI'!A254</f>
        <v>5830</v>
      </c>
      <c r="B254" s="344" t="str">
        <f>'A) Base RI'!B254</f>
        <v>Villarzel</v>
      </c>
      <c r="C254" s="505">
        <v>209373.11867228078</v>
      </c>
      <c r="D254" s="505">
        <v>-70059.346102070354</v>
      </c>
      <c r="E254" s="506">
        <v>0</v>
      </c>
      <c r="F254" s="506">
        <v>0</v>
      </c>
      <c r="G254" s="506">
        <v>0</v>
      </c>
      <c r="H254" s="503">
        <f t="shared" si="39"/>
        <v>139313.77257021042</v>
      </c>
      <c r="I254" s="506">
        <v>12470.916233766235</v>
      </c>
      <c r="J254" s="348">
        <f>'B) D RI'!U254</f>
        <v>12409.986933333334</v>
      </c>
      <c r="K254" s="62">
        <f t="shared" si="40"/>
        <v>11.171093603612272</v>
      </c>
      <c r="L254" s="33">
        <f>'B) D RI'!S254</f>
        <v>75</v>
      </c>
      <c r="M254" s="442">
        <f t="shared" si="48"/>
        <v>63.82890639638773</v>
      </c>
      <c r="N254" s="437">
        <f>+'J) Plafonnement effort'!H253+'J) Plafonnement effort'!I253-'K) Plafonnement aide'!I253</f>
        <v>4.5965321518540607</v>
      </c>
      <c r="O254" s="145">
        <f t="shared" si="49"/>
        <v>68.425438548241786</v>
      </c>
      <c r="P254" s="47">
        <f t="shared" si="50"/>
        <v>0</v>
      </c>
      <c r="Q254" s="55">
        <f t="shared" si="53"/>
        <v>0</v>
      </c>
      <c r="R254" s="145">
        <f t="shared" si="51"/>
        <v>68.425438548241786</v>
      </c>
      <c r="S254" s="125">
        <f t="shared" si="52"/>
        <v>-6.574561451758214</v>
      </c>
      <c r="T254" s="144">
        <f t="shared" si="41"/>
        <v>0</v>
      </c>
      <c r="V254" s="12"/>
    </row>
    <row r="255" spans="1:22" x14ac:dyDescent="0.25">
      <c r="A255" s="49">
        <f>'A) Base RI'!A255</f>
        <v>5831</v>
      </c>
      <c r="B255" s="344" t="str">
        <f>'A) Base RI'!B255</f>
        <v>Valbroye</v>
      </c>
      <c r="C255" s="505">
        <v>1384825.2514905576</v>
      </c>
      <c r="D255" s="505">
        <v>-967956.70988604636</v>
      </c>
      <c r="E255" s="506">
        <v>0</v>
      </c>
      <c r="F255" s="506">
        <v>0</v>
      </c>
      <c r="G255" s="506">
        <v>0</v>
      </c>
      <c r="H255" s="503">
        <f t="shared" si="39"/>
        <v>416868.54160451121</v>
      </c>
      <c r="I255" s="506">
        <v>83756.732765957451</v>
      </c>
      <c r="J255" s="348">
        <f>'B) D RI'!U255</f>
        <v>81049.404018912537</v>
      </c>
      <c r="K255" s="62">
        <f t="shared" si="40"/>
        <v>4.9771347071210679</v>
      </c>
      <c r="L255" s="33">
        <f>'B) D RI'!S255</f>
        <v>70.5</v>
      </c>
      <c r="M255" s="442">
        <f>L255-K255</f>
        <v>65.522865292878933</v>
      </c>
      <c r="N255" s="437">
        <f>+'J) Plafonnement effort'!H254+'J) Plafonnement effort'!I254-'K) Plafonnement aide'!I254</f>
        <v>-1.1867398050569733</v>
      </c>
      <c r="O255" s="145">
        <f>M255+N255</f>
        <v>64.33612548782196</v>
      </c>
      <c r="P255" s="47">
        <f t="shared" si="50"/>
        <v>0</v>
      </c>
      <c r="Q255" s="55">
        <f>P255*J255</f>
        <v>0</v>
      </c>
      <c r="R255" s="145">
        <f>O255+P255</f>
        <v>64.33612548782196</v>
      </c>
      <c r="S255" s="125">
        <f>R255-L255</f>
        <v>-6.1638745121780403</v>
      </c>
      <c r="T255" s="144">
        <f t="shared" si="41"/>
        <v>0</v>
      </c>
      <c r="V255" s="12"/>
    </row>
    <row r="256" spans="1:22" x14ac:dyDescent="0.25">
      <c r="A256" s="49">
        <f>'A) Base RI'!A256</f>
        <v>5841</v>
      </c>
      <c r="B256" s="344" t="str">
        <f>'A) Base RI'!B256</f>
        <v>Château-d'Oex</v>
      </c>
      <c r="C256" s="505">
        <v>2283785.9368071803</v>
      </c>
      <c r="D256" s="505">
        <v>-570527.0513930351</v>
      </c>
      <c r="E256" s="506">
        <v>0</v>
      </c>
      <c r="F256" s="506">
        <v>0</v>
      </c>
      <c r="G256" s="506">
        <v>0</v>
      </c>
      <c r="H256" s="503">
        <f t="shared" si="39"/>
        <v>1713258.8854141452</v>
      </c>
      <c r="I256" s="506">
        <v>108658.39067484663</v>
      </c>
      <c r="J256" s="348">
        <f>'B) D RI'!U256</f>
        <v>110857.63779141105</v>
      </c>
      <c r="K256" s="62">
        <f t="shared" si="40"/>
        <v>15.767386897353967</v>
      </c>
      <c r="L256" s="33">
        <f>'B) D RI'!S256</f>
        <v>81.5</v>
      </c>
      <c r="M256" s="442">
        <f>L256-K256</f>
        <v>65.732613102646027</v>
      </c>
      <c r="N256" s="437">
        <f>+'J) Plafonnement effort'!H255+'J) Plafonnement effort'!I255-'K) Plafonnement aide'!I255</f>
        <v>6.4977233459459676</v>
      </c>
      <c r="O256" s="145">
        <f>M256+N256</f>
        <v>72.230336448591999</v>
      </c>
      <c r="P256" s="47">
        <f t="shared" si="50"/>
        <v>0</v>
      </c>
      <c r="Q256" s="55">
        <f>P256*J256</f>
        <v>0</v>
      </c>
      <c r="R256" s="145">
        <f>O256+P256</f>
        <v>72.230336448591999</v>
      </c>
      <c r="S256" s="125">
        <f>R256-L256</f>
        <v>-9.2696635514080015</v>
      </c>
      <c r="T256" s="144">
        <f t="shared" si="41"/>
        <v>0</v>
      </c>
      <c r="V256" s="12"/>
    </row>
    <row r="257" spans="1:22" x14ac:dyDescent="0.25">
      <c r="A257" s="49">
        <f>'A) Base RI'!A257</f>
        <v>5842</v>
      </c>
      <c r="B257" s="344" t="str">
        <f>'A) Base RI'!B257</f>
        <v>Rossinière</v>
      </c>
      <c r="C257" s="505">
        <v>232142.92615234887</v>
      </c>
      <c r="D257" s="505">
        <v>-87465.864793327346</v>
      </c>
      <c r="E257" s="506">
        <v>0</v>
      </c>
      <c r="F257" s="506">
        <v>0</v>
      </c>
      <c r="G257" s="506">
        <v>0</v>
      </c>
      <c r="H257" s="503">
        <f t="shared" si="39"/>
        <v>144677.06135902152</v>
      </c>
      <c r="I257" s="506">
        <v>14509.951028806583</v>
      </c>
      <c r="J257" s="348">
        <f>'B) D RI'!U257</f>
        <v>14944.680411522633</v>
      </c>
      <c r="K257" s="62">
        <f t="shared" si="40"/>
        <v>9.9708855716876226</v>
      </c>
      <c r="L257" s="33">
        <f>'B) D RI'!S257</f>
        <v>81</v>
      </c>
      <c r="M257" s="442">
        <f t="shared" si="48"/>
        <v>71.029114428312383</v>
      </c>
      <c r="N257" s="437">
        <f>+'J) Plafonnement effort'!H256+'J) Plafonnement effort'!I256-'K) Plafonnement aide'!I256</f>
        <v>7.3958352092926232</v>
      </c>
      <c r="O257" s="145">
        <f t="shared" si="49"/>
        <v>78.42494963760501</v>
      </c>
      <c r="P257" s="47">
        <f t="shared" si="50"/>
        <v>0</v>
      </c>
      <c r="Q257" s="55">
        <f t="shared" si="53"/>
        <v>0</v>
      </c>
      <c r="R257" s="145">
        <f t="shared" si="51"/>
        <v>78.42494963760501</v>
      </c>
      <c r="S257" s="125">
        <f t="shared" si="52"/>
        <v>-2.5750503623949896</v>
      </c>
      <c r="T257" s="144">
        <f t="shared" si="41"/>
        <v>0</v>
      </c>
      <c r="V257" s="12"/>
    </row>
    <row r="258" spans="1:22" x14ac:dyDescent="0.25">
      <c r="A258" s="49">
        <f>'A) Base RI'!A258</f>
        <v>5843</v>
      </c>
      <c r="B258" s="344" t="str">
        <f>'A) Base RI'!B258</f>
        <v>Rougemont</v>
      </c>
      <c r="C258" s="505">
        <v>3650490.6647246722</v>
      </c>
      <c r="D258" s="505">
        <v>1818385.4590735205</v>
      </c>
      <c r="E258" s="506">
        <v>0</v>
      </c>
      <c r="F258" s="506">
        <v>0</v>
      </c>
      <c r="G258" s="506">
        <v>0</v>
      </c>
      <c r="H258" s="503">
        <f t="shared" si="39"/>
        <v>5468876.1237981925</v>
      </c>
      <c r="I258" s="506">
        <v>100468.99797297297</v>
      </c>
      <c r="J258" s="348">
        <f>'B) D RI'!U258</f>
        <v>97088.109459459462</v>
      </c>
      <c r="K258" s="62">
        <f t="shared" si="40"/>
        <v>54.433469370017683</v>
      </c>
      <c r="L258" s="33">
        <f>'B) D RI'!S258</f>
        <v>74</v>
      </c>
      <c r="M258" s="442">
        <f t="shared" si="48"/>
        <v>19.566530629982317</v>
      </c>
      <c r="N258" s="437">
        <f>+'J) Plafonnement effort'!H257+'J) Plafonnement effort'!I257-'K) Plafonnement aide'!I257</f>
        <v>45.581416286511612</v>
      </c>
      <c r="O258" s="145">
        <f t="shared" si="49"/>
        <v>65.147946916493936</v>
      </c>
      <c r="P258" s="47">
        <f t="shared" si="50"/>
        <v>0</v>
      </c>
      <c r="Q258" s="55">
        <f t="shared" si="53"/>
        <v>0</v>
      </c>
      <c r="R258" s="145">
        <f t="shared" si="51"/>
        <v>65.147946916493936</v>
      </c>
      <c r="S258" s="125">
        <f t="shared" si="52"/>
        <v>-8.852053083506064</v>
      </c>
      <c r="T258" s="144">
        <f t="shared" si="41"/>
        <v>0</v>
      </c>
      <c r="V258" s="12"/>
    </row>
    <row r="259" spans="1:22" x14ac:dyDescent="0.25">
      <c r="A259" s="49">
        <f>'A) Base RI'!A259</f>
        <v>5851</v>
      </c>
      <c r="B259" s="344" t="str">
        <f>'A) Base RI'!B259</f>
        <v>Allaman</v>
      </c>
      <c r="C259" s="505">
        <v>386415.29131211835</v>
      </c>
      <c r="D259" s="505">
        <v>411029.328485028</v>
      </c>
      <c r="E259" s="506">
        <v>0</v>
      </c>
      <c r="F259" s="506">
        <v>0</v>
      </c>
      <c r="G259" s="506">
        <v>0</v>
      </c>
      <c r="H259" s="503">
        <f t="shared" si="39"/>
        <v>797444.61979714641</v>
      </c>
      <c r="I259" s="506">
        <v>24314.213954545452</v>
      </c>
      <c r="J259" s="348">
        <f>'B) D RI'!U259</f>
        <v>24875.935818181821</v>
      </c>
      <c r="K259" s="62">
        <f t="shared" si="40"/>
        <v>32.797466588389014</v>
      </c>
      <c r="L259" s="33">
        <f>'B) D RI'!S259</f>
        <v>60</v>
      </c>
      <c r="M259" s="442">
        <f t="shared" si="48"/>
        <v>27.202533411610986</v>
      </c>
      <c r="N259" s="437">
        <f>+'J) Plafonnement effort'!H258+'J) Plafonnement effort'!I258-'K) Plafonnement aide'!I258</f>
        <v>30.804519604325037</v>
      </c>
      <c r="O259" s="145">
        <f t="shared" si="49"/>
        <v>58.007053015936023</v>
      </c>
      <c r="P259" s="47">
        <f t="shared" si="50"/>
        <v>0</v>
      </c>
      <c r="Q259" s="55">
        <f t="shared" si="53"/>
        <v>0</v>
      </c>
      <c r="R259" s="145">
        <f t="shared" si="51"/>
        <v>58.007053015936023</v>
      </c>
      <c r="S259" s="125">
        <f t="shared" si="52"/>
        <v>-1.9929469840639769</v>
      </c>
      <c r="T259" s="144">
        <f t="shared" si="41"/>
        <v>0</v>
      </c>
      <c r="V259" s="12"/>
    </row>
    <row r="260" spans="1:22" x14ac:dyDescent="0.25">
      <c r="A260" s="49">
        <f>'A) Base RI'!A260</f>
        <v>5852</v>
      </c>
      <c r="B260" s="344" t="str">
        <f>'A) Base RI'!B260</f>
        <v>Bursinel</v>
      </c>
      <c r="C260" s="505">
        <v>928438.78948537121</v>
      </c>
      <c r="D260" s="505">
        <v>719214.65162678633</v>
      </c>
      <c r="E260" s="506">
        <v>0</v>
      </c>
      <c r="F260" s="506">
        <v>0</v>
      </c>
      <c r="G260" s="506">
        <v>0</v>
      </c>
      <c r="H260" s="503">
        <f t="shared" si="39"/>
        <v>1647653.4411121574</v>
      </c>
      <c r="I260" s="506">
        <v>40706.215623409669</v>
      </c>
      <c r="J260" s="348">
        <f>'B) D RI'!U260</f>
        <v>34636.657688172039</v>
      </c>
      <c r="K260" s="62">
        <f t="shared" si="40"/>
        <v>40.476704008923178</v>
      </c>
      <c r="L260" s="33">
        <f>'B) D RI'!S260</f>
        <v>62</v>
      </c>
      <c r="M260" s="442">
        <f t="shared" si="48"/>
        <v>21.523295991076822</v>
      </c>
      <c r="N260" s="437">
        <f>+'J) Plafonnement effort'!H259+'J) Plafonnement effort'!I259-'K) Plafonnement aide'!I259</f>
        <v>33.465712442269847</v>
      </c>
      <c r="O260" s="145">
        <f t="shared" si="49"/>
        <v>54.989008433346669</v>
      </c>
      <c r="P260" s="47">
        <f t="shared" si="50"/>
        <v>0</v>
      </c>
      <c r="Q260" s="55">
        <f t="shared" si="53"/>
        <v>0</v>
      </c>
      <c r="R260" s="145">
        <f t="shared" si="51"/>
        <v>54.989008433346669</v>
      </c>
      <c r="S260" s="125">
        <f t="shared" si="52"/>
        <v>-7.0109915666533311</v>
      </c>
      <c r="T260" s="144">
        <f t="shared" si="41"/>
        <v>0</v>
      </c>
      <c r="V260" s="12"/>
    </row>
    <row r="261" spans="1:22" x14ac:dyDescent="0.25">
      <c r="A261" s="49">
        <f>'A) Base RI'!A261</f>
        <v>5853</v>
      </c>
      <c r="B261" s="344" t="str">
        <f>'A) Base RI'!B261</f>
        <v>Bursins</v>
      </c>
      <c r="C261" s="505">
        <v>4218626.3463653931</v>
      </c>
      <c r="D261" s="505">
        <v>709346.85404203017</v>
      </c>
      <c r="E261" s="506">
        <v>0</v>
      </c>
      <c r="F261" s="506">
        <v>0</v>
      </c>
      <c r="G261" s="506">
        <v>0</v>
      </c>
      <c r="H261" s="503">
        <f t="shared" si="39"/>
        <v>4927973.2004074231</v>
      </c>
      <c r="I261" s="506">
        <v>42015.881830985905</v>
      </c>
      <c r="J261" s="348">
        <f>'B) D RI'!U261</f>
        <v>44486.311690140843</v>
      </c>
      <c r="K261" s="62">
        <f t="shared" si="40"/>
        <v>117.28834397028263</v>
      </c>
      <c r="L261" s="33">
        <f>'B) D RI'!S261</f>
        <v>71</v>
      </c>
      <c r="M261" s="442">
        <f t="shared" si="48"/>
        <v>-46.288343970282625</v>
      </c>
      <c r="N261" s="437">
        <f>+'J) Plafonnement effort'!H260+'J) Plafonnement effort'!I260-'K) Plafonnement aide'!I260</f>
        <v>31.089565048913379</v>
      </c>
      <c r="O261" s="145">
        <f t="shared" si="49"/>
        <v>-15.198778921369247</v>
      </c>
      <c r="P261" s="47">
        <f t="shared" si="50"/>
        <v>0</v>
      </c>
      <c r="Q261" s="55">
        <f t="shared" si="53"/>
        <v>0</v>
      </c>
      <c r="R261" s="145">
        <f t="shared" si="51"/>
        <v>-15.198778921369247</v>
      </c>
      <c r="S261" s="125">
        <f t="shared" si="52"/>
        <v>-86.198778921369239</v>
      </c>
      <c r="T261" s="144">
        <f t="shared" si="41"/>
        <v>0</v>
      </c>
      <c r="V261" s="12"/>
    </row>
    <row r="262" spans="1:22" x14ac:dyDescent="0.25">
      <c r="A262" s="49">
        <f>'A) Base RI'!A262</f>
        <v>5854</v>
      </c>
      <c r="B262" s="344" t="str">
        <f>'A) Base RI'!B262</f>
        <v>Burtigny</v>
      </c>
      <c r="C262" s="505">
        <v>206089.63038685601</v>
      </c>
      <c r="D262" s="505">
        <v>-66263.307453359885</v>
      </c>
      <c r="E262" s="506">
        <v>0</v>
      </c>
      <c r="F262" s="506">
        <v>0</v>
      </c>
      <c r="G262" s="506">
        <v>0</v>
      </c>
      <c r="H262" s="503">
        <f t="shared" si="39"/>
        <v>139826.32293349612</v>
      </c>
      <c r="I262" s="506">
        <v>10782.893958333336</v>
      </c>
      <c r="J262" s="348">
        <f>'B) D RI'!U262</f>
        <v>15255.967208333332</v>
      </c>
      <c r="K262" s="62">
        <f t="shared" si="40"/>
        <v>12.967420756784337</v>
      </c>
      <c r="L262" s="33">
        <f>'B) D RI'!S262</f>
        <v>80</v>
      </c>
      <c r="M262" s="442">
        <f t="shared" ref="M262:M291" si="55">L262-K262</f>
        <v>67.032579243215665</v>
      </c>
      <c r="N262" s="437">
        <f>+'J) Plafonnement effort'!H261+'J) Plafonnement effort'!I261-'K) Plafonnement aide'!I261</f>
        <v>19.406302322748715</v>
      </c>
      <c r="O262" s="145">
        <f t="shared" ref="O262:O314" si="56">M262+N262</f>
        <v>86.43888156596438</v>
      </c>
      <c r="P262" s="47">
        <f t="shared" ref="P262:P314" si="57">IF(O262&gt;$P$6,$P$6-O262,0)</f>
        <v>0</v>
      </c>
      <c r="Q262" s="55">
        <f t="shared" si="53"/>
        <v>0</v>
      </c>
      <c r="R262" s="145">
        <f t="shared" ref="R262:R314" si="58">O262+P262</f>
        <v>86.43888156596438</v>
      </c>
      <c r="S262" s="125">
        <f t="shared" ref="S262:S314" si="59">R262-L262</f>
        <v>6.4388815659643797</v>
      </c>
      <c r="T262" s="144">
        <f t="shared" si="41"/>
        <v>0</v>
      </c>
      <c r="V262" s="12"/>
    </row>
    <row r="263" spans="1:22" x14ac:dyDescent="0.25">
      <c r="A263" s="49">
        <f>'A) Base RI'!A263</f>
        <v>5855</v>
      </c>
      <c r="B263" s="344" t="str">
        <f>'A) Base RI'!B263</f>
        <v>Dully</v>
      </c>
      <c r="C263" s="505">
        <v>3045126.6390778124</v>
      </c>
      <c r="D263" s="505">
        <v>1803245.8423548448</v>
      </c>
      <c r="E263" s="506">
        <v>0</v>
      </c>
      <c r="F263" s="506">
        <v>0</v>
      </c>
      <c r="G263" s="506">
        <v>0</v>
      </c>
      <c r="H263" s="503">
        <f t="shared" ref="H263:H314" si="60">SUM(C263:G263)</f>
        <v>4848372.4814326577</v>
      </c>
      <c r="I263" s="506">
        <v>98158.514897959176</v>
      </c>
      <c r="J263" s="348">
        <f>'B) D RI'!U263</f>
        <v>93684.152857142864</v>
      </c>
      <c r="K263" s="62">
        <f t="shared" ref="K263:K314" si="61">H263/I263</f>
        <v>49.393294982842704</v>
      </c>
      <c r="L263" s="33">
        <f>'B) D RI'!S263</f>
        <v>49</v>
      </c>
      <c r="M263" s="442">
        <f t="shared" si="55"/>
        <v>-0.39329498284270414</v>
      </c>
      <c r="N263" s="437">
        <f>+'J) Plafonnement effort'!H262+'J) Plafonnement effort'!I262-'K) Plafonnement aide'!I262</f>
        <v>43.985226860189556</v>
      </c>
      <c r="O263" s="145">
        <f t="shared" si="56"/>
        <v>43.591931877346852</v>
      </c>
      <c r="P263" s="47">
        <f t="shared" si="57"/>
        <v>0</v>
      </c>
      <c r="Q263" s="55">
        <f t="shared" si="53"/>
        <v>0</v>
      </c>
      <c r="R263" s="145">
        <f t="shared" si="58"/>
        <v>43.591931877346852</v>
      </c>
      <c r="S263" s="125">
        <f t="shared" si="59"/>
        <v>-5.4080681226531482</v>
      </c>
      <c r="T263" s="144">
        <f t="shared" ref="T263:T314" si="62">+C263+D263+E263+F263+G263-H263</f>
        <v>0</v>
      </c>
      <c r="V263" s="12"/>
    </row>
    <row r="264" spans="1:22" x14ac:dyDescent="0.25">
      <c r="A264" s="49">
        <f>'A) Base RI'!A264</f>
        <v>5856</v>
      </c>
      <c r="B264" s="344" t="str">
        <f>'A) Base RI'!B264</f>
        <v>Essertines-sur-Rolle</v>
      </c>
      <c r="C264" s="505">
        <v>623197.76027508103</v>
      </c>
      <c r="D264" s="505">
        <v>592624.05361955357</v>
      </c>
      <c r="E264" s="506">
        <v>0</v>
      </c>
      <c r="F264" s="506">
        <v>0</v>
      </c>
      <c r="G264" s="506">
        <v>0</v>
      </c>
      <c r="H264" s="503">
        <f t="shared" si="60"/>
        <v>1215821.8138946346</v>
      </c>
      <c r="I264" s="506">
        <v>35711.648536726432</v>
      </c>
      <c r="J264" s="348">
        <f>'B) D RI'!U264</f>
        <v>42220.114424522842</v>
      </c>
      <c r="K264" s="62">
        <f t="shared" si="61"/>
        <v>34.045524743677511</v>
      </c>
      <c r="L264" s="33">
        <f>'B) D RI'!S264</f>
        <v>66.5</v>
      </c>
      <c r="M264" s="442">
        <f t="shared" si="55"/>
        <v>32.454475256322489</v>
      </c>
      <c r="N264" s="437">
        <f>+'J) Plafonnement effort'!H263+'J) Plafonnement effort'!I263-'K) Plafonnement aide'!I263</f>
        <v>30.594007851215647</v>
      </c>
      <c r="O264" s="145">
        <f t="shared" si="56"/>
        <v>63.048483107538132</v>
      </c>
      <c r="P264" s="47">
        <f t="shared" si="57"/>
        <v>0</v>
      </c>
      <c r="Q264" s="55">
        <f t="shared" si="53"/>
        <v>0</v>
      </c>
      <c r="R264" s="145">
        <f t="shared" si="58"/>
        <v>63.048483107538132</v>
      </c>
      <c r="S264" s="125">
        <f t="shared" si="59"/>
        <v>-3.4515168924618678</v>
      </c>
      <c r="T264" s="144">
        <f t="shared" si="62"/>
        <v>0</v>
      </c>
      <c r="V264" s="12"/>
    </row>
    <row r="265" spans="1:22" x14ac:dyDescent="0.25">
      <c r="A265" s="49">
        <f>'A) Base RI'!A265</f>
        <v>5857</v>
      </c>
      <c r="B265" s="344" t="str">
        <f>'A) Base RI'!B265</f>
        <v>Gilly</v>
      </c>
      <c r="C265" s="505">
        <v>1422019.4573755052</v>
      </c>
      <c r="D265" s="505">
        <v>1301324.3566439585</v>
      </c>
      <c r="E265" s="506">
        <v>0</v>
      </c>
      <c r="F265" s="506">
        <v>0</v>
      </c>
      <c r="G265" s="506">
        <v>0</v>
      </c>
      <c r="H265" s="503">
        <f t="shared" si="60"/>
        <v>2723343.814019464</v>
      </c>
      <c r="I265" s="506">
        <v>82128.423720930223</v>
      </c>
      <c r="J265" s="348">
        <f>'B) D RI'!U265</f>
        <v>88866.553953488372</v>
      </c>
      <c r="K265" s="62">
        <f t="shared" si="61"/>
        <v>33.159577289262238</v>
      </c>
      <c r="L265" s="33">
        <f>'B) D RI'!S265</f>
        <v>64.5</v>
      </c>
      <c r="M265" s="442">
        <f t="shared" si="55"/>
        <v>31.340422710737762</v>
      </c>
      <c r="N265" s="437">
        <f>+'J) Plafonnement effort'!H264+'J) Plafonnement effort'!I264-'K) Plafonnement aide'!I264</f>
        <v>31.056907083891101</v>
      </c>
      <c r="O265" s="145">
        <f t="shared" si="56"/>
        <v>62.39732979462886</v>
      </c>
      <c r="P265" s="47">
        <f t="shared" si="57"/>
        <v>0</v>
      </c>
      <c r="Q265" s="55">
        <f t="shared" si="53"/>
        <v>0</v>
      </c>
      <c r="R265" s="145">
        <f t="shared" si="58"/>
        <v>62.39732979462886</v>
      </c>
      <c r="S265" s="125">
        <f t="shared" si="59"/>
        <v>-2.1026702053711404</v>
      </c>
      <c r="T265" s="144">
        <f t="shared" si="62"/>
        <v>0</v>
      </c>
      <c r="V265" s="12"/>
    </row>
    <row r="266" spans="1:22" x14ac:dyDescent="0.25">
      <c r="A266" s="49">
        <f>'A) Base RI'!A266</f>
        <v>5858</v>
      </c>
      <c r="B266" s="344" t="str">
        <f>'A) Base RI'!B266</f>
        <v>Luins</v>
      </c>
      <c r="C266" s="505">
        <v>751833.13167598133</v>
      </c>
      <c r="D266" s="505">
        <v>695380.03125987947</v>
      </c>
      <c r="E266" s="506">
        <v>0</v>
      </c>
      <c r="F266" s="506">
        <v>0</v>
      </c>
      <c r="G266" s="506">
        <v>0</v>
      </c>
      <c r="H266" s="503">
        <f t="shared" si="60"/>
        <v>1447213.1629358609</v>
      </c>
      <c r="I266" s="506">
        <v>40290.677378917375</v>
      </c>
      <c r="J266" s="348">
        <f>'B) D RI'!U266</f>
        <v>38253.397207977199</v>
      </c>
      <c r="K266" s="62">
        <f t="shared" si="61"/>
        <v>35.919305831604959</v>
      </c>
      <c r="L266" s="33">
        <f>'B) D RI'!S266</f>
        <v>58.5</v>
      </c>
      <c r="M266" s="442">
        <f t="shared" si="55"/>
        <v>22.580694168395041</v>
      </c>
      <c r="N266" s="437">
        <f>+'J) Plafonnement effort'!H265+'J) Plafonnement effort'!I265-'K) Plafonnement aide'!I265</f>
        <v>31.571599144281716</v>
      </c>
      <c r="O266" s="145">
        <f t="shared" si="56"/>
        <v>54.152293312676761</v>
      </c>
      <c r="P266" s="47">
        <f t="shared" si="57"/>
        <v>0</v>
      </c>
      <c r="Q266" s="55">
        <f t="shared" si="53"/>
        <v>0</v>
      </c>
      <c r="R266" s="145">
        <f t="shared" si="58"/>
        <v>54.152293312676761</v>
      </c>
      <c r="S266" s="125">
        <f t="shared" si="59"/>
        <v>-4.3477066873232388</v>
      </c>
      <c r="T266" s="144">
        <f t="shared" si="62"/>
        <v>0</v>
      </c>
      <c r="V266" s="12"/>
    </row>
    <row r="267" spans="1:22" x14ac:dyDescent="0.25">
      <c r="A267" s="49">
        <f>'A) Base RI'!A267</f>
        <v>5859</v>
      </c>
      <c r="B267" s="344" t="str">
        <f>'A) Base RI'!B267</f>
        <v>Mont-sur-Rolle</v>
      </c>
      <c r="C267" s="505">
        <v>2581821.8088843082</v>
      </c>
      <c r="D267" s="505">
        <v>2111419.2867027475</v>
      </c>
      <c r="E267" s="506">
        <v>0</v>
      </c>
      <c r="F267" s="506">
        <v>0</v>
      </c>
      <c r="G267" s="506">
        <v>0</v>
      </c>
      <c r="H267" s="503">
        <f t="shared" si="60"/>
        <v>4693241.0955870561</v>
      </c>
      <c r="I267" s="506">
        <v>146465.78251968499</v>
      </c>
      <c r="J267" s="348">
        <f>'B) D RI'!U267</f>
        <v>160910.93779527559</v>
      </c>
      <c r="K267" s="62">
        <f t="shared" si="61"/>
        <v>32.0432596258876</v>
      </c>
      <c r="L267" s="33">
        <f>'B) D RI'!S267</f>
        <v>63.5</v>
      </c>
      <c r="M267" s="442">
        <f t="shared" si="55"/>
        <v>31.4567403741124</v>
      </c>
      <c r="N267" s="437">
        <f>+'J) Plafonnement effort'!H266+'J) Plafonnement effort'!I266-'K) Plafonnement aide'!I266</f>
        <v>28.756007178862152</v>
      </c>
      <c r="O267" s="145">
        <f t="shared" si="56"/>
        <v>60.212747552974548</v>
      </c>
      <c r="P267" s="47">
        <f t="shared" si="57"/>
        <v>0</v>
      </c>
      <c r="Q267" s="55">
        <f t="shared" ref="Q267:Q314" si="63">P267*J267</f>
        <v>0</v>
      </c>
      <c r="R267" s="145">
        <f t="shared" si="58"/>
        <v>60.212747552974548</v>
      </c>
      <c r="S267" s="125">
        <f t="shared" si="59"/>
        <v>-3.2872524470254518</v>
      </c>
      <c r="T267" s="144">
        <f t="shared" si="62"/>
        <v>0</v>
      </c>
      <c r="V267" s="12"/>
    </row>
    <row r="268" spans="1:22" x14ac:dyDescent="0.25">
      <c r="A268" s="49">
        <f>'A) Base RI'!A268</f>
        <v>5860</v>
      </c>
      <c r="B268" s="344" t="str">
        <f>'A) Base RI'!B268</f>
        <v>Perroy</v>
      </c>
      <c r="C268" s="505">
        <v>5754185.5503719766</v>
      </c>
      <c r="D268" s="505">
        <v>3283205.4677036186</v>
      </c>
      <c r="E268" s="506">
        <v>0</v>
      </c>
      <c r="F268" s="506">
        <v>0</v>
      </c>
      <c r="G268" s="506">
        <v>0</v>
      </c>
      <c r="H268" s="503">
        <f t="shared" si="60"/>
        <v>9037391.0180755947</v>
      </c>
      <c r="I268" s="506">
        <v>187175.54426035503</v>
      </c>
      <c r="J268" s="348">
        <f>'B) D RI'!U268</f>
        <v>124242.10120973046</v>
      </c>
      <c r="K268" s="62">
        <f t="shared" si="61"/>
        <v>48.282969090795753</v>
      </c>
      <c r="L268" s="33">
        <f>'B) D RI'!S268</f>
        <v>58.5</v>
      </c>
      <c r="M268" s="442">
        <f t="shared" si="55"/>
        <v>10.217030909204247</v>
      </c>
      <c r="N268" s="437">
        <f>+'J) Plafonnement effort'!H267+'J) Plafonnement effort'!I267-'K) Plafonnement aide'!I267</f>
        <v>35.731630657083052</v>
      </c>
      <c r="O268" s="145">
        <f t="shared" si="56"/>
        <v>45.948661566287299</v>
      </c>
      <c r="P268" s="47">
        <f t="shared" si="57"/>
        <v>0</v>
      </c>
      <c r="Q268" s="55">
        <f t="shared" si="63"/>
        <v>0</v>
      </c>
      <c r="R268" s="145">
        <f t="shared" si="58"/>
        <v>45.948661566287299</v>
      </c>
      <c r="S268" s="125">
        <f t="shared" si="59"/>
        <v>-12.551338433712701</v>
      </c>
      <c r="T268" s="144">
        <f t="shared" si="62"/>
        <v>0</v>
      </c>
      <c r="V268" s="12"/>
    </row>
    <row r="269" spans="1:22" x14ac:dyDescent="0.25">
      <c r="A269" s="49">
        <f>'A) Base RI'!A269</f>
        <v>5861</v>
      </c>
      <c r="B269" s="344" t="str">
        <f>'A) Base RI'!B269</f>
        <v>Rolle</v>
      </c>
      <c r="C269" s="505">
        <v>79023431.374459803</v>
      </c>
      <c r="D269" s="505">
        <v>34586720.730858795</v>
      </c>
      <c r="E269" s="506">
        <v>0</v>
      </c>
      <c r="F269" s="506">
        <v>-19532160.290360618</v>
      </c>
      <c r="G269" s="506">
        <v>0</v>
      </c>
      <c r="H269" s="503">
        <f t="shared" si="60"/>
        <v>94077991.814957991</v>
      </c>
      <c r="I269" s="506">
        <v>1938335.8673949579</v>
      </c>
      <c r="J269" s="348">
        <f>'B) D RI'!U269</f>
        <v>638128.58403361356</v>
      </c>
      <c r="K269" s="62">
        <f t="shared" si="61"/>
        <v>48.535443932838568</v>
      </c>
      <c r="L269" s="33">
        <f>'B) D RI'!S269</f>
        <v>59.5</v>
      </c>
      <c r="M269" s="442">
        <f t="shared" si="55"/>
        <v>10.964556067161432</v>
      </c>
      <c r="N269" s="437">
        <f>+'J) Plafonnement effort'!H268+'J) Plafonnement effort'!I268-'K) Plafonnement aide'!I268</f>
        <v>37.658506161069404</v>
      </c>
      <c r="O269" s="145">
        <f t="shared" si="56"/>
        <v>48.623062228230836</v>
      </c>
      <c r="P269" s="47">
        <f t="shared" si="57"/>
        <v>0</v>
      </c>
      <c r="Q269" s="55">
        <f t="shared" si="63"/>
        <v>0</v>
      </c>
      <c r="R269" s="145">
        <f t="shared" si="58"/>
        <v>48.623062228230836</v>
      </c>
      <c r="S269" s="125">
        <f t="shared" si="59"/>
        <v>-10.876937771769164</v>
      </c>
      <c r="T269" s="144">
        <f t="shared" si="62"/>
        <v>0</v>
      </c>
      <c r="V269" s="12"/>
    </row>
    <row r="270" spans="1:22" x14ac:dyDescent="0.25">
      <c r="A270" s="49">
        <f>'A) Base RI'!A270</f>
        <v>5862</v>
      </c>
      <c r="B270" s="344" t="str">
        <f>'A) Base RI'!B270</f>
        <v>Tartegnin</v>
      </c>
      <c r="C270" s="505">
        <v>111705.04292518453</v>
      </c>
      <c r="D270" s="505">
        <v>43981.519153630172</v>
      </c>
      <c r="E270" s="506">
        <v>0</v>
      </c>
      <c r="F270" s="506">
        <v>0</v>
      </c>
      <c r="G270" s="506">
        <v>0</v>
      </c>
      <c r="H270" s="503">
        <f t="shared" si="60"/>
        <v>155686.56207881472</v>
      </c>
      <c r="I270" s="506">
        <v>8096.4381012658214</v>
      </c>
      <c r="J270" s="348">
        <f>'B) D RI'!U270</f>
        <v>7891.022278481013</v>
      </c>
      <c r="K270" s="62">
        <f t="shared" si="61"/>
        <v>19.229018999660383</v>
      </c>
      <c r="L270" s="33">
        <f>'B) D RI'!S270</f>
        <v>79</v>
      </c>
      <c r="M270" s="442">
        <f t="shared" si="55"/>
        <v>59.770981000339617</v>
      </c>
      <c r="N270" s="437">
        <f>+'J) Plafonnement effort'!H269+'J) Plafonnement effort'!I269-'K) Plafonnement aide'!I269</f>
        <v>15.247877317566205</v>
      </c>
      <c r="O270" s="145">
        <f t="shared" si="56"/>
        <v>75.018858317905824</v>
      </c>
      <c r="P270" s="47">
        <f t="shared" si="57"/>
        <v>0</v>
      </c>
      <c r="Q270" s="55">
        <f t="shared" si="63"/>
        <v>0</v>
      </c>
      <c r="R270" s="145">
        <f t="shared" si="58"/>
        <v>75.018858317905824</v>
      </c>
      <c r="S270" s="125">
        <f t="shared" si="59"/>
        <v>-3.9811416820941758</v>
      </c>
      <c r="T270" s="144">
        <f t="shared" si="62"/>
        <v>0</v>
      </c>
      <c r="V270" s="12"/>
    </row>
    <row r="271" spans="1:22" x14ac:dyDescent="0.25">
      <c r="A271" s="49">
        <f>'A) Base RI'!A271</f>
        <v>5863</v>
      </c>
      <c r="B271" s="344" t="str">
        <f>'A) Base RI'!B271</f>
        <v>Vinzel</v>
      </c>
      <c r="C271" s="505">
        <v>399227.37306356349</v>
      </c>
      <c r="D271" s="505">
        <v>372600.60810318013</v>
      </c>
      <c r="E271" s="506">
        <v>0</v>
      </c>
      <c r="F271" s="506">
        <v>0</v>
      </c>
      <c r="G271" s="506">
        <v>0</v>
      </c>
      <c r="H271" s="503">
        <f t="shared" si="60"/>
        <v>771827.98116674367</v>
      </c>
      <c r="I271" s="506">
        <v>21933.69492537314</v>
      </c>
      <c r="J271" s="348">
        <f>'B) D RI'!U271</f>
        <v>21424.128507462683</v>
      </c>
      <c r="K271" s="62">
        <f t="shared" si="61"/>
        <v>35.189145458291414</v>
      </c>
      <c r="L271" s="33">
        <f>'B) D RI'!S271</f>
        <v>67</v>
      </c>
      <c r="M271" s="442">
        <f t="shared" si="55"/>
        <v>31.810854541708586</v>
      </c>
      <c r="N271" s="437">
        <f>+'J) Plafonnement effort'!H270+'J) Plafonnement effort'!I270-'K) Plafonnement aide'!I270</f>
        <v>31.080749920779024</v>
      </c>
      <c r="O271" s="145">
        <f t="shared" si="56"/>
        <v>62.891604462487606</v>
      </c>
      <c r="P271" s="47">
        <f t="shared" si="57"/>
        <v>0</v>
      </c>
      <c r="Q271" s="55">
        <f t="shared" si="63"/>
        <v>0</v>
      </c>
      <c r="R271" s="145">
        <f t="shared" si="58"/>
        <v>62.891604462487606</v>
      </c>
      <c r="S271" s="125">
        <f t="shared" si="59"/>
        <v>-4.1083955375123935</v>
      </c>
      <c r="T271" s="144">
        <f t="shared" si="62"/>
        <v>0</v>
      </c>
      <c r="V271" s="12"/>
    </row>
    <row r="272" spans="1:22" x14ac:dyDescent="0.25">
      <c r="A272" s="49">
        <f>'A) Base RI'!A272</f>
        <v>5871</v>
      </c>
      <c r="B272" s="344" t="str">
        <f>'A) Base RI'!B272</f>
        <v>L'Abbaye</v>
      </c>
      <c r="C272" s="505">
        <v>1029461.8422280847</v>
      </c>
      <c r="D272" s="505">
        <v>143221.82025850215</v>
      </c>
      <c r="E272" s="506">
        <v>0</v>
      </c>
      <c r="F272" s="506">
        <v>0</v>
      </c>
      <c r="G272" s="506">
        <v>0</v>
      </c>
      <c r="H272" s="503">
        <f t="shared" si="60"/>
        <v>1172683.6624865867</v>
      </c>
      <c r="I272" s="506">
        <v>49513.521273852508</v>
      </c>
      <c r="J272" s="348">
        <f>'B) D RI'!U272</f>
        <v>53269.472631578945</v>
      </c>
      <c r="K272" s="62">
        <f t="shared" si="61"/>
        <v>23.684109558692743</v>
      </c>
      <c r="L272" s="33">
        <f>'B) D RI'!S272</f>
        <v>76</v>
      </c>
      <c r="M272" s="442">
        <f t="shared" si="55"/>
        <v>52.315890441307261</v>
      </c>
      <c r="N272" s="437">
        <f>+'J) Plafonnement effort'!H271+'J) Plafonnement effort'!I271-'K) Plafonnement aide'!I271</f>
        <v>16.412592550234674</v>
      </c>
      <c r="O272" s="145">
        <f t="shared" si="56"/>
        <v>68.728482991541938</v>
      </c>
      <c r="P272" s="47">
        <f t="shared" si="57"/>
        <v>0</v>
      </c>
      <c r="Q272" s="55">
        <f t="shared" si="63"/>
        <v>0</v>
      </c>
      <c r="R272" s="145">
        <f t="shared" si="58"/>
        <v>68.728482991541938</v>
      </c>
      <c r="S272" s="125">
        <f t="shared" si="59"/>
        <v>-7.271517008458062</v>
      </c>
      <c r="T272" s="144">
        <f t="shared" si="62"/>
        <v>0</v>
      </c>
      <c r="V272" s="12"/>
    </row>
    <row r="273" spans="1:22" x14ac:dyDescent="0.25">
      <c r="A273" s="49">
        <f>'A) Base RI'!A273</f>
        <v>5872</v>
      </c>
      <c r="B273" s="344" t="str">
        <f>'A) Base RI'!B273</f>
        <v>Le Chenit</v>
      </c>
      <c r="C273" s="505">
        <v>7190455.9603909058</v>
      </c>
      <c r="D273" s="505">
        <v>2911612.6225718413</v>
      </c>
      <c r="E273" s="506">
        <v>0</v>
      </c>
      <c r="F273" s="506">
        <v>0</v>
      </c>
      <c r="G273" s="506">
        <v>0</v>
      </c>
      <c r="H273" s="503">
        <f t="shared" si="60"/>
        <v>10102068.582962748</v>
      </c>
      <c r="I273" s="506">
        <v>236042.78222554145</v>
      </c>
      <c r="J273" s="348">
        <f>'B) D RI'!U273</f>
        <v>228048.33794871799</v>
      </c>
      <c r="K273" s="62">
        <f t="shared" si="61"/>
        <v>42.797616973138837</v>
      </c>
      <c r="L273" s="33">
        <f>'B) D RI'!S273</f>
        <v>58.5</v>
      </c>
      <c r="M273" s="442">
        <f t="shared" si="55"/>
        <v>15.702383026861163</v>
      </c>
      <c r="N273" s="437">
        <f>+'J) Plafonnement effort'!H272+'J) Plafonnement effort'!I272-'K) Plafonnement aide'!I272</f>
        <v>24.310730460828779</v>
      </c>
      <c r="O273" s="145">
        <f t="shared" si="56"/>
        <v>40.013113487689942</v>
      </c>
      <c r="P273" s="47">
        <f t="shared" si="57"/>
        <v>0</v>
      </c>
      <c r="Q273" s="55">
        <f t="shared" si="63"/>
        <v>0</v>
      </c>
      <c r="R273" s="145">
        <f t="shared" si="58"/>
        <v>40.013113487689942</v>
      </c>
      <c r="S273" s="125">
        <f t="shared" si="59"/>
        <v>-18.486886512310058</v>
      </c>
      <c r="T273" s="144">
        <f t="shared" si="62"/>
        <v>0</v>
      </c>
      <c r="V273" s="12"/>
    </row>
    <row r="274" spans="1:22" x14ac:dyDescent="0.25">
      <c r="A274" s="49">
        <f>'A) Base RI'!A274</f>
        <v>5873</v>
      </c>
      <c r="B274" s="344" t="str">
        <f>'A) Base RI'!B274</f>
        <v>Le Lieu</v>
      </c>
      <c r="C274" s="505">
        <v>781464.81374126743</v>
      </c>
      <c r="D274" s="505">
        <v>230780.72705489059</v>
      </c>
      <c r="E274" s="506">
        <v>0</v>
      </c>
      <c r="F274" s="506">
        <v>0</v>
      </c>
      <c r="G274" s="506">
        <v>0</v>
      </c>
      <c r="H274" s="503">
        <f t="shared" si="60"/>
        <v>1012245.540796158</v>
      </c>
      <c r="I274" s="506">
        <v>30440.408392857149</v>
      </c>
      <c r="J274" s="348">
        <f>'B) D RI'!U274</f>
        <v>31475.129392857143</v>
      </c>
      <c r="K274" s="62">
        <f t="shared" si="61"/>
        <v>33.253349552093454</v>
      </c>
      <c r="L274" s="33">
        <f>'B) D RI'!S274</f>
        <v>70</v>
      </c>
      <c r="M274" s="442">
        <f t="shared" si="55"/>
        <v>36.746650447906546</v>
      </c>
      <c r="N274" s="437">
        <f>+'J) Plafonnement effort'!H273+'J) Plafonnement effort'!I273-'K) Plafonnement aide'!I273</f>
        <v>20.55246470084338</v>
      </c>
      <c r="O274" s="145">
        <f t="shared" si="56"/>
        <v>57.299115148749927</v>
      </c>
      <c r="P274" s="47">
        <f t="shared" si="57"/>
        <v>0</v>
      </c>
      <c r="Q274" s="55">
        <f t="shared" si="63"/>
        <v>0</v>
      </c>
      <c r="R274" s="145">
        <f t="shared" si="58"/>
        <v>57.299115148749927</v>
      </c>
      <c r="S274" s="125">
        <f t="shared" si="59"/>
        <v>-12.700884851250073</v>
      </c>
      <c r="T274" s="144">
        <f t="shared" si="62"/>
        <v>0</v>
      </c>
      <c r="V274" s="12"/>
    </row>
    <row r="275" spans="1:22" x14ac:dyDescent="0.25">
      <c r="A275" s="49">
        <f>'A) Base RI'!A275</f>
        <v>5881</v>
      </c>
      <c r="B275" s="344" t="str">
        <f>'A) Base RI'!B275</f>
        <v>Blonay</v>
      </c>
      <c r="C275" s="505">
        <v>7654545.6302315081</v>
      </c>
      <c r="D275" s="505">
        <v>4428209.0081811054</v>
      </c>
      <c r="E275" s="506">
        <v>0</v>
      </c>
      <c r="F275" s="506">
        <v>0</v>
      </c>
      <c r="G275" s="506">
        <v>0</v>
      </c>
      <c r="H275" s="503">
        <f t="shared" si="60"/>
        <v>12082754.638412613</v>
      </c>
      <c r="I275" s="506">
        <v>363266.43007299263</v>
      </c>
      <c r="J275" s="348">
        <f>'B) D RI'!U275</f>
        <v>371401.9382481752</v>
      </c>
      <c r="K275" s="62">
        <f t="shared" si="61"/>
        <v>33.261412666138114</v>
      </c>
      <c r="L275" s="33">
        <f>'B) D RI'!S275</f>
        <v>68.5</v>
      </c>
      <c r="M275" s="442">
        <f t="shared" si="55"/>
        <v>35.238587333861886</v>
      </c>
      <c r="N275" s="437">
        <f>+'J) Plafonnement effort'!H274+'J) Plafonnement effort'!I274-'K) Plafonnement aide'!I274</f>
        <v>26.590422555796657</v>
      </c>
      <c r="O275" s="145">
        <f t="shared" si="56"/>
        <v>61.829009889658543</v>
      </c>
      <c r="P275" s="47">
        <f t="shared" si="57"/>
        <v>0</v>
      </c>
      <c r="Q275" s="55">
        <f t="shared" si="63"/>
        <v>0</v>
      </c>
      <c r="R275" s="145">
        <f t="shared" si="58"/>
        <v>61.829009889658543</v>
      </c>
      <c r="S275" s="125">
        <f t="shared" si="59"/>
        <v>-6.6709901103414566</v>
      </c>
      <c r="T275" s="144">
        <f t="shared" si="62"/>
        <v>0</v>
      </c>
      <c r="V275" s="12"/>
    </row>
    <row r="276" spans="1:22" x14ac:dyDescent="0.25">
      <c r="A276" s="49">
        <f>'A) Base RI'!A276</f>
        <v>5882</v>
      </c>
      <c r="B276" s="344" t="str">
        <f>'A) Base RI'!B276</f>
        <v>Chardonne</v>
      </c>
      <c r="C276" s="505">
        <v>3450397.0971665592</v>
      </c>
      <c r="D276" s="505">
        <v>2566498.2912194002</v>
      </c>
      <c r="E276" s="506">
        <v>0</v>
      </c>
      <c r="F276" s="506">
        <v>0</v>
      </c>
      <c r="G276" s="506">
        <v>0</v>
      </c>
      <c r="H276" s="503">
        <f t="shared" si="60"/>
        <v>6016895.388385959</v>
      </c>
      <c r="I276" s="506">
        <v>179032.37397058826</v>
      </c>
      <c r="J276" s="348">
        <f>'B) D RI'!U276</f>
        <v>186952.68588235296</v>
      </c>
      <c r="K276" s="62">
        <f t="shared" si="61"/>
        <v>33.607862393504455</v>
      </c>
      <c r="L276" s="33">
        <f>'B) D RI'!S276</f>
        <v>68</v>
      </c>
      <c r="M276" s="442">
        <f t="shared" si="55"/>
        <v>34.392137606495545</v>
      </c>
      <c r="N276" s="437">
        <f>+'J) Plafonnement effort'!H275+'J) Plafonnement effort'!I275-'K) Plafonnement aide'!I275</f>
        <v>29.444773019557932</v>
      </c>
      <c r="O276" s="145">
        <f t="shared" si="56"/>
        <v>63.836910626053481</v>
      </c>
      <c r="P276" s="47">
        <f t="shared" si="57"/>
        <v>0</v>
      </c>
      <c r="Q276" s="55">
        <f t="shared" si="63"/>
        <v>0</v>
      </c>
      <c r="R276" s="145">
        <f t="shared" si="58"/>
        <v>63.836910626053481</v>
      </c>
      <c r="S276" s="125">
        <f t="shared" si="59"/>
        <v>-4.1630893739465193</v>
      </c>
      <c r="T276" s="144">
        <f t="shared" si="62"/>
        <v>0</v>
      </c>
      <c r="V276" s="12"/>
    </row>
    <row r="277" spans="1:22" x14ac:dyDescent="0.25">
      <c r="A277" s="49">
        <f>'A) Base RI'!A277</f>
        <v>5883</v>
      </c>
      <c r="B277" s="344" t="str">
        <f>'A) Base RI'!B277</f>
        <v>Corseaux</v>
      </c>
      <c r="C277" s="505">
        <v>3697787.5927101942</v>
      </c>
      <c r="D277" s="505">
        <v>2638365.4329031627</v>
      </c>
      <c r="E277" s="506">
        <v>0</v>
      </c>
      <c r="F277" s="506">
        <v>0</v>
      </c>
      <c r="G277" s="506">
        <v>0</v>
      </c>
      <c r="H277" s="503">
        <f t="shared" si="60"/>
        <v>6336153.0256133564</v>
      </c>
      <c r="I277" s="506">
        <v>167893.40074074076</v>
      </c>
      <c r="J277" s="348">
        <f>'B) D RI'!U277</f>
        <v>193095.30118518518</v>
      </c>
      <c r="K277" s="62">
        <f t="shared" si="61"/>
        <v>37.739142799290711</v>
      </c>
      <c r="L277" s="33">
        <f>'B) D RI'!S277</f>
        <v>67.5</v>
      </c>
      <c r="M277" s="442">
        <f t="shared" si="55"/>
        <v>29.760857200709289</v>
      </c>
      <c r="N277" s="437">
        <f>+'J) Plafonnement effort'!H276+'J) Plafonnement effort'!I276-'K) Plafonnement aide'!I276</f>
        <v>36.415988150258222</v>
      </c>
      <c r="O277" s="145">
        <f t="shared" si="56"/>
        <v>66.176845350967511</v>
      </c>
      <c r="P277" s="47">
        <f t="shared" si="57"/>
        <v>0</v>
      </c>
      <c r="Q277" s="55">
        <f t="shared" si="63"/>
        <v>0</v>
      </c>
      <c r="R277" s="145">
        <f t="shared" si="58"/>
        <v>66.176845350967511</v>
      </c>
      <c r="S277" s="125">
        <f t="shared" si="59"/>
        <v>-1.3231546490324888</v>
      </c>
      <c r="T277" s="144">
        <f t="shared" si="62"/>
        <v>0</v>
      </c>
      <c r="V277" s="12"/>
    </row>
    <row r="278" spans="1:22" x14ac:dyDescent="0.25">
      <c r="A278" s="49">
        <f>'A) Base RI'!A278</f>
        <v>5884</v>
      </c>
      <c r="B278" s="344" t="str">
        <f>'A) Base RI'!B278</f>
        <v>Corsier-sur-Vevey</v>
      </c>
      <c r="C278" s="505">
        <v>2055536.9055977408</v>
      </c>
      <c r="D278" s="505">
        <v>570669.19929859391</v>
      </c>
      <c r="E278" s="506">
        <v>0</v>
      </c>
      <c r="F278" s="506">
        <v>0</v>
      </c>
      <c r="G278" s="506">
        <v>0</v>
      </c>
      <c r="H278" s="503">
        <f t="shared" si="60"/>
        <v>2626206.1048963349</v>
      </c>
      <c r="I278" s="506">
        <v>122170.7416919192</v>
      </c>
      <c r="J278" s="348">
        <f>'B) D RI'!U278</f>
        <v>148896.79012919901</v>
      </c>
      <c r="K278" s="62">
        <f t="shared" si="61"/>
        <v>21.496195148908075</v>
      </c>
      <c r="L278" s="33">
        <f>'B) D RI'!S278</f>
        <v>64.5</v>
      </c>
      <c r="M278" s="442">
        <f t="shared" si="55"/>
        <v>43.003804851091928</v>
      </c>
      <c r="N278" s="437">
        <f>+'J) Plafonnement effort'!H277+'J) Plafonnement effort'!I277-'K) Plafonnement aide'!I277</f>
        <v>22.464333307365624</v>
      </c>
      <c r="O278" s="145">
        <f t="shared" si="56"/>
        <v>65.468138158457549</v>
      </c>
      <c r="P278" s="47">
        <f t="shared" si="57"/>
        <v>0</v>
      </c>
      <c r="Q278" s="55">
        <f t="shared" si="63"/>
        <v>0</v>
      </c>
      <c r="R278" s="145">
        <f t="shared" si="58"/>
        <v>65.468138158457549</v>
      </c>
      <c r="S278" s="125">
        <f t="shared" si="59"/>
        <v>0.96813815845754903</v>
      </c>
      <c r="T278" s="144">
        <f t="shared" si="62"/>
        <v>0</v>
      </c>
      <c r="V278" s="12"/>
    </row>
    <row r="279" spans="1:22" x14ac:dyDescent="0.25">
      <c r="A279" s="49">
        <f>'A) Base RI'!A279</f>
        <v>5885</v>
      </c>
      <c r="B279" s="344" t="str">
        <f>'A) Base RI'!B279</f>
        <v>Jongny</v>
      </c>
      <c r="C279" s="505">
        <v>1554013.2012480991</v>
      </c>
      <c r="D279" s="505">
        <v>1274276.7112449273</v>
      </c>
      <c r="E279" s="506">
        <v>0</v>
      </c>
      <c r="F279" s="506">
        <v>0</v>
      </c>
      <c r="G279" s="506">
        <v>0</v>
      </c>
      <c r="H279" s="503">
        <f t="shared" si="60"/>
        <v>2828289.9124930263</v>
      </c>
      <c r="I279" s="506">
        <v>85101.213069544348</v>
      </c>
      <c r="J279" s="348">
        <f>'B) D RI'!U279</f>
        <v>97076.940527577928</v>
      </c>
      <c r="K279" s="62">
        <f t="shared" si="61"/>
        <v>33.234425344580693</v>
      </c>
      <c r="L279" s="33">
        <f>'B) D RI'!S279</f>
        <v>69.5</v>
      </c>
      <c r="M279" s="442">
        <f t="shared" si="55"/>
        <v>36.265574655419307</v>
      </c>
      <c r="N279" s="437">
        <f>+'J) Plafonnement effort'!H278+'J) Plafonnement effort'!I278-'K) Plafonnement aide'!I278</f>
        <v>28.208674244272878</v>
      </c>
      <c r="O279" s="145">
        <f t="shared" si="56"/>
        <v>64.474248899692185</v>
      </c>
      <c r="P279" s="47">
        <f t="shared" si="57"/>
        <v>0</v>
      </c>
      <c r="Q279" s="55">
        <f t="shared" si="63"/>
        <v>0</v>
      </c>
      <c r="R279" s="145">
        <f t="shared" si="58"/>
        <v>64.474248899692185</v>
      </c>
      <c r="S279" s="125">
        <f t="shared" si="59"/>
        <v>-5.025751100307815</v>
      </c>
      <c r="T279" s="144">
        <f t="shared" si="62"/>
        <v>0</v>
      </c>
      <c r="V279" s="12"/>
    </row>
    <row r="280" spans="1:22" x14ac:dyDescent="0.25">
      <c r="A280" s="49">
        <f>'A) Base RI'!A280</f>
        <v>5886</v>
      </c>
      <c r="B280" s="344" t="str">
        <f>'A) Base RI'!B280</f>
        <v>Montreux</v>
      </c>
      <c r="C280" s="505">
        <v>25868085.616110049</v>
      </c>
      <c r="D280" s="505">
        <v>-3096365.6072538905</v>
      </c>
      <c r="E280" s="506">
        <v>0</v>
      </c>
      <c r="F280" s="506">
        <v>0</v>
      </c>
      <c r="G280" s="506">
        <v>0</v>
      </c>
      <c r="H280" s="503">
        <f t="shared" si="60"/>
        <v>22771720.008856159</v>
      </c>
      <c r="I280" s="506">
        <v>1097075.3945128203</v>
      </c>
      <c r="J280" s="348">
        <f>'B) D RI'!U280</f>
        <v>1223405.0430769229</v>
      </c>
      <c r="K280" s="62">
        <f t="shared" si="61"/>
        <v>20.756750286035196</v>
      </c>
      <c r="L280" s="33">
        <f>'B) D RI'!S280</f>
        <v>65</v>
      </c>
      <c r="M280" s="442">
        <f t="shared" si="55"/>
        <v>44.243249713964801</v>
      </c>
      <c r="N280" s="437">
        <f>+'J) Plafonnement effort'!H279+'J) Plafonnement effort'!I279-'K) Plafonnement aide'!I279</f>
        <v>13.099487501189509</v>
      </c>
      <c r="O280" s="145">
        <f t="shared" si="56"/>
        <v>57.342737215154308</v>
      </c>
      <c r="P280" s="47">
        <f t="shared" si="57"/>
        <v>0</v>
      </c>
      <c r="Q280" s="55">
        <f t="shared" si="63"/>
        <v>0</v>
      </c>
      <c r="R280" s="145">
        <f t="shared" si="58"/>
        <v>57.342737215154308</v>
      </c>
      <c r="S280" s="125">
        <f t="shared" si="59"/>
        <v>-7.6572627848456918</v>
      </c>
      <c r="T280" s="144">
        <f t="shared" si="62"/>
        <v>0</v>
      </c>
      <c r="V280" s="12"/>
    </row>
    <row r="281" spans="1:22" x14ac:dyDescent="0.25">
      <c r="A281" s="49">
        <f>'A) Base RI'!A281</f>
        <v>5888</v>
      </c>
      <c r="B281" s="344" t="str">
        <f>'A) Base RI'!B281</f>
        <v>Saint-Légier-La Chiésaz</v>
      </c>
      <c r="C281" s="505">
        <v>6301060.3476765687</v>
      </c>
      <c r="D281" s="505">
        <v>4118563.1230525081</v>
      </c>
      <c r="E281" s="506">
        <v>0</v>
      </c>
      <c r="F281" s="506">
        <v>0</v>
      </c>
      <c r="G281" s="506">
        <v>0</v>
      </c>
      <c r="H281" s="503">
        <f t="shared" si="60"/>
        <v>10419623.470729077</v>
      </c>
      <c r="I281" s="506">
        <v>325586.52158150851</v>
      </c>
      <c r="J281" s="348">
        <f>'B) D RI'!U281</f>
        <v>334017.18953771284</v>
      </c>
      <c r="K281" s="62">
        <f t="shared" si="61"/>
        <v>32.00262535474949</v>
      </c>
      <c r="L281" s="33">
        <f>'B) D RI'!S281</f>
        <v>68.5</v>
      </c>
      <c r="M281" s="442">
        <f t="shared" si="55"/>
        <v>36.49737464525051</v>
      </c>
      <c r="N281" s="437">
        <f>+'J) Plafonnement effort'!H280+'J) Plafonnement effort'!I280-'K) Plafonnement aide'!I280</f>
        <v>27.061895075779098</v>
      </c>
      <c r="O281" s="145">
        <f t="shared" si="56"/>
        <v>63.559269721029608</v>
      </c>
      <c r="P281" s="47">
        <f t="shared" si="57"/>
        <v>0</v>
      </c>
      <c r="Q281" s="55">
        <f t="shared" si="63"/>
        <v>0</v>
      </c>
      <c r="R281" s="145">
        <f t="shared" si="58"/>
        <v>63.559269721029608</v>
      </c>
      <c r="S281" s="125">
        <f t="shared" si="59"/>
        <v>-4.940730278970392</v>
      </c>
      <c r="T281" s="144">
        <f t="shared" si="62"/>
        <v>0</v>
      </c>
      <c r="V281" s="12"/>
    </row>
    <row r="282" spans="1:22" x14ac:dyDescent="0.25">
      <c r="A282" s="49">
        <f>'A) Base RI'!A282</f>
        <v>5889</v>
      </c>
      <c r="B282" s="344" t="str">
        <f>'A) Base RI'!B282</f>
        <v>La Tour-de-Peilz</v>
      </c>
      <c r="C282" s="505">
        <v>12035792.428539131</v>
      </c>
      <c r="D282" s="505">
        <v>6146414.0178690907</v>
      </c>
      <c r="E282" s="506">
        <v>0</v>
      </c>
      <c r="F282" s="506">
        <v>0</v>
      </c>
      <c r="G282" s="506">
        <v>0</v>
      </c>
      <c r="H282" s="503">
        <f t="shared" si="60"/>
        <v>18182206.44640822</v>
      </c>
      <c r="I282" s="506">
        <v>675962.70015625004</v>
      </c>
      <c r="J282" s="348">
        <f>'B) D RI'!U282</f>
        <v>740535.59942708339</v>
      </c>
      <c r="K282" s="62">
        <f t="shared" si="61"/>
        <v>26.898239270015001</v>
      </c>
      <c r="L282" s="33">
        <f>'B) D RI'!S282</f>
        <v>64</v>
      </c>
      <c r="M282" s="442">
        <f t="shared" si="55"/>
        <v>37.101760729985003</v>
      </c>
      <c r="N282" s="437">
        <f>+'J) Plafonnement effort'!H281+'J) Plafonnement effort'!I281-'K) Plafonnement aide'!I281</f>
        <v>24.408045014635952</v>
      </c>
      <c r="O282" s="145">
        <f t="shared" si="56"/>
        <v>61.509805744620955</v>
      </c>
      <c r="P282" s="47">
        <f t="shared" si="57"/>
        <v>0</v>
      </c>
      <c r="Q282" s="55">
        <f t="shared" si="63"/>
        <v>0</v>
      </c>
      <c r="R282" s="145">
        <f t="shared" si="58"/>
        <v>61.509805744620955</v>
      </c>
      <c r="S282" s="125">
        <f t="shared" si="59"/>
        <v>-2.4901942553790448</v>
      </c>
      <c r="T282" s="144">
        <f t="shared" si="62"/>
        <v>0</v>
      </c>
      <c r="V282" s="12"/>
    </row>
    <row r="283" spans="1:22" x14ac:dyDescent="0.25">
      <c r="A283" s="49">
        <f>'A) Base RI'!A283</f>
        <v>5890</v>
      </c>
      <c r="B283" s="344" t="str">
        <f>'A) Base RI'!B283</f>
        <v>Vevey</v>
      </c>
      <c r="C283" s="505">
        <v>15045715.539865054</v>
      </c>
      <c r="D283" s="505">
        <v>-151291.88316666707</v>
      </c>
      <c r="E283" s="506">
        <v>0</v>
      </c>
      <c r="F283" s="506">
        <v>0</v>
      </c>
      <c r="G283" s="506">
        <v>0</v>
      </c>
      <c r="H283" s="503">
        <f t="shared" si="60"/>
        <v>14894423.656698387</v>
      </c>
      <c r="I283" s="506">
        <v>862625.86017897108</v>
      </c>
      <c r="J283" s="348">
        <f>'B) D RI'!U283</f>
        <v>969776.79771812086</v>
      </c>
      <c r="K283" s="62">
        <f t="shared" si="61"/>
        <v>17.266377399824538</v>
      </c>
      <c r="L283" s="33">
        <f>'B) D RI'!S283</f>
        <v>74.5</v>
      </c>
      <c r="M283" s="442">
        <f t="shared" si="55"/>
        <v>57.233622600175465</v>
      </c>
      <c r="N283" s="437">
        <f>+'J) Plafonnement effort'!H282+'J) Plafonnement effort'!I282-'K) Plafonnement aide'!I282</f>
        <v>16.072213825037906</v>
      </c>
      <c r="O283" s="145">
        <f t="shared" si="56"/>
        <v>73.305836425213371</v>
      </c>
      <c r="P283" s="47">
        <f t="shared" si="57"/>
        <v>0</v>
      </c>
      <c r="Q283" s="55">
        <f t="shared" si="63"/>
        <v>0</v>
      </c>
      <c r="R283" s="145">
        <f t="shared" si="58"/>
        <v>73.305836425213371</v>
      </c>
      <c r="S283" s="125">
        <f t="shared" si="59"/>
        <v>-1.1941635747866286</v>
      </c>
      <c r="T283" s="144">
        <f t="shared" si="62"/>
        <v>0</v>
      </c>
      <c r="V283" s="12"/>
    </row>
    <row r="284" spans="1:22" x14ac:dyDescent="0.25">
      <c r="A284" s="49">
        <f>'A) Base RI'!A284</f>
        <v>5891</v>
      </c>
      <c r="B284" s="344" t="str">
        <f>'A) Base RI'!B284</f>
        <v>Veytaux</v>
      </c>
      <c r="C284" s="505">
        <v>751161.79235126975</v>
      </c>
      <c r="D284" s="505">
        <v>683041.96625666879</v>
      </c>
      <c r="E284" s="506">
        <v>0</v>
      </c>
      <c r="F284" s="506">
        <v>0</v>
      </c>
      <c r="G284" s="506">
        <v>0</v>
      </c>
      <c r="H284" s="503">
        <f t="shared" si="60"/>
        <v>1434203.7586079384</v>
      </c>
      <c r="I284" s="506">
        <v>43950.38565947242</v>
      </c>
      <c r="J284" s="348">
        <f>'B) D RI'!U284</f>
        <v>39123.353381294961</v>
      </c>
      <c r="K284" s="62">
        <f t="shared" si="61"/>
        <v>32.632336146493657</v>
      </c>
      <c r="L284" s="33">
        <f>'B) D RI'!S284</f>
        <v>69.5</v>
      </c>
      <c r="M284" s="442">
        <f t="shared" si="55"/>
        <v>36.867663853506343</v>
      </c>
      <c r="N284" s="437">
        <f>+'J) Plafonnement effort'!H283+'J) Plafonnement effort'!I283-'K) Plafonnement aide'!I283</f>
        <v>24.526876793074354</v>
      </c>
      <c r="O284" s="145">
        <f t="shared" si="56"/>
        <v>61.394540646580694</v>
      </c>
      <c r="P284" s="47">
        <f t="shared" si="57"/>
        <v>0</v>
      </c>
      <c r="Q284" s="55">
        <f t="shared" si="63"/>
        <v>0</v>
      </c>
      <c r="R284" s="145">
        <f t="shared" si="58"/>
        <v>61.394540646580694</v>
      </c>
      <c r="S284" s="125">
        <f t="shared" si="59"/>
        <v>-8.105459353419306</v>
      </c>
      <c r="T284" s="144">
        <f t="shared" si="62"/>
        <v>0</v>
      </c>
      <c r="V284" s="12"/>
    </row>
    <row r="285" spans="1:22" x14ac:dyDescent="0.25">
      <c r="A285" s="49">
        <f>'A) Base RI'!A285</f>
        <v>5902</v>
      </c>
      <c r="B285" s="344" t="str">
        <f>'A) Base RI'!B285</f>
        <v>Belmont-sur-Yverdon</v>
      </c>
      <c r="C285" s="505">
        <v>242602.04024673911</v>
      </c>
      <c r="D285" s="505">
        <v>30880.833238174382</v>
      </c>
      <c r="E285" s="506">
        <v>0</v>
      </c>
      <c r="F285" s="506">
        <v>0</v>
      </c>
      <c r="G285" s="506">
        <v>0</v>
      </c>
      <c r="H285" s="503">
        <f t="shared" si="60"/>
        <v>273482.87348491349</v>
      </c>
      <c r="I285" s="506">
        <v>11719.310285714289</v>
      </c>
      <c r="J285" s="348">
        <f>'B) D RI'!U285</f>
        <v>12109.15</v>
      </c>
      <c r="K285" s="62">
        <f t="shared" si="61"/>
        <v>23.336089481160517</v>
      </c>
      <c r="L285" s="33">
        <f>'B) D RI'!S285</f>
        <v>70</v>
      </c>
      <c r="M285" s="442">
        <f t="shared" si="55"/>
        <v>46.663910518839486</v>
      </c>
      <c r="N285" s="437">
        <f>+'J) Plafonnement effort'!H284+'J) Plafonnement effort'!I284-'K) Plafonnement aide'!I284</f>
        <v>13.811543524774804</v>
      </c>
      <c r="O285" s="145">
        <f t="shared" si="56"/>
        <v>60.475454043614292</v>
      </c>
      <c r="P285" s="47">
        <f t="shared" si="57"/>
        <v>0</v>
      </c>
      <c r="Q285" s="55">
        <f t="shared" si="63"/>
        <v>0</v>
      </c>
      <c r="R285" s="145">
        <f t="shared" si="58"/>
        <v>60.475454043614292</v>
      </c>
      <c r="S285" s="125">
        <f t="shared" si="59"/>
        <v>-9.5245459563857082</v>
      </c>
      <c r="T285" s="144">
        <f t="shared" si="62"/>
        <v>0</v>
      </c>
      <c r="V285" s="12"/>
    </row>
    <row r="286" spans="1:22" x14ac:dyDescent="0.25">
      <c r="A286" s="49">
        <f>'A) Base RI'!A286</f>
        <v>5903</v>
      </c>
      <c r="B286" s="344" t="str">
        <f>'A) Base RI'!B286</f>
        <v>Bioley-Magnoux</v>
      </c>
      <c r="C286" s="505">
        <v>78733.747337100765</v>
      </c>
      <c r="D286" s="505">
        <v>-58443.23535806268</v>
      </c>
      <c r="E286" s="506">
        <v>0</v>
      </c>
      <c r="F286" s="506">
        <v>0</v>
      </c>
      <c r="G286" s="506">
        <v>0</v>
      </c>
      <c r="H286" s="503">
        <f t="shared" si="60"/>
        <v>20290.511979038085</v>
      </c>
      <c r="I286" s="506">
        <v>5017.2132738095233</v>
      </c>
      <c r="J286" s="348">
        <f>'B) D RI'!U286</f>
        <v>6059.1993849206356</v>
      </c>
      <c r="K286" s="62">
        <f t="shared" si="61"/>
        <v>4.0441796813695516</v>
      </c>
      <c r="L286" s="33">
        <f>'B) D RI'!S286</f>
        <v>72</v>
      </c>
      <c r="M286" s="442">
        <f t="shared" si="55"/>
        <v>67.955820318630444</v>
      </c>
      <c r="N286" s="437">
        <f>+'J) Plafonnement effort'!H285+'J) Plafonnement effort'!I285-'K) Plafonnement aide'!I285</f>
        <v>8.1582959782130597</v>
      </c>
      <c r="O286" s="145">
        <f t="shared" si="56"/>
        <v>76.114116296843505</v>
      </c>
      <c r="P286" s="47">
        <f t="shared" si="57"/>
        <v>0</v>
      </c>
      <c r="Q286" s="55">
        <f t="shared" si="63"/>
        <v>0</v>
      </c>
      <c r="R286" s="145">
        <f t="shared" si="58"/>
        <v>76.114116296843505</v>
      </c>
      <c r="S286" s="125">
        <f t="shared" si="59"/>
        <v>4.1141162968435054</v>
      </c>
      <c r="T286" s="144">
        <f t="shared" si="62"/>
        <v>0</v>
      </c>
      <c r="V286" s="12"/>
    </row>
    <row r="287" spans="1:22" x14ac:dyDescent="0.25">
      <c r="A287" s="49">
        <f>'A) Base RI'!A287</f>
        <v>5904</v>
      </c>
      <c r="B287" s="344" t="str">
        <f>'A) Base RI'!B287</f>
        <v>Chamblon</v>
      </c>
      <c r="C287" s="505">
        <v>339552.35136317462</v>
      </c>
      <c r="D287" s="505">
        <v>254985.62394930993</v>
      </c>
      <c r="E287" s="506">
        <v>0</v>
      </c>
      <c r="F287" s="506">
        <v>0</v>
      </c>
      <c r="G287" s="506">
        <v>0</v>
      </c>
      <c r="H287" s="503">
        <f t="shared" si="60"/>
        <v>594537.97531248454</v>
      </c>
      <c r="I287" s="506">
        <v>21694.056363636359</v>
      </c>
      <c r="J287" s="348">
        <f>'B) D RI'!U287</f>
        <v>22178.215151515149</v>
      </c>
      <c r="K287" s="62">
        <f t="shared" si="61"/>
        <v>27.405569772052903</v>
      </c>
      <c r="L287" s="33">
        <f>'B) D RI'!S287</f>
        <v>66</v>
      </c>
      <c r="M287" s="442">
        <f t="shared" si="55"/>
        <v>38.5944302279471</v>
      </c>
      <c r="N287" s="437">
        <f>+'J) Plafonnement effort'!H286+'J) Plafonnement effort'!I286-'K) Plafonnement aide'!I286</f>
        <v>23.934041327304286</v>
      </c>
      <c r="O287" s="145">
        <f t="shared" si="56"/>
        <v>62.528471555251386</v>
      </c>
      <c r="P287" s="47">
        <f t="shared" si="57"/>
        <v>0</v>
      </c>
      <c r="Q287" s="55">
        <f t="shared" si="63"/>
        <v>0</v>
      </c>
      <c r="R287" s="145">
        <f t="shared" si="58"/>
        <v>62.528471555251386</v>
      </c>
      <c r="S287" s="125">
        <f t="shared" si="59"/>
        <v>-3.4715284447486141</v>
      </c>
      <c r="T287" s="144">
        <f t="shared" si="62"/>
        <v>0</v>
      </c>
      <c r="V287" s="12"/>
    </row>
    <row r="288" spans="1:22" x14ac:dyDescent="0.25">
      <c r="A288" s="49">
        <f>'A) Base RI'!A288</f>
        <v>5905</v>
      </c>
      <c r="B288" s="344" t="str">
        <f>'A) Base RI'!B288</f>
        <v>Champvent</v>
      </c>
      <c r="C288" s="505">
        <v>364332.95946909348</v>
      </c>
      <c r="D288" s="505">
        <v>89335.815842275275</v>
      </c>
      <c r="E288" s="506">
        <v>0</v>
      </c>
      <c r="F288" s="506">
        <v>0</v>
      </c>
      <c r="G288" s="506">
        <v>0</v>
      </c>
      <c r="H288" s="503">
        <f t="shared" si="60"/>
        <v>453668.77531136875</v>
      </c>
      <c r="I288" s="506">
        <v>21673.362816901412</v>
      </c>
      <c r="J288" s="348">
        <f>'B) D RI'!U288</f>
        <v>23236.229714285717</v>
      </c>
      <c r="K288" s="62">
        <f t="shared" si="61"/>
        <v>20.932089733559337</v>
      </c>
      <c r="L288" s="33">
        <f>'B) D RI'!S288</f>
        <v>70</v>
      </c>
      <c r="M288" s="442">
        <f t="shared" si="55"/>
        <v>49.067910266440663</v>
      </c>
      <c r="N288" s="437">
        <f>+'J) Plafonnement effort'!H287+'J) Plafonnement effort'!I287-'K) Plafonnement aide'!I287</f>
        <v>17.706977473211793</v>
      </c>
      <c r="O288" s="145">
        <f t="shared" si="56"/>
        <v>66.774887739652456</v>
      </c>
      <c r="P288" s="47">
        <f t="shared" si="57"/>
        <v>0</v>
      </c>
      <c r="Q288" s="55">
        <f t="shared" si="63"/>
        <v>0</v>
      </c>
      <c r="R288" s="145">
        <f t="shared" si="58"/>
        <v>66.774887739652456</v>
      </c>
      <c r="S288" s="125">
        <f t="shared" si="59"/>
        <v>-3.2251122603475437</v>
      </c>
      <c r="T288" s="144">
        <f t="shared" si="62"/>
        <v>0</v>
      </c>
      <c r="V288" s="12"/>
    </row>
    <row r="289" spans="1:22" x14ac:dyDescent="0.25">
      <c r="A289" s="49">
        <f>'A) Base RI'!A289</f>
        <v>5907</v>
      </c>
      <c r="B289" s="344" t="str">
        <f>'A) Base RI'!B289</f>
        <v>Chavannes-le-Chêne</v>
      </c>
      <c r="C289" s="505">
        <v>151780.1640321264</v>
      </c>
      <c r="D289" s="505">
        <v>20385.043229006842</v>
      </c>
      <c r="E289" s="506">
        <v>0</v>
      </c>
      <c r="F289" s="506">
        <v>0</v>
      </c>
      <c r="G289" s="506">
        <v>0</v>
      </c>
      <c r="H289" s="503">
        <f t="shared" si="60"/>
        <v>172165.20726113324</v>
      </c>
      <c r="I289" s="506">
        <v>9891.0456000000013</v>
      </c>
      <c r="J289" s="348">
        <f>'B) D RI'!U289</f>
        <v>7818.3477333333331</v>
      </c>
      <c r="K289" s="62">
        <f t="shared" si="61"/>
        <v>17.406168591633346</v>
      </c>
      <c r="L289" s="33">
        <f>'B) D RI'!S289</f>
        <v>75</v>
      </c>
      <c r="M289" s="442">
        <f t="shared" si="55"/>
        <v>57.593831408366654</v>
      </c>
      <c r="N289" s="437">
        <f>+'J) Plafonnement effort'!H288+'J) Plafonnement effort'!I288-'K) Plafonnement aide'!I288</f>
        <v>3.0447502742813728</v>
      </c>
      <c r="O289" s="145">
        <f t="shared" si="56"/>
        <v>60.638581682648024</v>
      </c>
      <c r="P289" s="47">
        <f t="shared" si="57"/>
        <v>0</v>
      </c>
      <c r="Q289" s="55">
        <f t="shared" si="63"/>
        <v>0</v>
      </c>
      <c r="R289" s="145">
        <f t="shared" si="58"/>
        <v>60.638581682648024</v>
      </c>
      <c r="S289" s="125">
        <f t="shared" si="59"/>
        <v>-14.361418317351976</v>
      </c>
      <c r="T289" s="144">
        <f t="shared" si="62"/>
        <v>0</v>
      </c>
      <c r="V289" s="12"/>
    </row>
    <row r="290" spans="1:22" x14ac:dyDescent="0.25">
      <c r="A290" s="49">
        <f>'A) Base RI'!A290</f>
        <v>5908</v>
      </c>
      <c r="B290" s="344" t="str">
        <f>'A) Base RI'!B290</f>
        <v>Chêne-Pâquier</v>
      </c>
      <c r="C290" s="505">
        <v>93572.419313466788</v>
      </c>
      <c r="D290" s="505">
        <v>95894.287763746019</v>
      </c>
      <c r="E290" s="506">
        <v>0</v>
      </c>
      <c r="F290" s="506">
        <v>0</v>
      </c>
      <c r="G290" s="506">
        <v>-69698.252275360763</v>
      </c>
      <c r="H290" s="503">
        <f t="shared" si="60"/>
        <v>119768.45480185204</v>
      </c>
      <c r="I290" s="506">
        <v>6502.4863291139245</v>
      </c>
      <c r="J290" s="348">
        <f>'B) D RI'!U290</f>
        <v>4413.8781012658228</v>
      </c>
      <c r="K290" s="62">
        <f t="shared" si="61"/>
        <v>18.418870681143371</v>
      </c>
      <c r="L290" s="33">
        <f>'B) D RI'!S290</f>
        <v>79</v>
      </c>
      <c r="M290" s="442">
        <f>L290-K290</f>
        <v>60.581129318856625</v>
      </c>
      <c r="N290" s="437">
        <f>+'J) Plafonnement effort'!H289+'J) Plafonnement effort'!I289-'K) Plafonnement aide'!I289</f>
        <v>9.7538362434166537</v>
      </c>
      <c r="O290" s="145">
        <f t="shared" si="56"/>
        <v>70.334965562273283</v>
      </c>
      <c r="P290" s="47">
        <f t="shared" si="57"/>
        <v>0</v>
      </c>
      <c r="Q290" s="55">
        <f t="shared" si="63"/>
        <v>0</v>
      </c>
      <c r="R290" s="145">
        <f t="shared" si="58"/>
        <v>70.334965562273283</v>
      </c>
      <c r="S290" s="125">
        <f t="shared" si="59"/>
        <v>-8.6650344377267174</v>
      </c>
      <c r="T290" s="144">
        <f t="shared" si="62"/>
        <v>0</v>
      </c>
      <c r="V290" s="12"/>
    </row>
    <row r="291" spans="1:22" x14ac:dyDescent="0.25">
      <c r="A291" s="49">
        <f>'A) Base RI'!A291</f>
        <v>5909</v>
      </c>
      <c r="B291" s="344" t="str">
        <f>'A) Base RI'!B291</f>
        <v>Cheseaux-Noréaz</v>
      </c>
      <c r="C291" s="505">
        <v>626244.84764313954</v>
      </c>
      <c r="D291" s="505">
        <v>660483.88852552185</v>
      </c>
      <c r="E291" s="506">
        <v>0</v>
      </c>
      <c r="F291" s="506">
        <v>0</v>
      </c>
      <c r="G291" s="506">
        <v>0</v>
      </c>
      <c r="H291" s="503">
        <f t="shared" si="60"/>
        <v>1286728.7361686614</v>
      </c>
      <c r="I291" s="506">
        <v>39259.116417910453</v>
      </c>
      <c r="J291" s="348">
        <f>'B) D RI'!U291</f>
        <v>36898.573134328355</v>
      </c>
      <c r="K291" s="62">
        <f t="shared" si="61"/>
        <v>32.775285171258751</v>
      </c>
      <c r="L291" s="33">
        <f>'B) D RI'!S291</f>
        <v>67</v>
      </c>
      <c r="M291" s="442">
        <f t="shared" si="55"/>
        <v>34.224714828741249</v>
      </c>
      <c r="N291" s="437">
        <f>+'J) Plafonnement effort'!H290+'J) Plafonnement effort'!I290-'K) Plafonnement aide'!I290</f>
        <v>29.141839971391583</v>
      </c>
      <c r="O291" s="145">
        <f t="shared" si="56"/>
        <v>63.366554800132832</v>
      </c>
      <c r="P291" s="47">
        <f t="shared" si="57"/>
        <v>0</v>
      </c>
      <c r="Q291" s="55">
        <f t="shared" si="63"/>
        <v>0</v>
      </c>
      <c r="R291" s="145">
        <f t="shared" si="58"/>
        <v>63.366554800132832</v>
      </c>
      <c r="S291" s="125">
        <f t="shared" si="59"/>
        <v>-3.6334451998671682</v>
      </c>
      <c r="T291" s="144">
        <f t="shared" si="62"/>
        <v>0</v>
      </c>
      <c r="V291" s="12"/>
    </row>
    <row r="292" spans="1:22" x14ac:dyDescent="0.25">
      <c r="A292" s="49">
        <f>'A) Base RI'!A292</f>
        <v>5910</v>
      </c>
      <c r="B292" s="344" t="str">
        <f>'A) Base RI'!B292</f>
        <v>Cronay</v>
      </c>
      <c r="C292" s="505">
        <v>129626.07510601787</v>
      </c>
      <c r="D292" s="505">
        <v>-70554.801304911962</v>
      </c>
      <c r="E292" s="506">
        <v>0</v>
      </c>
      <c r="F292" s="506">
        <v>0</v>
      </c>
      <c r="G292" s="506">
        <v>0</v>
      </c>
      <c r="H292" s="503">
        <f t="shared" si="60"/>
        <v>59071.273801105912</v>
      </c>
      <c r="I292" s="506">
        <v>9976.0020779220758</v>
      </c>
      <c r="J292" s="348">
        <f>'B) D RI'!U292</f>
        <v>10600.416103896103</v>
      </c>
      <c r="K292" s="62">
        <f t="shared" si="61"/>
        <v>5.9213373593653058</v>
      </c>
      <c r="L292" s="33">
        <f>'B) D RI'!S292</f>
        <v>77</v>
      </c>
      <c r="M292" s="442">
        <f t="shared" ref="M292:M314" si="64">L292-K292</f>
        <v>71.07866264063469</v>
      </c>
      <c r="N292" s="437">
        <f>+'J) Plafonnement effort'!H291+'J) Plafonnement effort'!I291-'K) Plafonnement aide'!I291</f>
        <v>6.3326410748957001</v>
      </c>
      <c r="O292" s="145">
        <f t="shared" si="56"/>
        <v>77.411303715530394</v>
      </c>
      <c r="P292" s="47">
        <f t="shared" si="57"/>
        <v>0</v>
      </c>
      <c r="Q292" s="55">
        <f t="shared" si="63"/>
        <v>0</v>
      </c>
      <c r="R292" s="145">
        <f t="shared" si="58"/>
        <v>77.411303715530394</v>
      </c>
      <c r="S292" s="125">
        <f t="shared" si="59"/>
        <v>0.41130371553039424</v>
      </c>
      <c r="T292" s="144">
        <f t="shared" si="62"/>
        <v>0</v>
      </c>
      <c r="V292" s="12"/>
    </row>
    <row r="293" spans="1:22" x14ac:dyDescent="0.25">
      <c r="A293" s="49">
        <f>'A) Base RI'!A293</f>
        <v>5911</v>
      </c>
      <c r="B293" s="344" t="str">
        <f>'A) Base RI'!B293</f>
        <v>Cuarny</v>
      </c>
      <c r="C293" s="505">
        <v>94755.372810524277</v>
      </c>
      <c r="D293" s="505">
        <v>922.72094209678471</v>
      </c>
      <c r="E293" s="506">
        <v>0</v>
      </c>
      <c r="F293" s="506">
        <v>0</v>
      </c>
      <c r="G293" s="506">
        <v>0</v>
      </c>
      <c r="H293" s="503">
        <f t="shared" si="60"/>
        <v>95678.093752621062</v>
      </c>
      <c r="I293" s="506">
        <v>6939.4670129870128</v>
      </c>
      <c r="J293" s="348">
        <f>'B) D RI'!U293</f>
        <v>7504.0945454545454</v>
      </c>
      <c r="K293" s="62">
        <f t="shared" si="61"/>
        <v>13.787527712656068</v>
      </c>
      <c r="L293" s="33">
        <f>'B) D RI'!S293</f>
        <v>77</v>
      </c>
      <c r="M293" s="442">
        <f t="shared" si="64"/>
        <v>63.212472287343928</v>
      </c>
      <c r="N293" s="437">
        <f>+'J) Plafonnement effort'!H292+'J) Plafonnement effort'!I292-'K) Plafonnement aide'!I292</f>
        <v>13.163306107896974</v>
      </c>
      <c r="O293" s="145">
        <f t="shared" si="56"/>
        <v>76.3757783952409</v>
      </c>
      <c r="P293" s="47">
        <f t="shared" si="57"/>
        <v>0</v>
      </c>
      <c r="Q293" s="55">
        <f t="shared" si="63"/>
        <v>0</v>
      </c>
      <c r="R293" s="145">
        <f t="shared" si="58"/>
        <v>76.3757783952409</v>
      </c>
      <c r="S293" s="125">
        <f t="shared" si="59"/>
        <v>-0.62422160475910005</v>
      </c>
      <c r="T293" s="144">
        <f t="shared" si="62"/>
        <v>0</v>
      </c>
      <c r="V293" s="12"/>
    </row>
    <row r="294" spans="1:22" x14ac:dyDescent="0.25">
      <c r="A294" s="49">
        <f>'A) Base RI'!A294</f>
        <v>5912</v>
      </c>
      <c r="B294" s="344" t="str">
        <f>'A) Base RI'!B294</f>
        <v>Démoret</v>
      </c>
      <c r="C294" s="505">
        <v>66374.548565117904</v>
      </c>
      <c r="D294" s="505">
        <v>-34768.158009718856</v>
      </c>
      <c r="E294" s="506">
        <v>0</v>
      </c>
      <c r="F294" s="506">
        <v>0</v>
      </c>
      <c r="G294" s="506">
        <v>0</v>
      </c>
      <c r="H294" s="503">
        <f t="shared" si="60"/>
        <v>31606.390555399048</v>
      </c>
      <c r="I294" s="506">
        <v>4070.6311111111104</v>
      </c>
      <c r="J294" s="348">
        <f>'B) D RI'!U294</f>
        <v>4722.5551851851851</v>
      </c>
      <c r="K294" s="62">
        <f t="shared" si="61"/>
        <v>7.7644939304686433</v>
      </c>
      <c r="L294" s="33">
        <f>'B) D RI'!S294</f>
        <v>81</v>
      </c>
      <c r="M294" s="442">
        <f t="shared" si="64"/>
        <v>73.235506069531354</v>
      </c>
      <c r="N294" s="437">
        <f>+'J) Plafonnement effort'!H293+'J) Plafonnement effort'!I293-'K) Plafonnement aide'!I293</f>
        <v>8.7972307849690079</v>
      </c>
      <c r="O294" s="145">
        <f t="shared" si="56"/>
        <v>82.032736854500357</v>
      </c>
      <c r="P294" s="47">
        <f t="shared" si="57"/>
        <v>0</v>
      </c>
      <c r="Q294" s="55">
        <f t="shared" si="63"/>
        <v>0</v>
      </c>
      <c r="R294" s="145">
        <f t="shared" si="58"/>
        <v>82.032736854500357</v>
      </c>
      <c r="S294" s="125">
        <f t="shared" si="59"/>
        <v>1.0327368545003566</v>
      </c>
      <c r="T294" s="144">
        <f t="shared" si="62"/>
        <v>0</v>
      </c>
      <c r="V294" s="12"/>
    </row>
    <row r="295" spans="1:22" x14ac:dyDescent="0.25">
      <c r="A295" s="49">
        <f>'A) Base RI'!A295</f>
        <v>5913</v>
      </c>
      <c r="B295" s="344" t="str">
        <f>'A) Base RI'!B295</f>
        <v>Donneloye</v>
      </c>
      <c r="C295" s="505">
        <v>314659.21266525384</v>
      </c>
      <c r="D295" s="505">
        <v>-150500.22085379524</v>
      </c>
      <c r="E295" s="506">
        <v>0</v>
      </c>
      <c r="F295" s="506">
        <v>0</v>
      </c>
      <c r="G295" s="506">
        <v>0</v>
      </c>
      <c r="H295" s="503">
        <f t="shared" si="60"/>
        <v>164158.9918114586</v>
      </c>
      <c r="I295" s="506">
        <v>19880.828493150682</v>
      </c>
      <c r="J295" s="348">
        <f>'B) D RI'!U295</f>
        <v>23893.322465753423</v>
      </c>
      <c r="K295" s="62">
        <f t="shared" si="61"/>
        <v>8.2571504436052283</v>
      </c>
      <c r="L295" s="33">
        <f>'B) D RI'!S295</f>
        <v>73</v>
      </c>
      <c r="M295" s="442">
        <f t="shared" si="64"/>
        <v>64.742849556394773</v>
      </c>
      <c r="N295" s="437">
        <f>+'J) Plafonnement effort'!H294+'J) Plafonnement effort'!I294-'K) Plafonnement aide'!I294</f>
        <v>9.1896902057667003</v>
      </c>
      <c r="O295" s="145">
        <f t="shared" si="56"/>
        <v>73.932539762161468</v>
      </c>
      <c r="P295" s="47">
        <f t="shared" si="57"/>
        <v>0</v>
      </c>
      <c r="Q295" s="55">
        <f t="shared" si="63"/>
        <v>0</v>
      </c>
      <c r="R295" s="145">
        <f t="shared" si="58"/>
        <v>73.932539762161468</v>
      </c>
      <c r="S295" s="125">
        <f t="shared" si="59"/>
        <v>0.93253976216146839</v>
      </c>
      <c r="T295" s="144">
        <f t="shared" si="62"/>
        <v>0</v>
      </c>
      <c r="V295" s="12"/>
    </row>
    <row r="296" spans="1:22" x14ac:dyDescent="0.25">
      <c r="A296" s="49">
        <f>'A) Base RI'!A296</f>
        <v>5914</v>
      </c>
      <c r="B296" s="344" t="str">
        <f>'A) Base RI'!B296</f>
        <v>Ependes</v>
      </c>
      <c r="C296" s="505">
        <v>168335.05447723976</v>
      </c>
      <c r="D296" s="505">
        <v>-17772.715649390128</v>
      </c>
      <c r="E296" s="506">
        <v>0</v>
      </c>
      <c r="F296" s="506">
        <v>0</v>
      </c>
      <c r="G296" s="506">
        <v>0</v>
      </c>
      <c r="H296" s="503">
        <f t="shared" si="60"/>
        <v>150562.33882784963</v>
      </c>
      <c r="I296" s="506">
        <v>10662.074965986394</v>
      </c>
      <c r="J296" s="348">
        <f>'B) D RI'!U296</f>
        <v>9829.5133333333324</v>
      </c>
      <c r="K296" s="62">
        <f t="shared" si="61"/>
        <v>14.121298087676733</v>
      </c>
      <c r="L296" s="33">
        <f>'B) D RI'!S296</f>
        <v>73.5</v>
      </c>
      <c r="M296" s="442">
        <f t="shared" si="64"/>
        <v>59.378701912323265</v>
      </c>
      <c r="N296" s="437">
        <f>+'J) Plafonnement effort'!H295+'J) Plafonnement effort'!I295-'K) Plafonnement aide'!I295</f>
        <v>7.2332007388960848</v>
      </c>
      <c r="O296" s="145">
        <f t="shared" si="56"/>
        <v>66.611902651219353</v>
      </c>
      <c r="P296" s="47">
        <f t="shared" si="57"/>
        <v>0</v>
      </c>
      <c r="Q296" s="55">
        <f t="shared" si="63"/>
        <v>0</v>
      </c>
      <c r="R296" s="145">
        <f t="shared" si="58"/>
        <v>66.611902651219353</v>
      </c>
      <c r="S296" s="125">
        <f t="shared" si="59"/>
        <v>-6.8880973487806472</v>
      </c>
      <c r="T296" s="144">
        <f t="shared" si="62"/>
        <v>0</v>
      </c>
      <c r="V296" s="12"/>
    </row>
    <row r="297" spans="1:22" x14ac:dyDescent="0.25">
      <c r="A297" s="49">
        <f>'A) Base RI'!A297</f>
        <v>5919</v>
      </c>
      <c r="B297" s="344" t="str">
        <f>'A) Base RI'!B297</f>
        <v>Mathod</v>
      </c>
      <c r="C297" s="505">
        <v>427878.91099790309</v>
      </c>
      <c r="D297" s="505">
        <v>128892.08864768379</v>
      </c>
      <c r="E297" s="506">
        <v>0</v>
      </c>
      <c r="F297" s="506">
        <v>0</v>
      </c>
      <c r="G297" s="506">
        <v>0</v>
      </c>
      <c r="H297" s="503">
        <f t="shared" si="60"/>
        <v>556770.99964558682</v>
      </c>
      <c r="I297" s="506">
        <v>21565.598078703704</v>
      </c>
      <c r="J297" s="348">
        <f>'B) D RI'!U297</f>
        <v>18684.885972222222</v>
      </c>
      <c r="K297" s="62">
        <f t="shared" si="61"/>
        <v>25.817554310974806</v>
      </c>
      <c r="L297" s="33">
        <f>'B) D RI'!S297</f>
        <v>72</v>
      </c>
      <c r="M297" s="442">
        <f t="shared" si="64"/>
        <v>46.182445689025194</v>
      </c>
      <c r="N297" s="437">
        <f>+'J) Plafonnement effort'!H296+'J) Plafonnement effort'!I296-'K) Plafonnement aide'!I296</f>
        <v>12.178907671284035</v>
      </c>
      <c r="O297" s="145">
        <f t="shared" si="56"/>
        <v>58.361353360309231</v>
      </c>
      <c r="P297" s="47">
        <f t="shared" si="57"/>
        <v>0</v>
      </c>
      <c r="Q297" s="55">
        <f t="shared" si="63"/>
        <v>0</v>
      </c>
      <c r="R297" s="145">
        <f t="shared" si="58"/>
        <v>58.361353360309231</v>
      </c>
      <c r="S297" s="125">
        <f t="shared" si="59"/>
        <v>-13.638646639690769</v>
      </c>
      <c r="T297" s="144">
        <f t="shared" si="62"/>
        <v>0</v>
      </c>
      <c r="V297" s="12"/>
    </row>
    <row r="298" spans="1:22" x14ac:dyDescent="0.25">
      <c r="A298" s="49">
        <f>'A) Base RI'!A298</f>
        <v>5921</v>
      </c>
      <c r="B298" s="344" t="str">
        <f>'A) Base RI'!B298</f>
        <v>Molondin</v>
      </c>
      <c r="C298" s="505">
        <v>88629.57022573243</v>
      </c>
      <c r="D298" s="505">
        <v>-92593.464561905159</v>
      </c>
      <c r="E298" s="506">
        <v>0</v>
      </c>
      <c r="F298" s="506">
        <v>0</v>
      </c>
      <c r="G298" s="506">
        <v>0</v>
      </c>
      <c r="H298" s="503">
        <f t="shared" si="60"/>
        <v>-3963.8943361727288</v>
      </c>
      <c r="I298" s="506">
        <v>5675.8933333333334</v>
      </c>
      <c r="J298" s="348">
        <f>'B) D RI'!U298</f>
        <v>5874.9966666666678</v>
      </c>
      <c r="K298" s="62">
        <f t="shared" si="61"/>
        <v>-0.69837364858384621</v>
      </c>
      <c r="L298" s="33">
        <f>'B) D RI'!S298</f>
        <v>81</v>
      </c>
      <c r="M298" s="442">
        <f t="shared" si="64"/>
        <v>81.698373648583839</v>
      </c>
      <c r="N298" s="437">
        <f>+'J) Plafonnement effort'!H297+'J) Plafonnement effort'!I297-'K) Plafonnement aide'!I297</f>
        <v>0.49342614552583786</v>
      </c>
      <c r="O298" s="145">
        <f t="shared" si="56"/>
        <v>82.19179979410967</v>
      </c>
      <c r="P298" s="47">
        <f t="shared" si="57"/>
        <v>0</v>
      </c>
      <c r="Q298" s="55">
        <f t="shared" si="63"/>
        <v>0</v>
      </c>
      <c r="R298" s="145">
        <f t="shared" si="58"/>
        <v>82.19179979410967</v>
      </c>
      <c r="S298" s="125">
        <f t="shared" si="59"/>
        <v>1.1917997941096701</v>
      </c>
      <c r="T298" s="144">
        <f t="shared" si="62"/>
        <v>0</v>
      </c>
      <c r="V298" s="12"/>
    </row>
    <row r="299" spans="1:22" x14ac:dyDescent="0.25">
      <c r="A299" s="49">
        <f>'A) Base RI'!A299</f>
        <v>5922</v>
      </c>
      <c r="B299" s="344" t="str">
        <f>'A) Base RI'!B299</f>
        <v>Montagny-près-Yverdon</v>
      </c>
      <c r="C299" s="505">
        <v>595611.29743304325</v>
      </c>
      <c r="D299" s="505">
        <v>512108.23649593937</v>
      </c>
      <c r="E299" s="506">
        <v>0</v>
      </c>
      <c r="F299" s="506">
        <v>0</v>
      </c>
      <c r="G299" s="506">
        <v>0</v>
      </c>
      <c r="H299" s="503">
        <f t="shared" si="60"/>
        <v>1107719.5339289827</v>
      </c>
      <c r="I299" s="506">
        <v>33326.398149606292</v>
      </c>
      <c r="J299" s="348">
        <f>'B) D RI'!U299</f>
        <v>39614.024961240313</v>
      </c>
      <c r="K299" s="62">
        <f t="shared" si="61"/>
        <v>33.238501471304929</v>
      </c>
      <c r="L299" s="33">
        <f>'B) D RI'!S299</f>
        <v>64.5</v>
      </c>
      <c r="M299" s="442">
        <f t="shared" si="64"/>
        <v>31.261498528695071</v>
      </c>
      <c r="N299" s="437">
        <f>+'J) Plafonnement effort'!H298+'J) Plafonnement effort'!I298-'K) Plafonnement aide'!I298</f>
        <v>29.243943473789408</v>
      </c>
      <c r="O299" s="145">
        <f t="shared" si="56"/>
        <v>60.505442002484479</v>
      </c>
      <c r="P299" s="47">
        <f t="shared" si="57"/>
        <v>0</v>
      </c>
      <c r="Q299" s="55">
        <f t="shared" si="63"/>
        <v>0</v>
      </c>
      <c r="R299" s="145">
        <f t="shared" si="58"/>
        <v>60.505442002484479</v>
      </c>
      <c r="S299" s="125">
        <f t="shared" si="59"/>
        <v>-3.9945579975155212</v>
      </c>
      <c r="T299" s="144">
        <f t="shared" si="62"/>
        <v>0</v>
      </c>
      <c r="V299" s="12"/>
    </row>
    <row r="300" spans="1:22" x14ac:dyDescent="0.25">
      <c r="A300" s="49">
        <f>'A) Base RI'!A300</f>
        <v>5923</v>
      </c>
      <c r="B300" s="344" t="str">
        <f>'A) Base RI'!B300</f>
        <v>Oppens</v>
      </c>
      <c r="C300" s="505">
        <v>80930.517195535154</v>
      </c>
      <c r="D300" s="505">
        <v>-61480.008228410006</v>
      </c>
      <c r="E300" s="506">
        <v>0</v>
      </c>
      <c r="F300" s="506">
        <v>0</v>
      </c>
      <c r="G300" s="506">
        <v>0</v>
      </c>
      <c r="H300" s="503">
        <f t="shared" si="60"/>
        <v>19450.508967125148</v>
      </c>
      <c r="I300" s="506">
        <v>4799.240617283951</v>
      </c>
      <c r="J300" s="348">
        <f>'B) D RI'!U300</f>
        <v>5094.8359259259259</v>
      </c>
      <c r="K300" s="62">
        <f t="shared" si="61"/>
        <v>4.0528305451233733</v>
      </c>
      <c r="L300" s="33">
        <f>'B) D RI'!S300</f>
        <v>81</v>
      </c>
      <c r="M300" s="442">
        <f t="shared" si="64"/>
        <v>76.947169454876629</v>
      </c>
      <c r="N300" s="437">
        <f>+'J) Plafonnement effort'!H299+'J) Plafonnement effort'!I299-'K) Plafonnement aide'!I299</f>
        <v>2.2077147501429772</v>
      </c>
      <c r="O300" s="145">
        <f t="shared" si="56"/>
        <v>79.154884205019613</v>
      </c>
      <c r="P300" s="47">
        <f t="shared" si="57"/>
        <v>0</v>
      </c>
      <c r="Q300" s="55">
        <f t="shared" si="63"/>
        <v>0</v>
      </c>
      <c r="R300" s="145">
        <f t="shared" si="58"/>
        <v>79.154884205019613</v>
      </c>
      <c r="S300" s="125">
        <f t="shared" si="59"/>
        <v>-1.8451157949803871</v>
      </c>
      <c r="T300" s="144">
        <f t="shared" si="62"/>
        <v>0</v>
      </c>
      <c r="V300" s="12"/>
    </row>
    <row r="301" spans="1:22" x14ac:dyDescent="0.25">
      <c r="A301" s="49">
        <f>'A) Base RI'!A301</f>
        <v>5924</v>
      </c>
      <c r="B301" s="344" t="str">
        <f>'A) Base RI'!B301</f>
        <v>Orges</v>
      </c>
      <c r="C301" s="505">
        <v>258680.33439885534</v>
      </c>
      <c r="D301" s="505">
        <v>109701.33607252175</v>
      </c>
      <c r="E301" s="506">
        <v>0</v>
      </c>
      <c r="F301" s="506">
        <v>0</v>
      </c>
      <c r="G301" s="506">
        <v>0</v>
      </c>
      <c r="H301" s="503">
        <f t="shared" si="60"/>
        <v>368381.67047137709</v>
      </c>
      <c r="I301" s="506">
        <v>12525.425270270271</v>
      </c>
      <c r="J301" s="348">
        <f>'B) D RI'!U301</f>
        <v>13110.169864864867</v>
      </c>
      <c r="K301" s="62">
        <f t="shared" si="61"/>
        <v>29.410711614379242</v>
      </c>
      <c r="L301" s="33">
        <f>'B) D RI'!S301</f>
        <v>74</v>
      </c>
      <c r="M301" s="442">
        <f t="shared" si="64"/>
        <v>44.589288385620762</v>
      </c>
      <c r="N301" s="437">
        <f>+'J) Plafonnement effort'!H300+'J) Plafonnement effort'!I300-'K) Plafonnement aide'!I300</f>
        <v>19.730361386531506</v>
      </c>
      <c r="O301" s="145">
        <f t="shared" si="56"/>
        <v>64.319649772152275</v>
      </c>
      <c r="P301" s="47">
        <f t="shared" si="57"/>
        <v>0</v>
      </c>
      <c r="Q301" s="55">
        <f t="shared" si="63"/>
        <v>0</v>
      </c>
      <c r="R301" s="145">
        <f t="shared" si="58"/>
        <v>64.319649772152275</v>
      </c>
      <c r="S301" s="125">
        <f t="shared" si="59"/>
        <v>-9.6803502278477254</v>
      </c>
      <c r="T301" s="144">
        <f t="shared" si="62"/>
        <v>0</v>
      </c>
      <c r="V301" s="12"/>
    </row>
    <row r="302" spans="1:22" x14ac:dyDescent="0.25">
      <c r="A302" s="49">
        <f>'A) Base RI'!A302</f>
        <v>5925</v>
      </c>
      <c r="B302" s="344" t="str">
        <f>'A) Base RI'!B302</f>
        <v>Orzens</v>
      </c>
      <c r="C302" s="505">
        <v>147916.48274931667</v>
      </c>
      <c r="D302" s="505">
        <v>-7461.9568638282944</v>
      </c>
      <c r="E302" s="506">
        <v>0</v>
      </c>
      <c r="F302" s="506">
        <v>0</v>
      </c>
      <c r="G302" s="506">
        <v>0</v>
      </c>
      <c r="H302" s="503">
        <f t="shared" si="60"/>
        <v>140454.52588548837</v>
      </c>
      <c r="I302" s="506">
        <v>5879.4616455696196</v>
      </c>
      <c r="J302" s="348">
        <f>'B) D RI'!U302</f>
        <v>5230.5868354430377</v>
      </c>
      <c r="K302" s="62">
        <f t="shared" si="61"/>
        <v>23.889011333431487</v>
      </c>
      <c r="L302" s="33">
        <f>'B) D RI'!S302</f>
        <v>79</v>
      </c>
      <c r="M302" s="442">
        <f t="shared" si="64"/>
        <v>55.110988666568517</v>
      </c>
      <c r="N302" s="437">
        <f>+'J) Plafonnement effort'!H301+'J) Plafonnement effort'!I301-'K) Plafonnement aide'!I301</f>
        <v>4.4820428458006099</v>
      </c>
      <c r="O302" s="145">
        <f t="shared" si="56"/>
        <v>59.593031512369123</v>
      </c>
      <c r="P302" s="47">
        <f t="shared" si="57"/>
        <v>0</v>
      </c>
      <c r="Q302" s="55">
        <f t="shared" si="63"/>
        <v>0</v>
      </c>
      <c r="R302" s="145">
        <f t="shared" si="58"/>
        <v>59.593031512369123</v>
      </c>
      <c r="S302" s="125">
        <f t="shared" si="59"/>
        <v>-19.406968487630877</v>
      </c>
      <c r="T302" s="144">
        <f t="shared" si="62"/>
        <v>0</v>
      </c>
      <c r="V302" s="12"/>
    </row>
    <row r="303" spans="1:22" x14ac:dyDescent="0.25">
      <c r="A303" s="49">
        <f>'A) Base RI'!A303</f>
        <v>5926</v>
      </c>
      <c r="B303" s="344" t="str">
        <f>'A) Base RI'!B303</f>
        <v>Pomy</v>
      </c>
      <c r="C303" s="505">
        <v>458630.83439351013</v>
      </c>
      <c r="D303" s="505">
        <v>195942.91969142616</v>
      </c>
      <c r="E303" s="506">
        <v>0</v>
      </c>
      <c r="F303" s="506">
        <v>0</v>
      </c>
      <c r="G303" s="506">
        <v>0</v>
      </c>
      <c r="H303" s="503">
        <f t="shared" si="60"/>
        <v>654573.75408493634</v>
      </c>
      <c r="I303" s="506">
        <v>27363.186197183099</v>
      </c>
      <c r="J303" s="348">
        <f>'B) D RI'!U303</f>
        <v>27875.103943661972</v>
      </c>
      <c r="K303" s="62">
        <f t="shared" si="61"/>
        <v>23.921693525307422</v>
      </c>
      <c r="L303" s="33">
        <f>'B) D RI'!S303</f>
        <v>71</v>
      </c>
      <c r="M303" s="442">
        <f t="shared" si="64"/>
        <v>47.078306474692582</v>
      </c>
      <c r="N303" s="437">
        <f>+'J) Plafonnement effort'!H302+'J) Plafonnement effort'!I302-'K) Plafonnement aide'!I302</f>
        <v>18.07161711532699</v>
      </c>
      <c r="O303" s="145">
        <f t="shared" si="56"/>
        <v>65.149923590019569</v>
      </c>
      <c r="P303" s="47">
        <f t="shared" si="57"/>
        <v>0</v>
      </c>
      <c r="Q303" s="55">
        <f t="shared" si="63"/>
        <v>0</v>
      </c>
      <c r="R303" s="145">
        <f t="shared" si="58"/>
        <v>65.149923590019569</v>
      </c>
      <c r="S303" s="125">
        <f t="shared" si="59"/>
        <v>-5.8500764099804314</v>
      </c>
      <c r="T303" s="144">
        <f t="shared" si="62"/>
        <v>0</v>
      </c>
      <c r="V303" s="12"/>
    </row>
    <row r="304" spans="1:22" x14ac:dyDescent="0.25">
      <c r="A304" s="49">
        <f>'A) Base RI'!A304</f>
        <v>5928</v>
      </c>
      <c r="B304" s="344" t="str">
        <f>'A) Base RI'!B304</f>
        <v>Rovray</v>
      </c>
      <c r="C304" s="505">
        <v>79151.613067974205</v>
      </c>
      <c r="D304" s="505">
        <v>-6116.9282869371673</v>
      </c>
      <c r="E304" s="506">
        <v>0</v>
      </c>
      <c r="F304" s="506">
        <v>0</v>
      </c>
      <c r="G304" s="506">
        <v>0</v>
      </c>
      <c r="H304" s="503">
        <f t="shared" si="60"/>
        <v>73034.684781037038</v>
      </c>
      <c r="I304" s="506">
        <v>5563.4060139860139</v>
      </c>
      <c r="J304" s="348">
        <f>'B) D RI'!U304</f>
        <v>5459.4606993006983</v>
      </c>
      <c r="K304" s="62">
        <f t="shared" si="61"/>
        <v>13.127692747470334</v>
      </c>
      <c r="L304" s="33">
        <f>'B) D RI'!S304</f>
        <v>71.5</v>
      </c>
      <c r="M304" s="442">
        <f t="shared" si="64"/>
        <v>58.372307252529666</v>
      </c>
      <c r="N304" s="437">
        <f>+'J) Plafonnement effort'!H303+'J) Plafonnement effort'!I303-'K) Plafonnement aide'!I303</f>
        <v>9.3954110491466238</v>
      </c>
      <c r="O304" s="145">
        <f t="shared" si="56"/>
        <v>67.767718301676297</v>
      </c>
      <c r="P304" s="47">
        <f t="shared" si="57"/>
        <v>0</v>
      </c>
      <c r="Q304" s="55">
        <f t="shared" si="63"/>
        <v>0</v>
      </c>
      <c r="R304" s="145">
        <f t="shared" si="58"/>
        <v>67.767718301676297</v>
      </c>
      <c r="S304" s="125">
        <f t="shared" si="59"/>
        <v>-3.7322816983237033</v>
      </c>
      <c r="T304" s="144">
        <f t="shared" si="62"/>
        <v>0</v>
      </c>
      <c r="V304" s="12"/>
    </row>
    <row r="305" spans="1:22" x14ac:dyDescent="0.25">
      <c r="A305" s="49">
        <f>'A) Base RI'!A305</f>
        <v>5929</v>
      </c>
      <c r="B305" s="344" t="str">
        <f>'A) Base RI'!B305</f>
        <v>Suchy</v>
      </c>
      <c r="C305" s="505">
        <v>315889.4733925421</v>
      </c>
      <c r="D305" s="505">
        <v>67213.2020961651</v>
      </c>
      <c r="E305" s="506">
        <v>0</v>
      </c>
      <c r="F305" s="506">
        <v>0</v>
      </c>
      <c r="G305" s="506">
        <v>0</v>
      </c>
      <c r="H305" s="503">
        <f t="shared" si="60"/>
        <v>383102.6754887072</v>
      </c>
      <c r="I305" s="506">
        <v>19827.403178571429</v>
      </c>
      <c r="J305" s="348">
        <f>'B) D RI'!U305</f>
        <v>20266.988392857143</v>
      </c>
      <c r="K305" s="62">
        <f t="shared" si="61"/>
        <v>19.321878515223187</v>
      </c>
      <c r="L305" s="33">
        <f>'B) D RI'!S305</f>
        <v>70</v>
      </c>
      <c r="M305" s="442">
        <f t="shared" si="64"/>
        <v>50.67812148477681</v>
      </c>
      <c r="N305" s="437">
        <f>+'J) Plafonnement effort'!H304+'J) Plafonnement effort'!I304-'K) Plafonnement aide'!I304</f>
        <v>15.854555903382693</v>
      </c>
      <c r="O305" s="145">
        <f t="shared" si="56"/>
        <v>66.532677388159499</v>
      </c>
      <c r="P305" s="47">
        <f t="shared" si="57"/>
        <v>0</v>
      </c>
      <c r="Q305" s="55">
        <f t="shared" si="63"/>
        <v>0</v>
      </c>
      <c r="R305" s="145">
        <f t="shared" si="58"/>
        <v>66.532677388159499</v>
      </c>
      <c r="S305" s="125">
        <f t="shared" si="59"/>
        <v>-3.4673226118405012</v>
      </c>
      <c r="T305" s="144">
        <f t="shared" si="62"/>
        <v>0</v>
      </c>
      <c r="V305" s="12"/>
    </row>
    <row r="306" spans="1:22" x14ac:dyDescent="0.25">
      <c r="A306" s="49">
        <f>'A) Base RI'!A306</f>
        <v>5930</v>
      </c>
      <c r="B306" s="344" t="str">
        <f>'A) Base RI'!B306</f>
        <v>Suscévaz</v>
      </c>
      <c r="C306" s="505">
        <v>80463.100363701786</v>
      </c>
      <c r="D306" s="505">
        <v>878.10114950606658</v>
      </c>
      <c r="E306" s="506">
        <v>0</v>
      </c>
      <c r="F306" s="506">
        <v>0</v>
      </c>
      <c r="G306" s="506">
        <v>0</v>
      </c>
      <c r="H306" s="503">
        <f t="shared" si="60"/>
        <v>81341.201513207852</v>
      </c>
      <c r="I306" s="506">
        <v>5769.1548611111102</v>
      </c>
      <c r="J306" s="348">
        <f>'B) D RI'!U306</f>
        <v>6661.8138888888889</v>
      </c>
      <c r="K306" s="62">
        <f t="shared" si="61"/>
        <v>14.099327106213604</v>
      </c>
      <c r="L306" s="33">
        <f>'B) D RI'!S306</f>
        <v>72</v>
      </c>
      <c r="M306" s="442">
        <f t="shared" si="64"/>
        <v>57.900672893786393</v>
      </c>
      <c r="N306" s="437">
        <f>+'J) Plafonnement effort'!H305+'J) Plafonnement effort'!I305-'K) Plafonnement aide'!I305</f>
        <v>15.316950037433042</v>
      </c>
      <c r="O306" s="145">
        <f t="shared" si="56"/>
        <v>73.217622931219438</v>
      </c>
      <c r="P306" s="47">
        <f t="shared" si="57"/>
        <v>0</v>
      </c>
      <c r="Q306" s="55">
        <f t="shared" si="63"/>
        <v>0</v>
      </c>
      <c r="R306" s="145">
        <f t="shared" si="58"/>
        <v>73.217622931219438</v>
      </c>
      <c r="S306" s="125">
        <f t="shared" si="59"/>
        <v>1.217622931219438</v>
      </c>
      <c r="T306" s="144">
        <f t="shared" si="62"/>
        <v>0</v>
      </c>
      <c r="V306" s="12"/>
    </row>
    <row r="307" spans="1:22" x14ac:dyDescent="0.25">
      <c r="A307" s="49">
        <f>'A) Base RI'!A307</f>
        <v>5931</v>
      </c>
      <c r="B307" s="344" t="str">
        <f>'A) Base RI'!B307</f>
        <v>Treycovagnes</v>
      </c>
      <c r="C307" s="505">
        <v>255631.51899390438</v>
      </c>
      <c r="D307" s="505">
        <v>54617.373968322441</v>
      </c>
      <c r="E307" s="506">
        <v>0</v>
      </c>
      <c r="F307" s="506">
        <v>0</v>
      </c>
      <c r="G307" s="506">
        <v>0</v>
      </c>
      <c r="H307" s="503">
        <f t="shared" si="60"/>
        <v>310248.89296222682</v>
      </c>
      <c r="I307" s="506">
        <v>15383.603066666663</v>
      </c>
      <c r="J307" s="348">
        <f>'B) D RI'!U307</f>
        <v>15271.093466666664</v>
      </c>
      <c r="K307" s="62">
        <f t="shared" si="61"/>
        <v>20.167505077823872</v>
      </c>
      <c r="L307" s="33">
        <f>'B) D RI'!S307</f>
        <v>75</v>
      </c>
      <c r="M307" s="442">
        <f t="shared" si="64"/>
        <v>54.832494922176124</v>
      </c>
      <c r="N307" s="437">
        <f>+'J) Plafonnement effort'!H306+'J) Plafonnement effort'!I306-'K) Plafonnement aide'!I306</f>
        <v>14.551403317795499</v>
      </c>
      <c r="O307" s="145">
        <f t="shared" si="56"/>
        <v>69.383898239971629</v>
      </c>
      <c r="P307" s="47">
        <f t="shared" si="57"/>
        <v>0</v>
      </c>
      <c r="Q307" s="55">
        <f t="shared" si="63"/>
        <v>0</v>
      </c>
      <c r="R307" s="145">
        <f t="shared" si="58"/>
        <v>69.383898239971629</v>
      </c>
      <c r="S307" s="125">
        <f t="shared" si="59"/>
        <v>-5.6161017600283714</v>
      </c>
      <c r="T307" s="144">
        <f t="shared" si="62"/>
        <v>0</v>
      </c>
      <c r="V307" s="12"/>
    </row>
    <row r="308" spans="1:22" x14ac:dyDescent="0.25">
      <c r="A308" s="49">
        <f>'A) Base RI'!A308</f>
        <v>5932</v>
      </c>
      <c r="B308" s="344" t="str">
        <f>'A) Base RI'!B308</f>
        <v>Ursins</v>
      </c>
      <c r="C308" s="505">
        <v>92132.458824076617</v>
      </c>
      <c r="D308" s="505">
        <v>-3648.2918458128843</v>
      </c>
      <c r="E308" s="506">
        <v>0</v>
      </c>
      <c r="F308" s="506">
        <v>0</v>
      </c>
      <c r="G308" s="506">
        <v>0</v>
      </c>
      <c r="H308" s="503">
        <f t="shared" si="60"/>
        <v>88484.166978263733</v>
      </c>
      <c r="I308" s="506">
        <v>6819.4023999999999</v>
      </c>
      <c r="J308" s="348">
        <f>'B) D RI'!U308</f>
        <v>7703.3244000000022</v>
      </c>
      <c r="K308" s="62">
        <f t="shared" si="61"/>
        <v>12.975354992728356</v>
      </c>
      <c r="L308" s="33">
        <f>'B) D RI'!S308</f>
        <v>75</v>
      </c>
      <c r="M308" s="442">
        <f t="shared" si="64"/>
        <v>62.024645007271644</v>
      </c>
      <c r="N308" s="437">
        <f>+'J) Plafonnement effort'!H307+'J) Plafonnement effort'!I307-'K) Plafonnement aide'!I307</f>
        <v>17.572019080516828</v>
      </c>
      <c r="O308" s="145">
        <f t="shared" si="56"/>
        <v>79.596664087788469</v>
      </c>
      <c r="P308" s="47">
        <f t="shared" si="57"/>
        <v>0</v>
      </c>
      <c r="Q308" s="55">
        <f t="shared" si="63"/>
        <v>0</v>
      </c>
      <c r="R308" s="145">
        <f t="shared" si="58"/>
        <v>79.596664087788469</v>
      </c>
      <c r="S308" s="125">
        <f t="shared" si="59"/>
        <v>4.5966640877884686</v>
      </c>
      <c r="T308" s="144">
        <f t="shared" si="62"/>
        <v>0</v>
      </c>
      <c r="V308" s="12"/>
    </row>
    <row r="309" spans="1:22" x14ac:dyDescent="0.25">
      <c r="A309" s="49">
        <f>'A) Base RI'!A309</f>
        <v>5933</v>
      </c>
      <c r="B309" s="344" t="str">
        <f>'A) Base RI'!B309</f>
        <v>Valeyres-sous-Montagny</v>
      </c>
      <c r="C309" s="505">
        <v>341788.30535290408</v>
      </c>
      <c r="D309" s="505">
        <v>108334.49224911636</v>
      </c>
      <c r="E309" s="506">
        <v>0</v>
      </c>
      <c r="F309" s="506">
        <v>0</v>
      </c>
      <c r="G309" s="506">
        <v>0</v>
      </c>
      <c r="H309" s="503">
        <f t="shared" si="60"/>
        <v>450122.79760202044</v>
      </c>
      <c r="I309" s="506">
        <v>22572.377872340428</v>
      </c>
      <c r="J309" s="348">
        <f>'B) D RI'!U309</f>
        <v>19607.073049645387</v>
      </c>
      <c r="K309" s="62">
        <f t="shared" si="61"/>
        <v>19.941310576480671</v>
      </c>
      <c r="L309" s="33">
        <f>'B) D RI'!S309</f>
        <v>70.5</v>
      </c>
      <c r="M309" s="442">
        <f t="shared" si="64"/>
        <v>50.558689423519326</v>
      </c>
      <c r="N309" s="437">
        <f>+'J) Plafonnement effort'!H308+'J) Plafonnement effort'!I308-'K) Plafonnement aide'!I308</f>
        <v>12.238739144771849</v>
      </c>
      <c r="O309" s="145">
        <f t="shared" si="56"/>
        <v>62.797428568291174</v>
      </c>
      <c r="P309" s="47">
        <f t="shared" si="57"/>
        <v>0</v>
      </c>
      <c r="Q309" s="55">
        <f t="shared" si="63"/>
        <v>0</v>
      </c>
      <c r="R309" s="145">
        <f t="shared" si="58"/>
        <v>62.797428568291174</v>
      </c>
      <c r="S309" s="125">
        <f t="shared" si="59"/>
        <v>-7.7025714317088259</v>
      </c>
      <c r="T309" s="144">
        <f t="shared" si="62"/>
        <v>0</v>
      </c>
      <c r="V309" s="12"/>
    </row>
    <row r="310" spans="1:22" x14ac:dyDescent="0.25">
      <c r="A310" s="49">
        <f>'A) Base RI'!A310</f>
        <v>5934</v>
      </c>
      <c r="B310" s="344" t="str">
        <f>'A) Base RI'!B310</f>
        <v>Valeyres-sous-Ursins</v>
      </c>
      <c r="C310" s="505">
        <v>120246.27005516621</v>
      </c>
      <c r="D310" s="505">
        <v>14386.855299966803</v>
      </c>
      <c r="E310" s="506">
        <v>0</v>
      </c>
      <c r="F310" s="506">
        <v>0</v>
      </c>
      <c r="G310" s="506">
        <v>0</v>
      </c>
      <c r="H310" s="503">
        <f t="shared" si="60"/>
        <v>134633.12535513303</v>
      </c>
      <c r="I310" s="506">
        <v>7577.3788607594925</v>
      </c>
      <c r="J310" s="348">
        <f>'B) D RI'!U310</f>
        <v>7018.283636363637</v>
      </c>
      <c r="K310" s="62">
        <f t="shared" si="61"/>
        <v>17.767770073151461</v>
      </c>
      <c r="L310" s="33">
        <f>'B) D RI'!S310</f>
        <v>77</v>
      </c>
      <c r="M310" s="442">
        <f t="shared" si="64"/>
        <v>59.232229926848539</v>
      </c>
      <c r="N310" s="437">
        <f>+'J) Plafonnement effort'!H309+'J) Plafonnement effort'!I309-'K) Plafonnement aide'!I309</f>
        <v>9.9252364651159155</v>
      </c>
      <c r="O310" s="145">
        <f t="shared" si="56"/>
        <v>69.157466391964448</v>
      </c>
      <c r="P310" s="47">
        <f t="shared" si="57"/>
        <v>0</v>
      </c>
      <c r="Q310" s="55">
        <f t="shared" si="63"/>
        <v>0</v>
      </c>
      <c r="R310" s="145">
        <f t="shared" si="58"/>
        <v>69.157466391964448</v>
      </c>
      <c r="S310" s="125">
        <f t="shared" si="59"/>
        <v>-7.8425336080355521</v>
      </c>
      <c r="T310" s="144">
        <f t="shared" si="62"/>
        <v>0</v>
      </c>
      <c r="V310" s="12"/>
    </row>
    <row r="311" spans="1:22" x14ac:dyDescent="0.25">
      <c r="A311" s="49">
        <f>'A) Base RI'!A311</f>
        <v>5935</v>
      </c>
      <c r="B311" s="344" t="str">
        <f>'A) Base RI'!B311</f>
        <v>Villars-Epeney</v>
      </c>
      <c r="C311" s="505">
        <v>67493.227501143469</v>
      </c>
      <c r="D311" s="505">
        <v>49225.439088657469</v>
      </c>
      <c r="E311" s="506">
        <v>0</v>
      </c>
      <c r="F311" s="506">
        <v>0</v>
      </c>
      <c r="G311" s="506">
        <v>0</v>
      </c>
      <c r="H311" s="503">
        <f t="shared" si="60"/>
        <v>116718.66658980094</v>
      </c>
      <c r="I311" s="506">
        <v>3928.2205000000004</v>
      </c>
      <c r="J311" s="348">
        <f>'B) D RI'!U311</f>
        <v>3448.2304999999997</v>
      </c>
      <c r="K311" s="62">
        <f t="shared" si="61"/>
        <v>29.712860209807705</v>
      </c>
      <c r="L311" s="33">
        <f>'B) D RI'!S311</f>
        <v>60</v>
      </c>
      <c r="M311" s="442">
        <f t="shared" si="64"/>
        <v>30.287139790192295</v>
      </c>
      <c r="N311" s="437">
        <f>+'J) Plafonnement effort'!H310+'J) Plafonnement effort'!I310-'K) Plafonnement aide'!I310</f>
        <v>22.760877142998201</v>
      </c>
      <c r="O311" s="145">
        <f t="shared" si="56"/>
        <v>53.048016933190496</v>
      </c>
      <c r="P311" s="47">
        <f t="shared" si="57"/>
        <v>0</v>
      </c>
      <c r="Q311" s="55">
        <f t="shared" si="63"/>
        <v>0</v>
      </c>
      <c r="R311" s="145">
        <f t="shared" si="58"/>
        <v>53.048016933190496</v>
      </c>
      <c r="S311" s="125">
        <f t="shared" si="59"/>
        <v>-6.951983066809504</v>
      </c>
      <c r="T311" s="144">
        <f t="shared" si="62"/>
        <v>0</v>
      </c>
      <c r="V311" s="12"/>
    </row>
    <row r="312" spans="1:22" x14ac:dyDescent="0.25">
      <c r="A312" s="49">
        <f>'A) Base RI'!A312</f>
        <v>5937</v>
      </c>
      <c r="B312" s="344" t="str">
        <f>'A) Base RI'!B312</f>
        <v>Vugelles-La Mothe</v>
      </c>
      <c r="C312" s="505">
        <v>51103.735195972142</v>
      </c>
      <c r="D312" s="505">
        <v>-24035.856254813014</v>
      </c>
      <c r="E312" s="506">
        <v>0</v>
      </c>
      <c r="F312" s="506">
        <v>0</v>
      </c>
      <c r="G312" s="506">
        <v>0</v>
      </c>
      <c r="H312" s="503">
        <f t="shared" si="60"/>
        <v>27067.878941159128</v>
      </c>
      <c r="I312" s="506">
        <v>3187.6957755102044</v>
      </c>
      <c r="J312" s="348">
        <f>'B) D RI'!U312</f>
        <v>3471.6885918367348</v>
      </c>
      <c r="K312" s="62">
        <f t="shared" si="61"/>
        <v>8.4913620518968109</v>
      </c>
      <c r="L312" s="33">
        <f>'B) D RI'!S312</f>
        <v>70</v>
      </c>
      <c r="M312" s="442">
        <f t="shared" si="64"/>
        <v>61.508637948103186</v>
      </c>
      <c r="N312" s="437">
        <f>+'J) Plafonnement effort'!H311+'J) Plafonnement effort'!I311-'K) Plafonnement aide'!I311</f>
        <v>7.3138674240766779</v>
      </c>
      <c r="O312" s="145">
        <f t="shared" si="56"/>
        <v>68.822505372179862</v>
      </c>
      <c r="P312" s="47">
        <f t="shared" si="57"/>
        <v>0</v>
      </c>
      <c r="Q312" s="55">
        <f t="shared" si="63"/>
        <v>0</v>
      </c>
      <c r="R312" s="145">
        <f t="shared" si="58"/>
        <v>68.822505372179862</v>
      </c>
      <c r="S312" s="125">
        <f t="shared" si="59"/>
        <v>-1.1774946278201384</v>
      </c>
      <c r="T312" s="144">
        <f t="shared" si="62"/>
        <v>0</v>
      </c>
      <c r="V312" s="12"/>
    </row>
    <row r="313" spans="1:22" x14ac:dyDescent="0.25">
      <c r="A313" s="49">
        <f>'A) Base RI'!A313</f>
        <v>5938</v>
      </c>
      <c r="B313" s="344" t="str">
        <f>'A) Base RI'!B313</f>
        <v>Yverdon-les-Bains</v>
      </c>
      <c r="C313" s="505">
        <v>14154546.090809014</v>
      </c>
      <c r="D313" s="505">
        <v>-24649826.468754783</v>
      </c>
      <c r="E313" s="506">
        <v>4122869.1619457733</v>
      </c>
      <c r="F313" s="506">
        <v>0</v>
      </c>
      <c r="G313" s="506">
        <v>0</v>
      </c>
      <c r="H313" s="503">
        <f t="shared" si="60"/>
        <v>-6372411.2159999963</v>
      </c>
      <c r="I313" s="506">
        <v>796551.402</v>
      </c>
      <c r="J313" s="348">
        <f>'B) D RI'!U313</f>
        <v>762770.29813333345</v>
      </c>
      <c r="K313" s="62">
        <f t="shared" si="61"/>
        <v>-7.9999999999999956</v>
      </c>
      <c r="L313" s="33">
        <f>'B) D RI'!S313</f>
        <v>75</v>
      </c>
      <c r="M313" s="442">
        <f t="shared" si="64"/>
        <v>83</v>
      </c>
      <c r="N313" s="437">
        <f>+'J) Plafonnement effort'!H312+'J) Plafonnement effort'!I312-'K) Plafonnement aide'!I312</f>
        <v>-14.010032104315972</v>
      </c>
      <c r="O313" s="145">
        <f t="shared" si="56"/>
        <v>68.989967895684032</v>
      </c>
      <c r="P313" s="47">
        <f t="shared" si="57"/>
        <v>0</v>
      </c>
      <c r="Q313" s="55">
        <f t="shared" si="63"/>
        <v>0</v>
      </c>
      <c r="R313" s="145">
        <f t="shared" si="58"/>
        <v>68.989967895684032</v>
      </c>
      <c r="S313" s="125">
        <f t="shared" si="59"/>
        <v>-6.0100321043159681</v>
      </c>
      <c r="T313" s="144">
        <f t="shared" si="62"/>
        <v>0</v>
      </c>
      <c r="V313" s="12"/>
    </row>
    <row r="314" spans="1:22" x14ac:dyDescent="0.25">
      <c r="A314" s="50">
        <f>'A) Base RI'!A314</f>
        <v>5939</v>
      </c>
      <c r="B314" s="345" t="str">
        <f>'A) Base RI'!B314</f>
        <v>Yvonand</v>
      </c>
      <c r="C314" s="505">
        <v>1614820.7107145288</v>
      </c>
      <c r="D314" s="505">
        <v>-789934.79994163336</v>
      </c>
      <c r="E314" s="506">
        <v>0</v>
      </c>
      <c r="F314" s="506">
        <v>0</v>
      </c>
      <c r="G314" s="506">
        <v>0</v>
      </c>
      <c r="H314" s="503">
        <f t="shared" si="60"/>
        <v>824885.91077289544</v>
      </c>
      <c r="I314" s="506">
        <v>92890.042937062928</v>
      </c>
      <c r="J314" s="349">
        <f>'B) D RI'!U314</f>
        <v>105336.86867132869</v>
      </c>
      <c r="K314" s="62">
        <f t="shared" si="61"/>
        <v>8.880240386278988</v>
      </c>
      <c r="L314" s="88">
        <f>'B) D RI'!S314</f>
        <v>71.5</v>
      </c>
      <c r="M314" s="445">
        <f t="shared" si="64"/>
        <v>62.619759613721016</v>
      </c>
      <c r="N314" s="438">
        <f>+'J) Plafonnement effort'!H313+'J) Plafonnement effort'!I313-'K) Plafonnement aide'!I313</f>
        <v>8.2068020612063712</v>
      </c>
      <c r="O314" s="146">
        <f t="shared" si="56"/>
        <v>70.82656167492739</v>
      </c>
      <c r="P314" s="47">
        <f t="shared" si="57"/>
        <v>0</v>
      </c>
      <c r="Q314" s="55">
        <f t="shared" si="63"/>
        <v>0</v>
      </c>
      <c r="R314" s="146">
        <f t="shared" si="58"/>
        <v>70.82656167492739</v>
      </c>
      <c r="S314" s="127">
        <f t="shared" si="59"/>
        <v>-0.6734383250726097</v>
      </c>
      <c r="T314" s="144">
        <f t="shared" si="62"/>
        <v>0</v>
      </c>
      <c r="V314" s="12"/>
    </row>
    <row r="315" spans="1:22" x14ac:dyDescent="0.25">
      <c r="A315" s="30"/>
      <c r="B315" s="118">
        <f>COUNTA(B7:B314)</f>
        <v>308</v>
      </c>
      <c r="C315" s="507">
        <f>SUM(C7:C314)</f>
        <v>844273246.0000006</v>
      </c>
      <c r="D315" s="508">
        <f t="shared" ref="D315:J315" si="65">SUM(D7:D314)</f>
        <v>175267699.01716468</v>
      </c>
      <c r="E315" s="508">
        <f t="shared" si="65"/>
        <v>7174574.3002752736</v>
      </c>
      <c r="F315" s="508">
        <f t="shared" si="65"/>
        <v>-21696675.101369523</v>
      </c>
      <c r="G315" s="508">
        <f t="shared" si="65"/>
        <v>-99094.469572776216</v>
      </c>
      <c r="H315" s="504">
        <f t="shared" si="65"/>
        <v>1004919749.7464979</v>
      </c>
      <c r="I315" s="509">
        <f t="shared" si="65"/>
        <v>39272473.833379671</v>
      </c>
      <c r="J315" s="96">
        <f t="shared" si="65"/>
        <v>39896757.238841556</v>
      </c>
      <c r="K315" s="59">
        <f>H315/I315</f>
        <v>25.588399498591443</v>
      </c>
      <c r="L315" s="19">
        <f>'B) D RI'!S315</f>
        <v>67.550159546250498</v>
      </c>
      <c r="M315" s="19"/>
      <c r="N315" s="438">
        <f>SUM(N7:N314)</f>
        <v>5695.4106869453535</v>
      </c>
      <c r="O315" s="97"/>
      <c r="P315" s="114"/>
      <c r="Q315" s="37">
        <f>SUM(Q7:Q314)</f>
        <v>-323.40141232415726</v>
      </c>
      <c r="R315" s="117"/>
      <c r="S315" s="97"/>
      <c r="T315" s="148"/>
    </row>
    <row r="316" spans="1:22" x14ac:dyDescent="0.25">
      <c r="T316" s="22"/>
    </row>
    <row r="317" spans="1:22" s="6" customFormat="1" x14ac:dyDescent="0.25">
      <c r="K317" s="276"/>
      <c r="N317" s="15"/>
    </row>
    <row r="320" spans="1:22" s="6" customFormat="1" x14ac:dyDescent="0.25">
      <c r="K320" s="276"/>
      <c r="M320" s="276"/>
      <c r="N320" s="15"/>
      <c r="O320" s="276"/>
      <c r="P320" s="276"/>
    </row>
  </sheetData>
  <mergeCells count="17">
    <mergeCell ref="C4:I4"/>
    <mergeCell ref="C5:C6"/>
    <mergeCell ref="B5:B6"/>
    <mergeCell ref="A5:A6"/>
    <mergeCell ref="K5:K6"/>
    <mergeCell ref="E5:E6"/>
    <mergeCell ref="D5:D6"/>
    <mergeCell ref="S5:S6"/>
    <mergeCell ref="R5:R6"/>
    <mergeCell ref="Q5:Q6"/>
    <mergeCell ref="O5:O6"/>
    <mergeCell ref="N5:N6"/>
    <mergeCell ref="M5:M6"/>
    <mergeCell ref="L5:L6"/>
    <mergeCell ref="H5:H6"/>
    <mergeCell ref="G5:G6"/>
    <mergeCell ref="F5:F6"/>
  </mergeCells>
  <phoneticPr fontId="0" type="noConversion"/>
  <printOptions horizontalCentered="1"/>
  <pageMargins left="0" right="0" top="0" bottom="0" header="0.51181102362204722" footer="0.51181102362204722"/>
  <pageSetup paperSize="9" scale="63" orientation="landscape" horizontalDpi="4294967292" verticalDpi="4294967292"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Feuil16">
    <tabColor rgb="FF00B050"/>
    <pageSetUpPr fitToPage="1"/>
  </sheetPr>
  <dimension ref="A1:U316"/>
  <sheetViews>
    <sheetView workbookViewId="0">
      <selection activeCell="B153" sqref="B153"/>
    </sheetView>
  </sheetViews>
  <sheetFormatPr baseColWidth="10" defaultColWidth="9.375" defaultRowHeight="15" x14ac:dyDescent="0.25"/>
  <cols>
    <col min="1" max="1" width="8.125" style="211" customWidth="1"/>
    <col min="2" max="2" width="17.875" style="211" bestFit="1" customWidth="1"/>
    <col min="3" max="3" width="11.5" style="211" customWidth="1"/>
    <col min="4" max="4" width="10.5" style="211" customWidth="1"/>
    <col min="5" max="5" width="5.625" style="211" bestFit="1" customWidth="1"/>
    <col min="6" max="6" width="12" style="211" bestFit="1" customWidth="1"/>
    <col min="7" max="7" width="16.625" style="211" customWidth="1"/>
    <col min="8" max="8" width="12" style="211" bestFit="1" customWidth="1"/>
    <col min="9" max="9" width="13.625" style="211" customWidth="1"/>
    <col min="10" max="10" width="11.375" style="211" bestFit="1" customWidth="1"/>
    <col min="11" max="11" width="20.5" style="211" customWidth="1"/>
    <col min="12" max="12" width="9.75" style="211" bestFit="1" customWidth="1"/>
    <col min="13" max="13" width="14.5" style="211" customWidth="1"/>
    <col min="14" max="14" width="10.75" style="211" bestFit="1" customWidth="1"/>
    <col min="15" max="15" width="13.125" style="213" customWidth="1"/>
    <col min="16" max="16" width="9.375" style="212"/>
    <col min="17" max="17" width="9.875" style="213" customWidth="1"/>
    <col min="18" max="18" width="11.75" style="213" bestFit="1" customWidth="1"/>
    <col min="19" max="21" width="9.375" style="212"/>
    <col min="22" max="248" width="9.375" style="211"/>
    <col min="249" max="249" width="5" style="211" customWidth="1"/>
    <col min="250" max="250" width="17.875" style="211" bestFit="1" customWidth="1"/>
    <col min="251" max="251" width="9.875" style="211" customWidth="1"/>
    <col min="252" max="252" width="8.875" style="211" customWidth="1"/>
    <col min="253" max="253" width="7.375" style="211" bestFit="1" customWidth="1"/>
    <col min="254" max="254" width="10.125" style="211" bestFit="1" customWidth="1"/>
    <col min="255" max="255" width="9.375" style="211"/>
    <col min="256" max="256" width="10.125" style="211" bestFit="1" customWidth="1"/>
    <col min="257" max="257" width="10.75" style="211" customWidth="1"/>
    <col min="258" max="260" width="9.375" style="211"/>
    <col min="261" max="262" width="10.75" style="211" customWidth="1"/>
    <col min="263" max="267" width="9.375" style="211"/>
    <col min="268" max="268" width="1.625" style="211" bestFit="1" customWidth="1"/>
    <col min="269" max="269" width="9.375" style="211"/>
    <col min="270" max="270" width="8.875" style="211" customWidth="1"/>
    <col min="271" max="271" width="13.125" style="211" customWidth="1"/>
    <col min="272" max="272" width="9.375" style="211"/>
    <col min="273" max="273" width="9.875" style="211" customWidth="1"/>
    <col min="274" max="274" width="11.75" style="211" bestFit="1" customWidth="1"/>
    <col min="275" max="504" width="9.375" style="211"/>
    <col min="505" max="505" width="5" style="211" customWidth="1"/>
    <col min="506" max="506" width="17.875" style="211" bestFit="1" customWidth="1"/>
    <col min="507" max="507" width="9.875" style="211" customWidth="1"/>
    <col min="508" max="508" width="8.875" style="211" customWidth="1"/>
    <col min="509" max="509" width="7.375" style="211" bestFit="1" customWidth="1"/>
    <col min="510" max="510" width="10.125" style="211" bestFit="1" customWidth="1"/>
    <col min="511" max="511" width="9.375" style="211"/>
    <col min="512" max="512" width="10.125" style="211" bestFit="1" customWidth="1"/>
    <col min="513" max="513" width="10.75" style="211" customWidth="1"/>
    <col min="514" max="516" width="9.375" style="211"/>
    <col min="517" max="518" width="10.75" style="211" customWidth="1"/>
    <col min="519" max="523" width="9.375" style="211"/>
    <col min="524" max="524" width="1.625" style="211" bestFit="1" customWidth="1"/>
    <col min="525" max="525" width="9.375" style="211"/>
    <col min="526" max="526" width="8.875" style="211" customWidth="1"/>
    <col min="527" max="527" width="13.125" style="211" customWidth="1"/>
    <col min="528" max="528" width="9.375" style="211"/>
    <col min="529" max="529" width="9.875" style="211" customWidth="1"/>
    <col min="530" max="530" width="11.75" style="211" bestFit="1" customWidth="1"/>
    <col min="531" max="760" width="9.375" style="211"/>
    <col min="761" max="761" width="5" style="211" customWidth="1"/>
    <col min="762" max="762" width="17.875" style="211" bestFit="1" customWidth="1"/>
    <col min="763" max="763" width="9.875" style="211" customWidth="1"/>
    <col min="764" max="764" width="8.875" style="211" customWidth="1"/>
    <col min="765" max="765" width="7.375" style="211" bestFit="1" customWidth="1"/>
    <col min="766" max="766" width="10.125" style="211" bestFit="1" customWidth="1"/>
    <col min="767" max="767" width="9.375" style="211"/>
    <col min="768" max="768" width="10.125" style="211" bestFit="1" customWidth="1"/>
    <col min="769" max="769" width="10.75" style="211" customWidth="1"/>
    <col min="770" max="772" width="9.375" style="211"/>
    <col min="773" max="774" width="10.75" style="211" customWidth="1"/>
    <col min="775" max="779" width="9.375" style="211"/>
    <col min="780" max="780" width="1.625" style="211" bestFit="1" customWidth="1"/>
    <col min="781" max="781" width="9.375" style="211"/>
    <col min="782" max="782" width="8.875" style="211" customWidth="1"/>
    <col min="783" max="783" width="13.125" style="211" customWidth="1"/>
    <col min="784" max="784" width="9.375" style="211"/>
    <col min="785" max="785" width="9.875" style="211" customWidth="1"/>
    <col min="786" max="786" width="11.75" style="211" bestFit="1" customWidth="1"/>
    <col min="787" max="1016" width="9.375" style="211"/>
    <col min="1017" max="1017" width="5" style="211" customWidth="1"/>
    <col min="1018" max="1018" width="17.875" style="211" bestFit="1" customWidth="1"/>
    <col min="1019" max="1019" width="9.875" style="211" customWidth="1"/>
    <col min="1020" max="1020" width="8.875" style="211" customWidth="1"/>
    <col min="1021" max="1021" width="7.375" style="211" bestFit="1" customWidth="1"/>
    <col min="1022" max="1022" width="10.125" style="211" bestFit="1" customWidth="1"/>
    <col min="1023" max="1023" width="9.375" style="211"/>
    <col min="1024" max="1024" width="10.125" style="211" bestFit="1" customWidth="1"/>
    <col min="1025" max="1025" width="10.75" style="211" customWidth="1"/>
    <col min="1026" max="1028" width="9.375" style="211"/>
    <col min="1029" max="1030" width="10.75" style="211" customWidth="1"/>
    <col min="1031" max="1035" width="9.375" style="211"/>
    <col min="1036" max="1036" width="1.625" style="211" bestFit="1" customWidth="1"/>
    <col min="1037" max="1037" width="9.375" style="211"/>
    <col min="1038" max="1038" width="8.875" style="211" customWidth="1"/>
    <col min="1039" max="1039" width="13.125" style="211" customWidth="1"/>
    <col min="1040" max="1040" width="9.375" style="211"/>
    <col min="1041" max="1041" width="9.875" style="211" customWidth="1"/>
    <col min="1042" max="1042" width="11.75" style="211" bestFit="1" customWidth="1"/>
    <col min="1043" max="1272" width="9.375" style="211"/>
    <col min="1273" max="1273" width="5" style="211" customWidth="1"/>
    <col min="1274" max="1274" width="17.875" style="211" bestFit="1" customWidth="1"/>
    <col min="1275" max="1275" width="9.875" style="211" customWidth="1"/>
    <col min="1276" max="1276" width="8.875" style="211" customWidth="1"/>
    <col min="1277" max="1277" width="7.375" style="211" bestFit="1" customWidth="1"/>
    <col min="1278" max="1278" width="10.125" style="211" bestFit="1" customWidth="1"/>
    <col min="1279" max="1279" width="9.375" style="211"/>
    <col min="1280" max="1280" width="10.125" style="211" bestFit="1" customWidth="1"/>
    <col min="1281" max="1281" width="10.75" style="211" customWidth="1"/>
    <col min="1282" max="1284" width="9.375" style="211"/>
    <col min="1285" max="1286" width="10.75" style="211" customWidth="1"/>
    <col min="1287" max="1291" width="9.375" style="211"/>
    <col min="1292" max="1292" width="1.625" style="211" bestFit="1" customWidth="1"/>
    <col min="1293" max="1293" width="9.375" style="211"/>
    <col min="1294" max="1294" width="8.875" style="211" customWidth="1"/>
    <col min="1295" max="1295" width="13.125" style="211" customWidth="1"/>
    <col min="1296" max="1296" width="9.375" style="211"/>
    <col min="1297" max="1297" width="9.875" style="211" customWidth="1"/>
    <col min="1298" max="1298" width="11.75" style="211" bestFit="1" customWidth="1"/>
    <col min="1299" max="1528" width="9.375" style="211"/>
    <col min="1529" max="1529" width="5" style="211" customWidth="1"/>
    <col min="1530" max="1530" width="17.875" style="211" bestFit="1" customWidth="1"/>
    <col min="1531" max="1531" width="9.875" style="211" customWidth="1"/>
    <col min="1532" max="1532" width="8.875" style="211" customWidth="1"/>
    <col min="1533" max="1533" width="7.375" style="211" bestFit="1" customWidth="1"/>
    <col min="1534" max="1534" width="10.125" style="211" bestFit="1" customWidth="1"/>
    <col min="1535" max="1535" width="9.375" style="211"/>
    <col min="1536" max="1536" width="10.125" style="211" bestFit="1" customWidth="1"/>
    <col min="1537" max="1537" width="10.75" style="211" customWidth="1"/>
    <col min="1538" max="1540" width="9.375" style="211"/>
    <col min="1541" max="1542" width="10.75" style="211" customWidth="1"/>
    <col min="1543" max="1547" width="9.375" style="211"/>
    <col min="1548" max="1548" width="1.625" style="211" bestFit="1" customWidth="1"/>
    <col min="1549" max="1549" width="9.375" style="211"/>
    <col min="1550" max="1550" width="8.875" style="211" customWidth="1"/>
    <col min="1551" max="1551" width="13.125" style="211" customWidth="1"/>
    <col min="1552" max="1552" width="9.375" style="211"/>
    <col min="1553" max="1553" width="9.875" style="211" customWidth="1"/>
    <col min="1554" max="1554" width="11.75" style="211" bestFit="1" customWidth="1"/>
    <col min="1555" max="1784" width="9.375" style="211"/>
    <col min="1785" max="1785" width="5" style="211" customWidth="1"/>
    <col min="1786" max="1786" width="17.875" style="211" bestFit="1" customWidth="1"/>
    <col min="1787" max="1787" width="9.875" style="211" customWidth="1"/>
    <col min="1788" max="1788" width="8.875" style="211" customWidth="1"/>
    <col min="1789" max="1789" width="7.375" style="211" bestFit="1" customWidth="1"/>
    <col min="1790" max="1790" width="10.125" style="211" bestFit="1" customWidth="1"/>
    <col min="1791" max="1791" width="9.375" style="211"/>
    <col min="1792" max="1792" width="10.125" style="211" bestFit="1" customWidth="1"/>
    <col min="1793" max="1793" width="10.75" style="211" customWidth="1"/>
    <col min="1794" max="1796" width="9.375" style="211"/>
    <col min="1797" max="1798" width="10.75" style="211" customWidth="1"/>
    <col min="1799" max="1803" width="9.375" style="211"/>
    <col min="1804" max="1804" width="1.625" style="211" bestFit="1" customWidth="1"/>
    <col min="1805" max="1805" width="9.375" style="211"/>
    <col min="1806" max="1806" width="8.875" style="211" customWidth="1"/>
    <col min="1807" max="1807" width="13.125" style="211" customWidth="1"/>
    <col min="1808" max="1808" width="9.375" style="211"/>
    <col min="1809" max="1809" width="9.875" style="211" customWidth="1"/>
    <col min="1810" max="1810" width="11.75" style="211" bestFit="1" customWidth="1"/>
    <col min="1811" max="2040" width="9.375" style="211"/>
    <col min="2041" max="2041" width="5" style="211" customWidth="1"/>
    <col min="2042" max="2042" width="17.875" style="211" bestFit="1" customWidth="1"/>
    <col min="2043" max="2043" width="9.875" style="211" customWidth="1"/>
    <col min="2044" max="2044" width="8.875" style="211" customWidth="1"/>
    <col min="2045" max="2045" width="7.375" style="211" bestFit="1" customWidth="1"/>
    <col min="2046" max="2046" width="10.125" style="211" bestFit="1" customWidth="1"/>
    <col min="2047" max="2047" width="9.375" style="211"/>
    <col min="2048" max="2048" width="10.125" style="211" bestFit="1" customWidth="1"/>
    <col min="2049" max="2049" width="10.75" style="211" customWidth="1"/>
    <col min="2050" max="2052" width="9.375" style="211"/>
    <col min="2053" max="2054" width="10.75" style="211" customWidth="1"/>
    <col min="2055" max="2059" width="9.375" style="211"/>
    <col min="2060" max="2060" width="1.625" style="211" bestFit="1" customWidth="1"/>
    <col min="2061" max="2061" width="9.375" style="211"/>
    <col min="2062" max="2062" width="8.875" style="211" customWidth="1"/>
    <col min="2063" max="2063" width="13.125" style="211" customWidth="1"/>
    <col min="2064" max="2064" width="9.375" style="211"/>
    <col min="2065" max="2065" width="9.875" style="211" customWidth="1"/>
    <col min="2066" max="2066" width="11.75" style="211" bestFit="1" customWidth="1"/>
    <col min="2067" max="2296" width="9.375" style="211"/>
    <col min="2297" max="2297" width="5" style="211" customWidth="1"/>
    <col min="2298" max="2298" width="17.875" style="211" bestFit="1" customWidth="1"/>
    <col min="2299" max="2299" width="9.875" style="211" customWidth="1"/>
    <col min="2300" max="2300" width="8.875" style="211" customWidth="1"/>
    <col min="2301" max="2301" width="7.375" style="211" bestFit="1" customWidth="1"/>
    <col min="2302" max="2302" width="10.125" style="211" bestFit="1" customWidth="1"/>
    <col min="2303" max="2303" width="9.375" style="211"/>
    <col min="2304" max="2304" width="10.125" style="211" bestFit="1" customWidth="1"/>
    <col min="2305" max="2305" width="10.75" style="211" customWidth="1"/>
    <col min="2306" max="2308" width="9.375" style="211"/>
    <col min="2309" max="2310" width="10.75" style="211" customWidth="1"/>
    <col min="2311" max="2315" width="9.375" style="211"/>
    <col min="2316" max="2316" width="1.625" style="211" bestFit="1" customWidth="1"/>
    <col min="2317" max="2317" width="9.375" style="211"/>
    <col min="2318" max="2318" width="8.875" style="211" customWidth="1"/>
    <col min="2319" max="2319" width="13.125" style="211" customWidth="1"/>
    <col min="2320" max="2320" width="9.375" style="211"/>
    <col min="2321" max="2321" width="9.875" style="211" customWidth="1"/>
    <col min="2322" max="2322" width="11.75" style="211" bestFit="1" customWidth="1"/>
    <col min="2323" max="2552" width="9.375" style="211"/>
    <col min="2553" max="2553" width="5" style="211" customWidth="1"/>
    <col min="2554" max="2554" width="17.875" style="211" bestFit="1" customWidth="1"/>
    <col min="2555" max="2555" width="9.875" style="211" customWidth="1"/>
    <col min="2556" max="2556" width="8.875" style="211" customWidth="1"/>
    <col min="2557" max="2557" width="7.375" style="211" bestFit="1" customWidth="1"/>
    <col min="2558" max="2558" width="10.125" style="211" bestFit="1" customWidth="1"/>
    <col min="2559" max="2559" width="9.375" style="211"/>
    <col min="2560" max="2560" width="10.125" style="211" bestFit="1" customWidth="1"/>
    <col min="2561" max="2561" width="10.75" style="211" customWidth="1"/>
    <col min="2562" max="2564" width="9.375" style="211"/>
    <col min="2565" max="2566" width="10.75" style="211" customWidth="1"/>
    <col min="2567" max="2571" width="9.375" style="211"/>
    <col min="2572" max="2572" width="1.625" style="211" bestFit="1" customWidth="1"/>
    <col min="2573" max="2573" width="9.375" style="211"/>
    <col min="2574" max="2574" width="8.875" style="211" customWidth="1"/>
    <col min="2575" max="2575" width="13.125" style="211" customWidth="1"/>
    <col min="2576" max="2576" width="9.375" style="211"/>
    <col min="2577" max="2577" width="9.875" style="211" customWidth="1"/>
    <col min="2578" max="2578" width="11.75" style="211" bestFit="1" customWidth="1"/>
    <col min="2579" max="2808" width="9.375" style="211"/>
    <col min="2809" max="2809" width="5" style="211" customWidth="1"/>
    <col min="2810" max="2810" width="17.875" style="211" bestFit="1" customWidth="1"/>
    <col min="2811" max="2811" width="9.875" style="211" customWidth="1"/>
    <col min="2812" max="2812" width="8.875" style="211" customWidth="1"/>
    <col min="2813" max="2813" width="7.375" style="211" bestFit="1" customWidth="1"/>
    <col min="2814" max="2814" width="10.125" style="211" bestFit="1" customWidth="1"/>
    <col min="2815" max="2815" width="9.375" style="211"/>
    <col min="2816" max="2816" width="10.125" style="211" bestFit="1" customWidth="1"/>
    <col min="2817" max="2817" width="10.75" style="211" customWidth="1"/>
    <col min="2818" max="2820" width="9.375" style="211"/>
    <col min="2821" max="2822" width="10.75" style="211" customWidth="1"/>
    <col min="2823" max="2827" width="9.375" style="211"/>
    <col min="2828" max="2828" width="1.625" style="211" bestFit="1" customWidth="1"/>
    <col min="2829" max="2829" width="9.375" style="211"/>
    <col min="2830" max="2830" width="8.875" style="211" customWidth="1"/>
    <col min="2831" max="2831" width="13.125" style="211" customWidth="1"/>
    <col min="2832" max="2832" width="9.375" style="211"/>
    <col min="2833" max="2833" width="9.875" style="211" customWidth="1"/>
    <col min="2834" max="2834" width="11.75" style="211" bestFit="1" customWidth="1"/>
    <col min="2835" max="3064" width="9.375" style="211"/>
    <col min="3065" max="3065" width="5" style="211" customWidth="1"/>
    <col min="3066" max="3066" width="17.875" style="211" bestFit="1" customWidth="1"/>
    <col min="3067" max="3067" width="9.875" style="211" customWidth="1"/>
    <col min="3068" max="3068" width="8.875" style="211" customWidth="1"/>
    <col min="3069" max="3069" width="7.375" style="211" bestFit="1" customWidth="1"/>
    <col min="3070" max="3070" width="10.125" style="211" bestFit="1" customWidth="1"/>
    <col min="3071" max="3071" width="9.375" style="211"/>
    <col min="3072" max="3072" width="10.125" style="211" bestFit="1" customWidth="1"/>
    <col min="3073" max="3073" width="10.75" style="211" customWidth="1"/>
    <col min="3074" max="3076" width="9.375" style="211"/>
    <col min="3077" max="3078" width="10.75" style="211" customWidth="1"/>
    <col min="3079" max="3083" width="9.375" style="211"/>
    <col min="3084" max="3084" width="1.625" style="211" bestFit="1" customWidth="1"/>
    <col min="3085" max="3085" width="9.375" style="211"/>
    <col min="3086" max="3086" width="8.875" style="211" customWidth="1"/>
    <col min="3087" max="3087" width="13.125" style="211" customWidth="1"/>
    <col min="3088" max="3088" width="9.375" style="211"/>
    <col min="3089" max="3089" width="9.875" style="211" customWidth="1"/>
    <col min="3090" max="3090" width="11.75" style="211" bestFit="1" customWidth="1"/>
    <col min="3091" max="3320" width="9.375" style="211"/>
    <col min="3321" max="3321" width="5" style="211" customWidth="1"/>
    <col min="3322" max="3322" width="17.875" style="211" bestFit="1" customWidth="1"/>
    <col min="3323" max="3323" width="9.875" style="211" customWidth="1"/>
    <col min="3324" max="3324" width="8.875" style="211" customWidth="1"/>
    <col min="3325" max="3325" width="7.375" style="211" bestFit="1" customWidth="1"/>
    <col min="3326" max="3326" width="10.125" style="211" bestFit="1" customWidth="1"/>
    <col min="3327" max="3327" width="9.375" style="211"/>
    <col min="3328" max="3328" width="10.125" style="211" bestFit="1" customWidth="1"/>
    <col min="3329" max="3329" width="10.75" style="211" customWidth="1"/>
    <col min="3330" max="3332" width="9.375" style="211"/>
    <col min="3333" max="3334" width="10.75" style="211" customWidth="1"/>
    <col min="3335" max="3339" width="9.375" style="211"/>
    <col min="3340" max="3340" width="1.625" style="211" bestFit="1" customWidth="1"/>
    <col min="3341" max="3341" width="9.375" style="211"/>
    <col min="3342" max="3342" width="8.875" style="211" customWidth="1"/>
    <col min="3343" max="3343" width="13.125" style="211" customWidth="1"/>
    <col min="3344" max="3344" width="9.375" style="211"/>
    <col min="3345" max="3345" width="9.875" style="211" customWidth="1"/>
    <col min="3346" max="3346" width="11.75" style="211" bestFit="1" customWidth="1"/>
    <col min="3347" max="3576" width="9.375" style="211"/>
    <col min="3577" max="3577" width="5" style="211" customWidth="1"/>
    <col min="3578" max="3578" width="17.875" style="211" bestFit="1" customWidth="1"/>
    <col min="3579" max="3579" width="9.875" style="211" customWidth="1"/>
    <col min="3580" max="3580" width="8.875" style="211" customWidth="1"/>
    <col min="3581" max="3581" width="7.375" style="211" bestFit="1" customWidth="1"/>
    <col min="3582" max="3582" width="10.125" style="211" bestFit="1" customWidth="1"/>
    <col min="3583" max="3583" width="9.375" style="211"/>
    <col min="3584" max="3584" width="10.125" style="211" bestFit="1" customWidth="1"/>
    <col min="3585" max="3585" width="10.75" style="211" customWidth="1"/>
    <col min="3586" max="3588" width="9.375" style="211"/>
    <col min="3589" max="3590" width="10.75" style="211" customWidth="1"/>
    <col min="3591" max="3595" width="9.375" style="211"/>
    <col min="3596" max="3596" width="1.625" style="211" bestFit="1" customWidth="1"/>
    <col min="3597" max="3597" width="9.375" style="211"/>
    <col min="3598" max="3598" width="8.875" style="211" customWidth="1"/>
    <col min="3599" max="3599" width="13.125" style="211" customWidth="1"/>
    <col min="3600" max="3600" width="9.375" style="211"/>
    <col min="3601" max="3601" width="9.875" style="211" customWidth="1"/>
    <col min="3602" max="3602" width="11.75" style="211" bestFit="1" customWidth="1"/>
    <col min="3603" max="3832" width="9.375" style="211"/>
    <col min="3833" max="3833" width="5" style="211" customWidth="1"/>
    <col min="3834" max="3834" width="17.875" style="211" bestFit="1" customWidth="1"/>
    <col min="3835" max="3835" width="9.875" style="211" customWidth="1"/>
    <col min="3836" max="3836" width="8.875" style="211" customWidth="1"/>
    <col min="3837" max="3837" width="7.375" style="211" bestFit="1" customWidth="1"/>
    <col min="3838" max="3838" width="10.125" style="211" bestFit="1" customWidth="1"/>
    <col min="3839" max="3839" width="9.375" style="211"/>
    <col min="3840" max="3840" width="10.125" style="211" bestFit="1" customWidth="1"/>
    <col min="3841" max="3841" width="10.75" style="211" customWidth="1"/>
    <col min="3842" max="3844" width="9.375" style="211"/>
    <col min="3845" max="3846" width="10.75" style="211" customWidth="1"/>
    <col min="3847" max="3851" width="9.375" style="211"/>
    <col min="3852" max="3852" width="1.625" style="211" bestFit="1" customWidth="1"/>
    <col min="3853" max="3853" width="9.375" style="211"/>
    <col min="3854" max="3854" width="8.875" style="211" customWidth="1"/>
    <col min="3855" max="3855" width="13.125" style="211" customWidth="1"/>
    <col min="3856" max="3856" width="9.375" style="211"/>
    <col min="3857" max="3857" width="9.875" style="211" customWidth="1"/>
    <col min="3858" max="3858" width="11.75" style="211" bestFit="1" customWidth="1"/>
    <col min="3859" max="4088" width="9.375" style="211"/>
    <col min="4089" max="4089" width="5" style="211" customWidth="1"/>
    <col min="4090" max="4090" width="17.875" style="211" bestFit="1" customWidth="1"/>
    <col min="4091" max="4091" width="9.875" style="211" customWidth="1"/>
    <col min="4092" max="4092" width="8.875" style="211" customWidth="1"/>
    <col min="4093" max="4093" width="7.375" style="211" bestFit="1" customWidth="1"/>
    <col min="4094" max="4094" width="10.125" style="211" bestFit="1" customWidth="1"/>
    <col min="4095" max="4095" width="9.375" style="211"/>
    <col min="4096" max="4096" width="10.125" style="211" bestFit="1" customWidth="1"/>
    <col min="4097" max="4097" width="10.75" style="211" customWidth="1"/>
    <col min="4098" max="4100" width="9.375" style="211"/>
    <col min="4101" max="4102" width="10.75" style="211" customWidth="1"/>
    <col min="4103" max="4107" width="9.375" style="211"/>
    <col min="4108" max="4108" width="1.625" style="211" bestFit="1" customWidth="1"/>
    <col min="4109" max="4109" width="9.375" style="211"/>
    <col min="4110" max="4110" width="8.875" style="211" customWidth="1"/>
    <col min="4111" max="4111" width="13.125" style="211" customWidth="1"/>
    <col min="4112" max="4112" width="9.375" style="211"/>
    <col min="4113" max="4113" width="9.875" style="211" customWidth="1"/>
    <col min="4114" max="4114" width="11.75" style="211" bestFit="1" customWidth="1"/>
    <col min="4115" max="4344" width="9.375" style="211"/>
    <col min="4345" max="4345" width="5" style="211" customWidth="1"/>
    <col min="4346" max="4346" width="17.875" style="211" bestFit="1" customWidth="1"/>
    <col min="4347" max="4347" width="9.875" style="211" customWidth="1"/>
    <col min="4348" max="4348" width="8.875" style="211" customWidth="1"/>
    <col min="4349" max="4349" width="7.375" style="211" bestFit="1" customWidth="1"/>
    <col min="4350" max="4350" width="10.125" style="211" bestFit="1" customWidth="1"/>
    <col min="4351" max="4351" width="9.375" style="211"/>
    <col min="4352" max="4352" width="10.125" style="211" bestFit="1" customWidth="1"/>
    <col min="4353" max="4353" width="10.75" style="211" customWidth="1"/>
    <col min="4354" max="4356" width="9.375" style="211"/>
    <col min="4357" max="4358" width="10.75" style="211" customWidth="1"/>
    <col min="4359" max="4363" width="9.375" style="211"/>
    <col min="4364" max="4364" width="1.625" style="211" bestFit="1" customWidth="1"/>
    <col min="4365" max="4365" width="9.375" style="211"/>
    <col min="4366" max="4366" width="8.875" style="211" customWidth="1"/>
    <col min="4367" max="4367" width="13.125" style="211" customWidth="1"/>
    <col min="4368" max="4368" width="9.375" style="211"/>
    <col min="4369" max="4369" width="9.875" style="211" customWidth="1"/>
    <col min="4370" max="4370" width="11.75" style="211" bestFit="1" customWidth="1"/>
    <col min="4371" max="4600" width="9.375" style="211"/>
    <col min="4601" max="4601" width="5" style="211" customWidth="1"/>
    <col min="4602" max="4602" width="17.875" style="211" bestFit="1" customWidth="1"/>
    <col min="4603" max="4603" width="9.875" style="211" customWidth="1"/>
    <col min="4604" max="4604" width="8.875" style="211" customWidth="1"/>
    <col min="4605" max="4605" width="7.375" style="211" bestFit="1" customWidth="1"/>
    <col min="4606" max="4606" width="10.125" style="211" bestFit="1" customWidth="1"/>
    <col min="4607" max="4607" width="9.375" style="211"/>
    <col min="4608" max="4608" width="10.125" style="211" bestFit="1" customWidth="1"/>
    <col min="4609" max="4609" width="10.75" style="211" customWidth="1"/>
    <col min="4610" max="4612" width="9.375" style="211"/>
    <col min="4613" max="4614" width="10.75" style="211" customWidth="1"/>
    <col min="4615" max="4619" width="9.375" style="211"/>
    <col min="4620" max="4620" width="1.625" style="211" bestFit="1" customWidth="1"/>
    <col min="4621" max="4621" width="9.375" style="211"/>
    <col min="4622" max="4622" width="8.875" style="211" customWidth="1"/>
    <col min="4623" max="4623" width="13.125" style="211" customWidth="1"/>
    <col min="4624" max="4624" width="9.375" style="211"/>
    <col min="4625" max="4625" width="9.875" style="211" customWidth="1"/>
    <col min="4626" max="4626" width="11.75" style="211" bestFit="1" customWidth="1"/>
    <col min="4627" max="4856" width="9.375" style="211"/>
    <col min="4857" max="4857" width="5" style="211" customWidth="1"/>
    <col min="4858" max="4858" width="17.875" style="211" bestFit="1" customWidth="1"/>
    <col min="4859" max="4859" width="9.875" style="211" customWidth="1"/>
    <col min="4860" max="4860" width="8.875" style="211" customWidth="1"/>
    <col min="4861" max="4861" width="7.375" style="211" bestFit="1" customWidth="1"/>
    <col min="4862" max="4862" width="10.125" style="211" bestFit="1" customWidth="1"/>
    <col min="4863" max="4863" width="9.375" style="211"/>
    <col min="4864" max="4864" width="10.125" style="211" bestFit="1" customWidth="1"/>
    <col min="4865" max="4865" width="10.75" style="211" customWidth="1"/>
    <col min="4866" max="4868" width="9.375" style="211"/>
    <col min="4869" max="4870" width="10.75" style="211" customWidth="1"/>
    <col min="4871" max="4875" width="9.375" style="211"/>
    <col min="4876" max="4876" width="1.625" style="211" bestFit="1" customWidth="1"/>
    <col min="4877" max="4877" width="9.375" style="211"/>
    <col min="4878" max="4878" width="8.875" style="211" customWidth="1"/>
    <col min="4879" max="4879" width="13.125" style="211" customWidth="1"/>
    <col min="4880" max="4880" width="9.375" style="211"/>
    <col min="4881" max="4881" width="9.875" style="211" customWidth="1"/>
    <col min="4882" max="4882" width="11.75" style="211" bestFit="1" customWidth="1"/>
    <col min="4883" max="5112" width="9.375" style="211"/>
    <col min="5113" max="5113" width="5" style="211" customWidth="1"/>
    <col min="5114" max="5114" width="17.875" style="211" bestFit="1" customWidth="1"/>
    <col min="5115" max="5115" width="9.875" style="211" customWidth="1"/>
    <col min="5116" max="5116" width="8.875" style="211" customWidth="1"/>
    <col min="5117" max="5117" width="7.375" style="211" bestFit="1" customWidth="1"/>
    <col min="5118" max="5118" width="10.125" style="211" bestFit="1" customWidth="1"/>
    <col min="5119" max="5119" width="9.375" style="211"/>
    <col min="5120" max="5120" width="10.125" style="211" bestFit="1" customWidth="1"/>
    <col min="5121" max="5121" width="10.75" style="211" customWidth="1"/>
    <col min="5122" max="5124" width="9.375" style="211"/>
    <col min="5125" max="5126" width="10.75" style="211" customWidth="1"/>
    <col min="5127" max="5131" width="9.375" style="211"/>
    <col min="5132" max="5132" width="1.625" style="211" bestFit="1" customWidth="1"/>
    <col min="5133" max="5133" width="9.375" style="211"/>
    <col min="5134" max="5134" width="8.875" style="211" customWidth="1"/>
    <col min="5135" max="5135" width="13.125" style="211" customWidth="1"/>
    <col min="5136" max="5136" width="9.375" style="211"/>
    <col min="5137" max="5137" width="9.875" style="211" customWidth="1"/>
    <col min="5138" max="5138" width="11.75" style="211" bestFit="1" customWidth="1"/>
    <col min="5139" max="5368" width="9.375" style="211"/>
    <col min="5369" max="5369" width="5" style="211" customWidth="1"/>
    <col min="5370" max="5370" width="17.875" style="211" bestFit="1" customWidth="1"/>
    <col min="5371" max="5371" width="9.875" style="211" customWidth="1"/>
    <col min="5372" max="5372" width="8.875" style="211" customWidth="1"/>
    <col min="5373" max="5373" width="7.375" style="211" bestFit="1" customWidth="1"/>
    <col min="5374" max="5374" width="10.125" style="211" bestFit="1" customWidth="1"/>
    <col min="5375" max="5375" width="9.375" style="211"/>
    <col min="5376" max="5376" width="10.125" style="211" bestFit="1" customWidth="1"/>
    <col min="5377" max="5377" width="10.75" style="211" customWidth="1"/>
    <col min="5378" max="5380" width="9.375" style="211"/>
    <col min="5381" max="5382" width="10.75" style="211" customWidth="1"/>
    <col min="5383" max="5387" width="9.375" style="211"/>
    <col min="5388" max="5388" width="1.625" style="211" bestFit="1" customWidth="1"/>
    <col min="5389" max="5389" width="9.375" style="211"/>
    <col min="5390" max="5390" width="8.875" style="211" customWidth="1"/>
    <col min="5391" max="5391" width="13.125" style="211" customWidth="1"/>
    <col min="5392" max="5392" width="9.375" style="211"/>
    <col min="5393" max="5393" width="9.875" style="211" customWidth="1"/>
    <col min="5394" max="5394" width="11.75" style="211" bestFit="1" customWidth="1"/>
    <col min="5395" max="5624" width="9.375" style="211"/>
    <col min="5625" max="5625" width="5" style="211" customWidth="1"/>
    <col min="5626" max="5626" width="17.875" style="211" bestFit="1" customWidth="1"/>
    <col min="5627" max="5627" width="9.875" style="211" customWidth="1"/>
    <col min="5628" max="5628" width="8.875" style="211" customWidth="1"/>
    <col min="5629" max="5629" width="7.375" style="211" bestFit="1" customWidth="1"/>
    <col min="5630" max="5630" width="10.125" style="211" bestFit="1" customWidth="1"/>
    <col min="5631" max="5631" width="9.375" style="211"/>
    <col min="5632" max="5632" width="10.125" style="211" bestFit="1" customWidth="1"/>
    <col min="5633" max="5633" width="10.75" style="211" customWidth="1"/>
    <col min="5634" max="5636" width="9.375" style="211"/>
    <col min="5637" max="5638" width="10.75" style="211" customWidth="1"/>
    <col min="5639" max="5643" width="9.375" style="211"/>
    <col min="5644" max="5644" width="1.625" style="211" bestFit="1" customWidth="1"/>
    <col min="5645" max="5645" width="9.375" style="211"/>
    <col min="5646" max="5646" width="8.875" style="211" customWidth="1"/>
    <col min="5647" max="5647" width="13.125" style="211" customWidth="1"/>
    <col min="5648" max="5648" width="9.375" style="211"/>
    <col min="5649" max="5649" width="9.875" style="211" customWidth="1"/>
    <col min="5650" max="5650" width="11.75" style="211" bestFit="1" customWidth="1"/>
    <col min="5651" max="5880" width="9.375" style="211"/>
    <col min="5881" max="5881" width="5" style="211" customWidth="1"/>
    <col min="5882" max="5882" width="17.875" style="211" bestFit="1" customWidth="1"/>
    <col min="5883" max="5883" width="9.875" style="211" customWidth="1"/>
    <col min="5884" max="5884" width="8.875" style="211" customWidth="1"/>
    <col min="5885" max="5885" width="7.375" style="211" bestFit="1" customWidth="1"/>
    <col min="5886" max="5886" width="10.125" style="211" bestFit="1" customWidth="1"/>
    <col min="5887" max="5887" width="9.375" style="211"/>
    <col min="5888" max="5888" width="10.125" style="211" bestFit="1" customWidth="1"/>
    <col min="5889" max="5889" width="10.75" style="211" customWidth="1"/>
    <col min="5890" max="5892" width="9.375" style="211"/>
    <col min="5893" max="5894" width="10.75" style="211" customWidth="1"/>
    <col min="5895" max="5899" width="9.375" style="211"/>
    <col min="5900" max="5900" width="1.625" style="211" bestFit="1" customWidth="1"/>
    <col min="5901" max="5901" width="9.375" style="211"/>
    <col min="5902" max="5902" width="8.875" style="211" customWidth="1"/>
    <col min="5903" max="5903" width="13.125" style="211" customWidth="1"/>
    <col min="5904" max="5904" width="9.375" style="211"/>
    <col min="5905" max="5905" width="9.875" style="211" customWidth="1"/>
    <col min="5906" max="5906" width="11.75" style="211" bestFit="1" customWidth="1"/>
    <col min="5907" max="6136" width="9.375" style="211"/>
    <col min="6137" max="6137" width="5" style="211" customWidth="1"/>
    <col min="6138" max="6138" width="17.875" style="211" bestFit="1" customWidth="1"/>
    <col min="6139" max="6139" width="9.875" style="211" customWidth="1"/>
    <col min="6140" max="6140" width="8.875" style="211" customWidth="1"/>
    <col min="6141" max="6141" width="7.375" style="211" bestFit="1" customWidth="1"/>
    <col min="6142" max="6142" width="10.125" style="211" bestFit="1" customWidth="1"/>
    <col min="6143" max="6143" width="9.375" style="211"/>
    <col min="6144" max="6144" width="10.125" style="211" bestFit="1" customWidth="1"/>
    <col min="6145" max="6145" width="10.75" style="211" customWidth="1"/>
    <col min="6146" max="6148" width="9.375" style="211"/>
    <col min="6149" max="6150" width="10.75" style="211" customWidth="1"/>
    <col min="6151" max="6155" width="9.375" style="211"/>
    <col min="6156" max="6156" width="1.625" style="211" bestFit="1" customWidth="1"/>
    <col min="6157" max="6157" width="9.375" style="211"/>
    <col min="6158" max="6158" width="8.875" style="211" customWidth="1"/>
    <col min="6159" max="6159" width="13.125" style="211" customWidth="1"/>
    <col min="6160" max="6160" width="9.375" style="211"/>
    <col min="6161" max="6161" width="9.875" style="211" customWidth="1"/>
    <col min="6162" max="6162" width="11.75" style="211" bestFit="1" customWidth="1"/>
    <col min="6163" max="6392" width="9.375" style="211"/>
    <col min="6393" max="6393" width="5" style="211" customWidth="1"/>
    <col min="6394" max="6394" width="17.875" style="211" bestFit="1" customWidth="1"/>
    <col min="6395" max="6395" width="9.875" style="211" customWidth="1"/>
    <col min="6396" max="6396" width="8.875" style="211" customWidth="1"/>
    <col min="6397" max="6397" width="7.375" style="211" bestFit="1" customWidth="1"/>
    <col min="6398" max="6398" width="10.125" style="211" bestFit="1" customWidth="1"/>
    <col min="6399" max="6399" width="9.375" style="211"/>
    <col min="6400" max="6400" width="10.125" style="211" bestFit="1" customWidth="1"/>
    <col min="6401" max="6401" width="10.75" style="211" customWidth="1"/>
    <col min="6402" max="6404" width="9.375" style="211"/>
    <col min="6405" max="6406" width="10.75" style="211" customWidth="1"/>
    <col min="6407" max="6411" width="9.375" style="211"/>
    <col min="6412" max="6412" width="1.625" style="211" bestFit="1" customWidth="1"/>
    <col min="6413" max="6413" width="9.375" style="211"/>
    <col min="6414" max="6414" width="8.875" style="211" customWidth="1"/>
    <col min="6415" max="6415" width="13.125" style="211" customWidth="1"/>
    <col min="6416" max="6416" width="9.375" style="211"/>
    <col min="6417" max="6417" width="9.875" style="211" customWidth="1"/>
    <col min="6418" max="6418" width="11.75" style="211" bestFit="1" customWidth="1"/>
    <col min="6419" max="6648" width="9.375" style="211"/>
    <col min="6649" max="6649" width="5" style="211" customWidth="1"/>
    <col min="6650" max="6650" width="17.875" style="211" bestFit="1" customWidth="1"/>
    <col min="6651" max="6651" width="9.875" style="211" customWidth="1"/>
    <col min="6652" max="6652" width="8.875" style="211" customWidth="1"/>
    <col min="6653" max="6653" width="7.375" style="211" bestFit="1" customWidth="1"/>
    <col min="6654" max="6654" width="10.125" style="211" bestFit="1" customWidth="1"/>
    <col min="6655" max="6655" width="9.375" style="211"/>
    <col min="6656" max="6656" width="10.125" style="211" bestFit="1" customWidth="1"/>
    <col min="6657" max="6657" width="10.75" style="211" customWidth="1"/>
    <col min="6658" max="6660" width="9.375" style="211"/>
    <col min="6661" max="6662" width="10.75" style="211" customWidth="1"/>
    <col min="6663" max="6667" width="9.375" style="211"/>
    <col min="6668" max="6668" width="1.625" style="211" bestFit="1" customWidth="1"/>
    <col min="6669" max="6669" width="9.375" style="211"/>
    <col min="6670" max="6670" width="8.875" style="211" customWidth="1"/>
    <col min="6671" max="6671" width="13.125" style="211" customWidth="1"/>
    <col min="6672" max="6672" width="9.375" style="211"/>
    <col min="6673" max="6673" width="9.875" style="211" customWidth="1"/>
    <col min="6674" max="6674" width="11.75" style="211" bestFit="1" customWidth="1"/>
    <col min="6675" max="6904" width="9.375" style="211"/>
    <col min="6905" max="6905" width="5" style="211" customWidth="1"/>
    <col min="6906" max="6906" width="17.875" style="211" bestFit="1" customWidth="1"/>
    <col min="6907" max="6907" width="9.875" style="211" customWidth="1"/>
    <col min="6908" max="6908" width="8.875" style="211" customWidth="1"/>
    <col min="6909" max="6909" width="7.375" style="211" bestFit="1" customWidth="1"/>
    <col min="6910" max="6910" width="10.125" style="211" bestFit="1" customWidth="1"/>
    <col min="6911" max="6911" width="9.375" style="211"/>
    <col min="6912" max="6912" width="10.125" style="211" bestFit="1" customWidth="1"/>
    <col min="6913" max="6913" width="10.75" style="211" customWidth="1"/>
    <col min="6914" max="6916" width="9.375" style="211"/>
    <col min="6917" max="6918" width="10.75" style="211" customWidth="1"/>
    <col min="6919" max="6923" width="9.375" style="211"/>
    <col min="6924" max="6924" width="1.625" style="211" bestFit="1" customWidth="1"/>
    <col min="6925" max="6925" width="9.375" style="211"/>
    <col min="6926" max="6926" width="8.875" style="211" customWidth="1"/>
    <col min="6927" max="6927" width="13.125" style="211" customWidth="1"/>
    <col min="6928" max="6928" width="9.375" style="211"/>
    <col min="6929" max="6929" width="9.875" style="211" customWidth="1"/>
    <col min="6930" max="6930" width="11.75" style="211" bestFit="1" customWidth="1"/>
    <col min="6931" max="7160" width="9.375" style="211"/>
    <col min="7161" max="7161" width="5" style="211" customWidth="1"/>
    <col min="7162" max="7162" width="17.875" style="211" bestFit="1" customWidth="1"/>
    <col min="7163" max="7163" width="9.875" style="211" customWidth="1"/>
    <col min="7164" max="7164" width="8.875" style="211" customWidth="1"/>
    <col min="7165" max="7165" width="7.375" style="211" bestFit="1" customWidth="1"/>
    <col min="7166" max="7166" width="10.125" style="211" bestFit="1" customWidth="1"/>
    <col min="7167" max="7167" width="9.375" style="211"/>
    <col min="7168" max="7168" width="10.125" style="211" bestFit="1" customWidth="1"/>
    <col min="7169" max="7169" width="10.75" style="211" customWidth="1"/>
    <col min="7170" max="7172" width="9.375" style="211"/>
    <col min="7173" max="7174" width="10.75" style="211" customWidth="1"/>
    <col min="7175" max="7179" width="9.375" style="211"/>
    <col min="7180" max="7180" width="1.625" style="211" bestFit="1" customWidth="1"/>
    <col min="7181" max="7181" width="9.375" style="211"/>
    <col min="7182" max="7182" width="8.875" style="211" customWidth="1"/>
    <col min="7183" max="7183" width="13.125" style="211" customWidth="1"/>
    <col min="7184" max="7184" width="9.375" style="211"/>
    <col min="7185" max="7185" width="9.875" style="211" customWidth="1"/>
    <col min="7186" max="7186" width="11.75" style="211" bestFit="1" customWidth="1"/>
    <col min="7187" max="7416" width="9.375" style="211"/>
    <col min="7417" max="7417" width="5" style="211" customWidth="1"/>
    <col min="7418" max="7418" width="17.875" style="211" bestFit="1" customWidth="1"/>
    <col min="7419" max="7419" width="9.875" style="211" customWidth="1"/>
    <col min="7420" max="7420" width="8.875" style="211" customWidth="1"/>
    <col min="7421" max="7421" width="7.375" style="211" bestFit="1" customWidth="1"/>
    <col min="7422" max="7422" width="10.125" style="211" bestFit="1" customWidth="1"/>
    <col min="7423" max="7423" width="9.375" style="211"/>
    <col min="7424" max="7424" width="10.125" style="211" bestFit="1" customWidth="1"/>
    <col min="7425" max="7425" width="10.75" style="211" customWidth="1"/>
    <col min="7426" max="7428" width="9.375" style="211"/>
    <col min="7429" max="7430" width="10.75" style="211" customWidth="1"/>
    <col min="7431" max="7435" width="9.375" style="211"/>
    <col min="7436" max="7436" width="1.625" style="211" bestFit="1" customWidth="1"/>
    <col min="7437" max="7437" width="9.375" style="211"/>
    <col min="7438" max="7438" width="8.875" style="211" customWidth="1"/>
    <col min="7439" max="7439" width="13.125" style="211" customWidth="1"/>
    <col min="7440" max="7440" width="9.375" style="211"/>
    <col min="7441" max="7441" width="9.875" style="211" customWidth="1"/>
    <col min="7442" max="7442" width="11.75" style="211" bestFit="1" customWidth="1"/>
    <col min="7443" max="7672" width="9.375" style="211"/>
    <col min="7673" max="7673" width="5" style="211" customWidth="1"/>
    <col min="7674" max="7674" width="17.875" style="211" bestFit="1" customWidth="1"/>
    <col min="7675" max="7675" width="9.875" style="211" customWidth="1"/>
    <col min="7676" max="7676" width="8.875" style="211" customWidth="1"/>
    <col min="7677" max="7677" width="7.375" style="211" bestFit="1" customWidth="1"/>
    <col min="7678" max="7678" width="10.125" style="211" bestFit="1" customWidth="1"/>
    <col min="7679" max="7679" width="9.375" style="211"/>
    <col min="7680" max="7680" width="10.125" style="211" bestFit="1" customWidth="1"/>
    <col min="7681" max="7681" width="10.75" style="211" customWidth="1"/>
    <col min="7682" max="7684" width="9.375" style="211"/>
    <col min="7685" max="7686" width="10.75" style="211" customWidth="1"/>
    <col min="7687" max="7691" width="9.375" style="211"/>
    <col min="7692" max="7692" width="1.625" style="211" bestFit="1" customWidth="1"/>
    <col min="7693" max="7693" width="9.375" style="211"/>
    <col min="7694" max="7694" width="8.875" style="211" customWidth="1"/>
    <col min="7695" max="7695" width="13.125" style="211" customWidth="1"/>
    <col min="7696" max="7696" width="9.375" style="211"/>
    <col min="7697" max="7697" width="9.875" style="211" customWidth="1"/>
    <col min="7698" max="7698" width="11.75" style="211" bestFit="1" customWidth="1"/>
    <col min="7699" max="7928" width="9.375" style="211"/>
    <col min="7929" max="7929" width="5" style="211" customWidth="1"/>
    <col min="7930" max="7930" width="17.875" style="211" bestFit="1" customWidth="1"/>
    <col min="7931" max="7931" width="9.875" style="211" customWidth="1"/>
    <col min="7932" max="7932" width="8.875" style="211" customWidth="1"/>
    <col min="7933" max="7933" width="7.375" style="211" bestFit="1" customWidth="1"/>
    <col min="7934" max="7934" width="10.125" style="211" bestFit="1" customWidth="1"/>
    <col min="7935" max="7935" width="9.375" style="211"/>
    <col min="7936" max="7936" width="10.125" style="211" bestFit="1" customWidth="1"/>
    <col min="7937" max="7937" width="10.75" style="211" customWidth="1"/>
    <col min="7938" max="7940" width="9.375" style="211"/>
    <col min="7941" max="7942" width="10.75" style="211" customWidth="1"/>
    <col min="7943" max="7947" width="9.375" style="211"/>
    <col min="7948" max="7948" width="1.625" style="211" bestFit="1" customWidth="1"/>
    <col min="7949" max="7949" width="9.375" style="211"/>
    <col min="7950" max="7950" width="8.875" style="211" customWidth="1"/>
    <col min="7951" max="7951" width="13.125" style="211" customWidth="1"/>
    <col min="7952" max="7952" width="9.375" style="211"/>
    <col min="7953" max="7953" width="9.875" style="211" customWidth="1"/>
    <col min="7954" max="7954" width="11.75" style="211" bestFit="1" customWidth="1"/>
    <col min="7955" max="8184" width="9.375" style="211"/>
    <col min="8185" max="8185" width="5" style="211" customWidth="1"/>
    <col min="8186" max="8186" width="17.875" style="211" bestFit="1" customWidth="1"/>
    <col min="8187" max="8187" width="9.875" style="211" customWidth="1"/>
    <col min="8188" max="8188" width="8.875" style="211" customWidth="1"/>
    <col min="8189" max="8189" width="7.375" style="211" bestFit="1" customWidth="1"/>
    <col min="8190" max="8190" width="10.125" style="211" bestFit="1" customWidth="1"/>
    <col min="8191" max="8191" width="9.375" style="211"/>
    <col min="8192" max="8192" width="10.125" style="211" bestFit="1" customWidth="1"/>
    <col min="8193" max="8193" width="10.75" style="211" customWidth="1"/>
    <col min="8194" max="8196" width="9.375" style="211"/>
    <col min="8197" max="8198" width="10.75" style="211" customWidth="1"/>
    <col min="8199" max="8203" width="9.375" style="211"/>
    <col min="8204" max="8204" width="1.625" style="211" bestFit="1" customWidth="1"/>
    <col min="8205" max="8205" width="9.375" style="211"/>
    <col min="8206" max="8206" width="8.875" style="211" customWidth="1"/>
    <col min="8207" max="8207" width="13.125" style="211" customWidth="1"/>
    <col min="8208" max="8208" width="9.375" style="211"/>
    <col min="8209" max="8209" width="9.875" style="211" customWidth="1"/>
    <col min="8210" max="8210" width="11.75" style="211" bestFit="1" customWidth="1"/>
    <col min="8211" max="8440" width="9.375" style="211"/>
    <col min="8441" max="8441" width="5" style="211" customWidth="1"/>
    <col min="8442" max="8442" width="17.875" style="211" bestFit="1" customWidth="1"/>
    <col min="8443" max="8443" width="9.875" style="211" customWidth="1"/>
    <col min="8444" max="8444" width="8.875" style="211" customWidth="1"/>
    <col min="8445" max="8445" width="7.375" style="211" bestFit="1" customWidth="1"/>
    <col min="8446" max="8446" width="10.125" style="211" bestFit="1" customWidth="1"/>
    <col min="8447" max="8447" width="9.375" style="211"/>
    <col min="8448" max="8448" width="10.125" style="211" bestFit="1" customWidth="1"/>
    <col min="8449" max="8449" width="10.75" style="211" customWidth="1"/>
    <col min="8450" max="8452" width="9.375" style="211"/>
    <col min="8453" max="8454" width="10.75" style="211" customWidth="1"/>
    <col min="8455" max="8459" width="9.375" style="211"/>
    <col min="8460" max="8460" width="1.625" style="211" bestFit="1" customWidth="1"/>
    <col min="8461" max="8461" width="9.375" style="211"/>
    <col min="8462" max="8462" width="8.875" style="211" customWidth="1"/>
    <col min="8463" max="8463" width="13.125" style="211" customWidth="1"/>
    <col min="8464" max="8464" width="9.375" style="211"/>
    <col min="8465" max="8465" width="9.875" style="211" customWidth="1"/>
    <col min="8466" max="8466" width="11.75" style="211" bestFit="1" customWidth="1"/>
    <col min="8467" max="8696" width="9.375" style="211"/>
    <col min="8697" max="8697" width="5" style="211" customWidth="1"/>
    <col min="8698" max="8698" width="17.875" style="211" bestFit="1" customWidth="1"/>
    <col min="8699" max="8699" width="9.875" style="211" customWidth="1"/>
    <col min="8700" max="8700" width="8.875" style="211" customWidth="1"/>
    <col min="8701" max="8701" width="7.375" style="211" bestFit="1" customWidth="1"/>
    <col min="8702" max="8702" width="10.125" style="211" bestFit="1" customWidth="1"/>
    <col min="8703" max="8703" width="9.375" style="211"/>
    <col min="8704" max="8704" width="10.125" style="211" bestFit="1" customWidth="1"/>
    <col min="8705" max="8705" width="10.75" style="211" customWidth="1"/>
    <col min="8706" max="8708" width="9.375" style="211"/>
    <col min="8709" max="8710" width="10.75" style="211" customWidth="1"/>
    <col min="8711" max="8715" width="9.375" style="211"/>
    <col min="8716" max="8716" width="1.625" style="211" bestFit="1" customWidth="1"/>
    <col min="8717" max="8717" width="9.375" style="211"/>
    <col min="8718" max="8718" width="8.875" style="211" customWidth="1"/>
    <col min="8719" max="8719" width="13.125" style="211" customWidth="1"/>
    <col min="8720" max="8720" width="9.375" style="211"/>
    <col min="8721" max="8721" width="9.875" style="211" customWidth="1"/>
    <col min="8722" max="8722" width="11.75" style="211" bestFit="1" customWidth="1"/>
    <col min="8723" max="8952" width="9.375" style="211"/>
    <col min="8953" max="8953" width="5" style="211" customWidth="1"/>
    <col min="8954" max="8954" width="17.875" style="211" bestFit="1" customWidth="1"/>
    <col min="8955" max="8955" width="9.875" style="211" customWidth="1"/>
    <col min="8956" max="8956" width="8.875" style="211" customWidth="1"/>
    <col min="8957" max="8957" width="7.375" style="211" bestFit="1" customWidth="1"/>
    <col min="8958" max="8958" width="10.125" style="211" bestFit="1" customWidth="1"/>
    <col min="8959" max="8959" width="9.375" style="211"/>
    <col min="8960" max="8960" width="10.125" style="211" bestFit="1" customWidth="1"/>
    <col min="8961" max="8961" width="10.75" style="211" customWidth="1"/>
    <col min="8962" max="8964" width="9.375" style="211"/>
    <col min="8965" max="8966" width="10.75" style="211" customWidth="1"/>
    <col min="8967" max="8971" width="9.375" style="211"/>
    <col min="8972" max="8972" width="1.625" style="211" bestFit="1" customWidth="1"/>
    <col min="8973" max="8973" width="9.375" style="211"/>
    <col min="8974" max="8974" width="8.875" style="211" customWidth="1"/>
    <col min="8975" max="8975" width="13.125" style="211" customWidth="1"/>
    <col min="8976" max="8976" width="9.375" style="211"/>
    <col min="8977" max="8977" width="9.875" style="211" customWidth="1"/>
    <col min="8978" max="8978" width="11.75" style="211" bestFit="1" customWidth="1"/>
    <col min="8979" max="9208" width="9.375" style="211"/>
    <col min="9209" max="9209" width="5" style="211" customWidth="1"/>
    <col min="9210" max="9210" width="17.875" style="211" bestFit="1" customWidth="1"/>
    <col min="9211" max="9211" width="9.875" style="211" customWidth="1"/>
    <col min="9212" max="9212" width="8.875" style="211" customWidth="1"/>
    <col min="9213" max="9213" width="7.375" style="211" bestFit="1" customWidth="1"/>
    <col min="9214" max="9214" width="10.125" style="211" bestFit="1" customWidth="1"/>
    <col min="9215" max="9215" width="9.375" style="211"/>
    <col min="9216" max="9216" width="10.125" style="211" bestFit="1" customWidth="1"/>
    <col min="9217" max="9217" width="10.75" style="211" customWidth="1"/>
    <col min="9218" max="9220" width="9.375" style="211"/>
    <col min="9221" max="9222" width="10.75" style="211" customWidth="1"/>
    <col min="9223" max="9227" width="9.375" style="211"/>
    <col min="9228" max="9228" width="1.625" style="211" bestFit="1" customWidth="1"/>
    <col min="9229" max="9229" width="9.375" style="211"/>
    <col min="9230" max="9230" width="8.875" style="211" customWidth="1"/>
    <col min="9231" max="9231" width="13.125" style="211" customWidth="1"/>
    <col min="9232" max="9232" width="9.375" style="211"/>
    <col min="9233" max="9233" width="9.875" style="211" customWidth="1"/>
    <col min="9234" max="9234" width="11.75" style="211" bestFit="1" customWidth="1"/>
    <col min="9235" max="9464" width="9.375" style="211"/>
    <col min="9465" max="9465" width="5" style="211" customWidth="1"/>
    <col min="9466" max="9466" width="17.875" style="211" bestFit="1" customWidth="1"/>
    <col min="9467" max="9467" width="9.875" style="211" customWidth="1"/>
    <col min="9468" max="9468" width="8.875" style="211" customWidth="1"/>
    <col min="9469" max="9469" width="7.375" style="211" bestFit="1" customWidth="1"/>
    <col min="9470" max="9470" width="10.125" style="211" bestFit="1" customWidth="1"/>
    <col min="9471" max="9471" width="9.375" style="211"/>
    <col min="9472" max="9472" width="10.125" style="211" bestFit="1" customWidth="1"/>
    <col min="9473" max="9473" width="10.75" style="211" customWidth="1"/>
    <col min="9474" max="9476" width="9.375" style="211"/>
    <col min="9477" max="9478" width="10.75" style="211" customWidth="1"/>
    <col min="9479" max="9483" width="9.375" style="211"/>
    <col min="9484" max="9484" width="1.625" style="211" bestFit="1" customWidth="1"/>
    <col min="9485" max="9485" width="9.375" style="211"/>
    <col min="9486" max="9486" width="8.875" style="211" customWidth="1"/>
    <col min="9487" max="9487" width="13.125" style="211" customWidth="1"/>
    <col min="9488" max="9488" width="9.375" style="211"/>
    <col min="9489" max="9489" width="9.875" style="211" customWidth="1"/>
    <col min="9490" max="9490" width="11.75" style="211" bestFit="1" customWidth="1"/>
    <col min="9491" max="9720" width="9.375" style="211"/>
    <col min="9721" max="9721" width="5" style="211" customWidth="1"/>
    <col min="9722" max="9722" width="17.875" style="211" bestFit="1" customWidth="1"/>
    <col min="9723" max="9723" width="9.875" style="211" customWidth="1"/>
    <col min="9724" max="9724" width="8.875" style="211" customWidth="1"/>
    <col min="9725" max="9725" width="7.375" style="211" bestFit="1" customWidth="1"/>
    <col min="9726" max="9726" width="10.125" style="211" bestFit="1" customWidth="1"/>
    <col min="9727" max="9727" width="9.375" style="211"/>
    <col min="9728" max="9728" width="10.125" style="211" bestFit="1" customWidth="1"/>
    <col min="9729" max="9729" width="10.75" style="211" customWidth="1"/>
    <col min="9730" max="9732" width="9.375" style="211"/>
    <col min="9733" max="9734" width="10.75" style="211" customWidth="1"/>
    <col min="9735" max="9739" width="9.375" style="211"/>
    <col min="9740" max="9740" width="1.625" style="211" bestFit="1" customWidth="1"/>
    <col min="9741" max="9741" width="9.375" style="211"/>
    <col min="9742" max="9742" width="8.875" style="211" customWidth="1"/>
    <col min="9743" max="9743" width="13.125" style="211" customWidth="1"/>
    <col min="9744" max="9744" width="9.375" style="211"/>
    <col min="9745" max="9745" width="9.875" style="211" customWidth="1"/>
    <col min="9746" max="9746" width="11.75" style="211" bestFit="1" customWidth="1"/>
    <col min="9747" max="9976" width="9.375" style="211"/>
    <col min="9977" max="9977" width="5" style="211" customWidth="1"/>
    <col min="9978" max="9978" width="17.875" style="211" bestFit="1" customWidth="1"/>
    <col min="9979" max="9979" width="9.875" style="211" customWidth="1"/>
    <col min="9980" max="9980" width="8.875" style="211" customWidth="1"/>
    <col min="9981" max="9981" width="7.375" style="211" bestFit="1" customWidth="1"/>
    <col min="9982" max="9982" width="10.125" style="211" bestFit="1" customWidth="1"/>
    <col min="9983" max="9983" width="9.375" style="211"/>
    <col min="9984" max="9984" width="10.125" style="211" bestFit="1" customWidth="1"/>
    <col min="9985" max="9985" width="10.75" style="211" customWidth="1"/>
    <col min="9986" max="9988" width="9.375" style="211"/>
    <col min="9989" max="9990" width="10.75" style="211" customWidth="1"/>
    <col min="9991" max="9995" width="9.375" style="211"/>
    <col min="9996" max="9996" width="1.625" style="211" bestFit="1" customWidth="1"/>
    <col min="9997" max="9997" width="9.375" style="211"/>
    <col min="9998" max="9998" width="8.875" style="211" customWidth="1"/>
    <col min="9999" max="9999" width="13.125" style="211" customWidth="1"/>
    <col min="10000" max="10000" width="9.375" style="211"/>
    <col min="10001" max="10001" width="9.875" style="211" customWidth="1"/>
    <col min="10002" max="10002" width="11.75" style="211" bestFit="1" customWidth="1"/>
    <col min="10003" max="10232" width="9.375" style="211"/>
    <col min="10233" max="10233" width="5" style="211" customWidth="1"/>
    <col min="10234" max="10234" width="17.875" style="211" bestFit="1" customWidth="1"/>
    <col min="10235" max="10235" width="9.875" style="211" customWidth="1"/>
    <col min="10236" max="10236" width="8.875" style="211" customWidth="1"/>
    <col min="10237" max="10237" width="7.375" style="211" bestFit="1" customWidth="1"/>
    <col min="10238" max="10238" width="10.125" style="211" bestFit="1" customWidth="1"/>
    <col min="10239" max="10239" width="9.375" style="211"/>
    <col min="10240" max="10240" width="10.125" style="211" bestFit="1" customWidth="1"/>
    <col min="10241" max="10241" width="10.75" style="211" customWidth="1"/>
    <col min="10242" max="10244" width="9.375" style="211"/>
    <col min="10245" max="10246" width="10.75" style="211" customWidth="1"/>
    <col min="10247" max="10251" width="9.375" style="211"/>
    <col min="10252" max="10252" width="1.625" style="211" bestFit="1" customWidth="1"/>
    <col min="10253" max="10253" width="9.375" style="211"/>
    <col min="10254" max="10254" width="8.875" style="211" customWidth="1"/>
    <col min="10255" max="10255" width="13.125" style="211" customWidth="1"/>
    <col min="10256" max="10256" width="9.375" style="211"/>
    <col min="10257" max="10257" width="9.875" style="211" customWidth="1"/>
    <col min="10258" max="10258" width="11.75" style="211" bestFit="1" customWidth="1"/>
    <col min="10259" max="10488" width="9.375" style="211"/>
    <col min="10489" max="10489" width="5" style="211" customWidth="1"/>
    <col min="10490" max="10490" width="17.875" style="211" bestFit="1" customWidth="1"/>
    <col min="10491" max="10491" width="9.875" style="211" customWidth="1"/>
    <col min="10492" max="10492" width="8.875" style="211" customWidth="1"/>
    <col min="10493" max="10493" width="7.375" style="211" bestFit="1" customWidth="1"/>
    <col min="10494" max="10494" width="10.125" style="211" bestFit="1" customWidth="1"/>
    <col min="10495" max="10495" width="9.375" style="211"/>
    <col min="10496" max="10496" width="10.125" style="211" bestFit="1" customWidth="1"/>
    <col min="10497" max="10497" width="10.75" style="211" customWidth="1"/>
    <col min="10498" max="10500" width="9.375" style="211"/>
    <col min="10501" max="10502" width="10.75" style="211" customWidth="1"/>
    <col min="10503" max="10507" width="9.375" style="211"/>
    <col min="10508" max="10508" width="1.625" style="211" bestFit="1" customWidth="1"/>
    <col min="10509" max="10509" width="9.375" style="211"/>
    <col min="10510" max="10510" width="8.875" style="211" customWidth="1"/>
    <col min="10511" max="10511" width="13.125" style="211" customWidth="1"/>
    <col min="10512" max="10512" width="9.375" style="211"/>
    <col min="10513" max="10513" width="9.875" style="211" customWidth="1"/>
    <col min="10514" max="10514" width="11.75" style="211" bestFit="1" customWidth="1"/>
    <col min="10515" max="10744" width="9.375" style="211"/>
    <col min="10745" max="10745" width="5" style="211" customWidth="1"/>
    <col min="10746" max="10746" width="17.875" style="211" bestFit="1" customWidth="1"/>
    <col min="10747" max="10747" width="9.875" style="211" customWidth="1"/>
    <col min="10748" max="10748" width="8.875" style="211" customWidth="1"/>
    <col min="10749" max="10749" width="7.375" style="211" bestFit="1" customWidth="1"/>
    <col min="10750" max="10750" width="10.125" style="211" bestFit="1" customWidth="1"/>
    <col min="10751" max="10751" width="9.375" style="211"/>
    <col min="10752" max="10752" width="10.125" style="211" bestFit="1" customWidth="1"/>
    <col min="10753" max="10753" width="10.75" style="211" customWidth="1"/>
    <col min="10754" max="10756" width="9.375" style="211"/>
    <col min="10757" max="10758" width="10.75" style="211" customWidth="1"/>
    <col min="10759" max="10763" width="9.375" style="211"/>
    <col min="10764" max="10764" width="1.625" style="211" bestFit="1" customWidth="1"/>
    <col min="10765" max="10765" width="9.375" style="211"/>
    <col min="10766" max="10766" width="8.875" style="211" customWidth="1"/>
    <col min="10767" max="10767" width="13.125" style="211" customWidth="1"/>
    <col min="10768" max="10768" width="9.375" style="211"/>
    <col min="10769" max="10769" width="9.875" style="211" customWidth="1"/>
    <col min="10770" max="10770" width="11.75" style="211" bestFit="1" customWidth="1"/>
    <col min="10771" max="11000" width="9.375" style="211"/>
    <col min="11001" max="11001" width="5" style="211" customWidth="1"/>
    <col min="11002" max="11002" width="17.875" style="211" bestFit="1" customWidth="1"/>
    <col min="11003" max="11003" width="9.875" style="211" customWidth="1"/>
    <col min="11004" max="11004" width="8.875" style="211" customWidth="1"/>
    <col min="11005" max="11005" width="7.375" style="211" bestFit="1" customWidth="1"/>
    <col min="11006" max="11006" width="10.125" style="211" bestFit="1" customWidth="1"/>
    <col min="11007" max="11007" width="9.375" style="211"/>
    <col min="11008" max="11008" width="10.125" style="211" bestFit="1" customWidth="1"/>
    <col min="11009" max="11009" width="10.75" style="211" customWidth="1"/>
    <col min="11010" max="11012" width="9.375" style="211"/>
    <col min="11013" max="11014" width="10.75" style="211" customWidth="1"/>
    <col min="11015" max="11019" width="9.375" style="211"/>
    <col min="11020" max="11020" width="1.625" style="211" bestFit="1" customWidth="1"/>
    <col min="11021" max="11021" width="9.375" style="211"/>
    <col min="11022" max="11022" width="8.875" style="211" customWidth="1"/>
    <col min="11023" max="11023" width="13.125" style="211" customWidth="1"/>
    <col min="11024" max="11024" width="9.375" style="211"/>
    <col min="11025" max="11025" width="9.875" style="211" customWidth="1"/>
    <col min="11026" max="11026" width="11.75" style="211" bestFit="1" customWidth="1"/>
    <col min="11027" max="11256" width="9.375" style="211"/>
    <col min="11257" max="11257" width="5" style="211" customWidth="1"/>
    <col min="11258" max="11258" width="17.875" style="211" bestFit="1" customWidth="1"/>
    <col min="11259" max="11259" width="9.875" style="211" customWidth="1"/>
    <col min="11260" max="11260" width="8.875" style="211" customWidth="1"/>
    <col min="11261" max="11261" width="7.375" style="211" bestFit="1" customWidth="1"/>
    <col min="11262" max="11262" width="10.125" style="211" bestFit="1" customWidth="1"/>
    <col min="11263" max="11263" width="9.375" style="211"/>
    <col min="11264" max="11264" width="10.125" style="211" bestFit="1" customWidth="1"/>
    <col min="11265" max="11265" width="10.75" style="211" customWidth="1"/>
    <col min="11266" max="11268" width="9.375" style="211"/>
    <col min="11269" max="11270" width="10.75" style="211" customWidth="1"/>
    <col min="11271" max="11275" width="9.375" style="211"/>
    <col min="11276" max="11276" width="1.625" style="211" bestFit="1" customWidth="1"/>
    <col min="11277" max="11277" width="9.375" style="211"/>
    <col min="11278" max="11278" width="8.875" style="211" customWidth="1"/>
    <col min="11279" max="11279" width="13.125" style="211" customWidth="1"/>
    <col min="11280" max="11280" width="9.375" style="211"/>
    <col min="11281" max="11281" width="9.875" style="211" customWidth="1"/>
    <col min="11282" max="11282" width="11.75" style="211" bestFit="1" customWidth="1"/>
    <col min="11283" max="11512" width="9.375" style="211"/>
    <col min="11513" max="11513" width="5" style="211" customWidth="1"/>
    <col min="11514" max="11514" width="17.875" style="211" bestFit="1" customWidth="1"/>
    <col min="11515" max="11515" width="9.875" style="211" customWidth="1"/>
    <col min="11516" max="11516" width="8.875" style="211" customWidth="1"/>
    <col min="11517" max="11517" width="7.375" style="211" bestFit="1" customWidth="1"/>
    <col min="11518" max="11518" width="10.125" style="211" bestFit="1" customWidth="1"/>
    <col min="11519" max="11519" width="9.375" style="211"/>
    <col min="11520" max="11520" width="10.125" style="211" bestFit="1" customWidth="1"/>
    <col min="11521" max="11521" width="10.75" style="211" customWidth="1"/>
    <col min="11522" max="11524" width="9.375" style="211"/>
    <col min="11525" max="11526" width="10.75" style="211" customWidth="1"/>
    <col min="11527" max="11531" width="9.375" style="211"/>
    <col min="11532" max="11532" width="1.625" style="211" bestFit="1" customWidth="1"/>
    <col min="11533" max="11533" width="9.375" style="211"/>
    <col min="11534" max="11534" width="8.875" style="211" customWidth="1"/>
    <col min="11535" max="11535" width="13.125" style="211" customWidth="1"/>
    <col min="11536" max="11536" width="9.375" style="211"/>
    <col min="11537" max="11537" width="9.875" style="211" customWidth="1"/>
    <col min="11538" max="11538" width="11.75" style="211" bestFit="1" customWidth="1"/>
    <col min="11539" max="11768" width="9.375" style="211"/>
    <col min="11769" max="11769" width="5" style="211" customWidth="1"/>
    <col min="11770" max="11770" width="17.875" style="211" bestFit="1" customWidth="1"/>
    <col min="11771" max="11771" width="9.875" style="211" customWidth="1"/>
    <col min="11772" max="11772" width="8.875" style="211" customWidth="1"/>
    <col min="11773" max="11773" width="7.375" style="211" bestFit="1" customWidth="1"/>
    <col min="11774" max="11774" width="10.125" style="211" bestFit="1" customWidth="1"/>
    <col min="11775" max="11775" width="9.375" style="211"/>
    <col min="11776" max="11776" width="10.125" style="211" bestFit="1" customWidth="1"/>
    <col min="11777" max="11777" width="10.75" style="211" customWidth="1"/>
    <col min="11778" max="11780" width="9.375" style="211"/>
    <col min="11781" max="11782" width="10.75" style="211" customWidth="1"/>
    <col min="11783" max="11787" width="9.375" style="211"/>
    <col min="11788" max="11788" width="1.625" style="211" bestFit="1" customWidth="1"/>
    <col min="11789" max="11789" width="9.375" style="211"/>
    <col min="11790" max="11790" width="8.875" style="211" customWidth="1"/>
    <col min="11791" max="11791" width="13.125" style="211" customWidth="1"/>
    <col min="11792" max="11792" width="9.375" style="211"/>
    <col min="11793" max="11793" width="9.875" style="211" customWidth="1"/>
    <col min="11794" max="11794" width="11.75" style="211" bestFit="1" customWidth="1"/>
    <col min="11795" max="12024" width="9.375" style="211"/>
    <col min="12025" max="12025" width="5" style="211" customWidth="1"/>
    <col min="12026" max="12026" width="17.875" style="211" bestFit="1" customWidth="1"/>
    <col min="12027" max="12027" width="9.875" style="211" customWidth="1"/>
    <col min="12028" max="12028" width="8.875" style="211" customWidth="1"/>
    <col min="12029" max="12029" width="7.375" style="211" bestFit="1" customWidth="1"/>
    <col min="12030" max="12030" width="10.125" style="211" bestFit="1" customWidth="1"/>
    <col min="12031" max="12031" width="9.375" style="211"/>
    <col min="12032" max="12032" width="10.125" style="211" bestFit="1" customWidth="1"/>
    <col min="12033" max="12033" width="10.75" style="211" customWidth="1"/>
    <col min="12034" max="12036" width="9.375" style="211"/>
    <col min="12037" max="12038" width="10.75" style="211" customWidth="1"/>
    <col min="12039" max="12043" width="9.375" style="211"/>
    <col min="12044" max="12044" width="1.625" style="211" bestFit="1" customWidth="1"/>
    <col min="12045" max="12045" width="9.375" style="211"/>
    <col min="12046" max="12046" width="8.875" style="211" customWidth="1"/>
    <col min="12047" max="12047" width="13.125" style="211" customWidth="1"/>
    <col min="12048" max="12048" width="9.375" style="211"/>
    <col min="12049" max="12049" width="9.875" style="211" customWidth="1"/>
    <col min="12050" max="12050" width="11.75" style="211" bestFit="1" customWidth="1"/>
    <col min="12051" max="12280" width="9.375" style="211"/>
    <col min="12281" max="12281" width="5" style="211" customWidth="1"/>
    <col min="12282" max="12282" width="17.875" style="211" bestFit="1" customWidth="1"/>
    <col min="12283" max="12283" width="9.875" style="211" customWidth="1"/>
    <col min="12284" max="12284" width="8.875" style="211" customWidth="1"/>
    <col min="12285" max="12285" width="7.375" style="211" bestFit="1" customWidth="1"/>
    <col min="12286" max="12286" width="10.125" style="211" bestFit="1" customWidth="1"/>
    <col min="12287" max="12287" width="9.375" style="211"/>
    <col min="12288" max="12288" width="10.125" style="211" bestFit="1" customWidth="1"/>
    <col min="12289" max="12289" width="10.75" style="211" customWidth="1"/>
    <col min="12290" max="12292" width="9.375" style="211"/>
    <col min="12293" max="12294" width="10.75" style="211" customWidth="1"/>
    <col min="12295" max="12299" width="9.375" style="211"/>
    <col min="12300" max="12300" width="1.625" style="211" bestFit="1" customWidth="1"/>
    <col min="12301" max="12301" width="9.375" style="211"/>
    <col min="12302" max="12302" width="8.875" style="211" customWidth="1"/>
    <col min="12303" max="12303" width="13.125" style="211" customWidth="1"/>
    <col min="12304" max="12304" width="9.375" style="211"/>
    <col min="12305" max="12305" width="9.875" style="211" customWidth="1"/>
    <col min="12306" max="12306" width="11.75" style="211" bestFit="1" customWidth="1"/>
    <col min="12307" max="12536" width="9.375" style="211"/>
    <col min="12537" max="12537" width="5" style="211" customWidth="1"/>
    <col min="12538" max="12538" width="17.875" style="211" bestFit="1" customWidth="1"/>
    <col min="12539" max="12539" width="9.875" style="211" customWidth="1"/>
    <col min="12540" max="12540" width="8.875" style="211" customWidth="1"/>
    <col min="12541" max="12541" width="7.375" style="211" bestFit="1" customWidth="1"/>
    <col min="12542" max="12542" width="10.125" style="211" bestFit="1" customWidth="1"/>
    <col min="12543" max="12543" width="9.375" style="211"/>
    <col min="12544" max="12544" width="10.125" style="211" bestFit="1" customWidth="1"/>
    <col min="12545" max="12545" width="10.75" style="211" customWidth="1"/>
    <col min="12546" max="12548" width="9.375" style="211"/>
    <col min="12549" max="12550" width="10.75" style="211" customWidth="1"/>
    <col min="12551" max="12555" width="9.375" style="211"/>
    <col min="12556" max="12556" width="1.625" style="211" bestFit="1" customWidth="1"/>
    <col min="12557" max="12557" width="9.375" style="211"/>
    <col min="12558" max="12558" width="8.875" style="211" customWidth="1"/>
    <col min="12559" max="12559" width="13.125" style="211" customWidth="1"/>
    <col min="12560" max="12560" width="9.375" style="211"/>
    <col min="12561" max="12561" width="9.875" style="211" customWidth="1"/>
    <col min="12562" max="12562" width="11.75" style="211" bestFit="1" customWidth="1"/>
    <col min="12563" max="12792" width="9.375" style="211"/>
    <col min="12793" max="12793" width="5" style="211" customWidth="1"/>
    <col min="12794" max="12794" width="17.875" style="211" bestFit="1" customWidth="1"/>
    <col min="12795" max="12795" width="9.875" style="211" customWidth="1"/>
    <col min="12796" max="12796" width="8.875" style="211" customWidth="1"/>
    <col min="12797" max="12797" width="7.375" style="211" bestFit="1" customWidth="1"/>
    <col min="12798" max="12798" width="10.125" style="211" bestFit="1" customWidth="1"/>
    <col min="12799" max="12799" width="9.375" style="211"/>
    <col min="12800" max="12800" width="10.125" style="211" bestFit="1" customWidth="1"/>
    <col min="12801" max="12801" width="10.75" style="211" customWidth="1"/>
    <col min="12802" max="12804" width="9.375" style="211"/>
    <col min="12805" max="12806" width="10.75" style="211" customWidth="1"/>
    <col min="12807" max="12811" width="9.375" style="211"/>
    <col min="12812" max="12812" width="1.625" style="211" bestFit="1" customWidth="1"/>
    <col min="12813" max="12813" width="9.375" style="211"/>
    <col min="12814" max="12814" width="8.875" style="211" customWidth="1"/>
    <col min="12815" max="12815" width="13.125" style="211" customWidth="1"/>
    <col min="12816" max="12816" width="9.375" style="211"/>
    <col min="12817" max="12817" width="9.875" style="211" customWidth="1"/>
    <col min="12818" max="12818" width="11.75" style="211" bestFit="1" customWidth="1"/>
    <col min="12819" max="13048" width="9.375" style="211"/>
    <col min="13049" max="13049" width="5" style="211" customWidth="1"/>
    <col min="13050" max="13050" width="17.875" style="211" bestFit="1" customWidth="1"/>
    <col min="13051" max="13051" width="9.875" style="211" customWidth="1"/>
    <col min="13052" max="13052" width="8.875" style="211" customWidth="1"/>
    <col min="13053" max="13053" width="7.375" style="211" bestFit="1" customWidth="1"/>
    <col min="13054" max="13054" width="10.125" style="211" bestFit="1" customWidth="1"/>
    <col min="13055" max="13055" width="9.375" style="211"/>
    <col min="13056" max="13056" width="10.125" style="211" bestFit="1" customWidth="1"/>
    <col min="13057" max="13057" width="10.75" style="211" customWidth="1"/>
    <col min="13058" max="13060" width="9.375" style="211"/>
    <col min="13061" max="13062" width="10.75" style="211" customWidth="1"/>
    <col min="13063" max="13067" width="9.375" style="211"/>
    <col min="13068" max="13068" width="1.625" style="211" bestFit="1" customWidth="1"/>
    <col min="13069" max="13069" width="9.375" style="211"/>
    <col min="13070" max="13070" width="8.875" style="211" customWidth="1"/>
    <col min="13071" max="13071" width="13.125" style="211" customWidth="1"/>
    <col min="13072" max="13072" width="9.375" style="211"/>
    <col min="13073" max="13073" width="9.875" style="211" customWidth="1"/>
    <col min="13074" max="13074" width="11.75" style="211" bestFit="1" customWidth="1"/>
    <col min="13075" max="13304" width="9.375" style="211"/>
    <col min="13305" max="13305" width="5" style="211" customWidth="1"/>
    <col min="13306" max="13306" width="17.875" style="211" bestFit="1" customWidth="1"/>
    <col min="13307" max="13307" width="9.875" style="211" customWidth="1"/>
    <col min="13308" max="13308" width="8.875" style="211" customWidth="1"/>
    <col min="13309" max="13309" width="7.375" style="211" bestFit="1" customWidth="1"/>
    <col min="13310" max="13310" width="10.125" style="211" bestFit="1" customWidth="1"/>
    <col min="13311" max="13311" width="9.375" style="211"/>
    <col min="13312" max="13312" width="10.125" style="211" bestFit="1" customWidth="1"/>
    <col min="13313" max="13313" width="10.75" style="211" customWidth="1"/>
    <col min="13314" max="13316" width="9.375" style="211"/>
    <col min="13317" max="13318" width="10.75" style="211" customWidth="1"/>
    <col min="13319" max="13323" width="9.375" style="211"/>
    <col min="13324" max="13324" width="1.625" style="211" bestFit="1" customWidth="1"/>
    <col min="13325" max="13325" width="9.375" style="211"/>
    <col min="13326" max="13326" width="8.875" style="211" customWidth="1"/>
    <col min="13327" max="13327" width="13.125" style="211" customWidth="1"/>
    <col min="13328" max="13328" width="9.375" style="211"/>
    <col min="13329" max="13329" width="9.875" style="211" customWidth="1"/>
    <col min="13330" max="13330" width="11.75" style="211" bestFit="1" customWidth="1"/>
    <col min="13331" max="13560" width="9.375" style="211"/>
    <col min="13561" max="13561" width="5" style="211" customWidth="1"/>
    <col min="13562" max="13562" width="17.875" style="211" bestFit="1" customWidth="1"/>
    <col min="13563" max="13563" width="9.875" style="211" customWidth="1"/>
    <col min="13564" max="13564" width="8.875" style="211" customWidth="1"/>
    <col min="13565" max="13565" width="7.375" style="211" bestFit="1" customWidth="1"/>
    <col min="13566" max="13566" width="10.125" style="211" bestFit="1" customWidth="1"/>
    <col min="13567" max="13567" width="9.375" style="211"/>
    <col min="13568" max="13568" width="10.125" style="211" bestFit="1" customWidth="1"/>
    <col min="13569" max="13569" width="10.75" style="211" customWidth="1"/>
    <col min="13570" max="13572" width="9.375" style="211"/>
    <col min="13573" max="13574" width="10.75" style="211" customWidth="1"/>
    <col min="13575" max="13579" width="9.375" style="211"/>
    <col min="13580" max="13580" width="1.625" style="211" bestFit="1" customWidth="1"/>
    <col min="13581" max="13581" width="9.375" style="211"/>
    <col min="13582" max="13582" width="8.875" style="211" customWidth="1"/>
    <col min="13583" max="13583" width="13.125" style="211" customWidth="1"/>
    <col min="13584" max="13584" width="9.375" style="211"/>
    <col min="13585" max="13585" width="9.875" style="211" customWidth="1"/>
    <col min="13586" max="13586" width="11.75" style="211" bestFit="1" customWidth="1"/>
    <col min="13587" max="13816" width="9.375" style="211"/>
    <col min="13817" max="13817" width="5" style="211" customWidth="1"/>
    <col min="13818" max="13818" width="17.875" style="211" bestFit="1" customWidth="1"/>
    <col min="13819" max="13819" width="9.875" style="211" customWidth="1"/>
    <col min="13820" max="13820" width="8.875" style="211" customWidth="1"/>
    <col min="13821" max="13821" width="7.375" style="211" bestFit="1" customWidth="1"/>
    <col min="13822" max="13822" width="10.125" style="211" bestFit="1" customWidth="1"/>
    <col min="13823" max="13823" width="9.375" style="211"/>
    <col min="13824" max="13824" width="10.125" style="211" bestFit="1" customWidth="1"/>
    <col min="13825" max="13825" width="10.75" style="211" customWidth="1"/>
    <col min="13826" max="13828" width="9.375" style="211"/>
    <col min="13829" max="13830" width="10.75" style="211" customWidth="1"/>
    <col min="13831" max="13835" width="9.375" style="211"/>
    <col min="13836" max="13836" width="1.625" style="211" bestFit="1" customWidth="1"/>
    <col min="13837" max="13837" width="9.375" style="211"/>
    <col min="13838" max="13838" width="8.875" style="211" customWidth="1"/>
    <col min="13839" max="13839" width="13.125" style="211" customWidth="1"/>
    <col min="13840" max="13840" width="9.375" style="211"/>
    <col min="13841" max="13841" width="9.875" style="211" customWidth="1"/>
    <col min="13842" max="13842" width="11.75" style="211" bestFit="1" customWidth="1"/>
    <col min="13843" max="14072" width="9.375" style="211"/>
    <col min="14073" max="14073" width="5" style="211" customWidth="1"/>
    <col min="14074" max="14074" width="17.875" style="211" bestFit="1" customWidth="1"/>
    <col min="14075" max="14075" width="9.875" style="211" customWidth="1"/>
    <col min="14076" max="14076" width="8.875" style="211" customWidth="1"/>
    <col min="14077" max="14077" width="7.375" style="211" bestFit="1" customWidth="1"/>
    <col min="14078" max="14078" width="10.125" style="211" bestFit="1" customWidth="1"/>
    <col min="14079" max="14079" width="9.375" style="211"/>
    <col min="14080" max="14080" width="10.125" style="211" bestFit="1" customWidth="1"/>
    <col min="14081" max="14081" width="10.75" style="211" customWidth="1"/>
    <col min="14082" max="14084" width="9.375" style="211"/>
    <col min="14085" max="14086" width="10.75" style="211" customWidth="1"/>
    <col min="14087" max="14091" width="9.375" style="211"/>
    <col min="14092" max="14092" width="1.625" style="211" bestFit="1" customWidth="1"/>
    <col min="14093" max="14093" width="9.375" style="211"/>
    <col min="14094" max="14094" width="8.875" style="211" customWidth="1"/>
    <col min="14095" max="14095" width="13.125" style="211" customWidth="1"/>
    <col min="14096" max="14096" width="9.375" style="211"/>
    <col min="14097" max="14097" width="9.875" style="211" customWidth="1"/>
    <col min="14098" max="14098" width="11.75" style="211" bestFit="1" customWidth="1"/>
    <col min="14099" max="14328" width="9.375" style="211"/>
    <col min="14329" max="14329" width="5" style="211" customWidth="1"/>
    <col min="14330" max="14330" width="17.875" style="211" bestFit="1" customWidth="1"/>
    <col min="14331" max="14331" width="9.875" style="211" customWidth="1"/>
    <col min="14332" max="14332" width="8.875" style="211" customWidth="1"/>
    <col min="14333" max="14333" width="7.375" style="211" bestFit="1" customWidth="1"/>
    <col min="14334" max="14334" width="10.125" style="211" bestFit="1" customWidth="1"/>
    <col min="14335" max="14335" width="9.375" style="211"/>
    <col min="14336" max="14336" width="10.125" style="211" bestFit="1" customWidth="1"/>
    <col min="14337" max="14337" width="10.75" style="211" customWidth="1"/>
    <col min="14338" max="14340" width="9.375" style="211"/>
    <col min="14341" max="14342" width="10.75" style="211" customWidth="1"/>
    <col min="14343" max="14347" width="9.375" style="211"/>
    <col min="14348" max="14348" width="1.625" style="211" bestFit="1" customWidth="1"/>
    <col min="14349" max="14349" width="9.375" style="211"/>
    <col min="14350" max="14350" width="8.875" style="211" customWidth="1"/>
    <col min="14351" max="14351" width="13.125" style="211" customWidth="1"/>
    <col min="14352" max="14352" width="9.375" style="211"/>
    <col min="14353" max="14353" width="9.875" style="211" customWidth="1"/>
    <col min="14354" max="14354" width="11.75" style="211" bestFit="1" customWidth="1"/>
    <col min="14355" max="14584" width="9.375" style="211"/>
    <col min="14585" max="14585" width="5" style="211" customWidth="1"/>
    <col min="14586" max="14586" width="17.875" style="211" bestFit="1" customWidth="1"/>
    <col min="14587" max="14587" width="9.875" style="211" customWidth="1"/>
    <col min="14588" max="14588" width="8.875" style="211" customWidth="1"/>
    <col min="14589" max="14589" width="7.375" style="211" bestFit="1" customWidth="1"/>
    <col min="14590" max="14590" width="10.125" style="211" bestFit="1" customWidth="1"/>
    <col min="14591" max="14591" width="9.375" style="211"/>
    <col min="14592" max="14592" width="10.125" style="211" bestFit="1" customWidth="1"/>
    <col min="14593" max="14593" width="10.75" style="211" customWidth="1"/>
    <col min="14594" max="14596" width="9.375" style="211"/>
    <col min="14597" max="14598" width="10.75" style="211" customWidth="1"/>
    <col min="14599" max="14603" width="9.375" style="211"/>
    <col min="14604" max="14604" width="1.625" style="211" bestFit="1" customWidth="1"/>
    <col min="14605" max="14605" width="9.375" style="211"/>
    <col min="14606" max="14606" width="8.875" style="211" customWidth="1"/>
    <col min="14607" max="14607" width="13.125" style="211" customWidth="1"/>
    <col min="14608" max="14608" width="9.375" style="211"/>
    <col min="14609" max="14609" width="9.875" style="211" customWidth="1"/>
    <col min="14610" max="14610" width="11.75" style="211" bestFit="1" customWidth="1"/>
    <col min="14611" max="14840" width="9.375" style="211"/>
    <col min="14841" max="14841" width="5" style="211" customWidth="1"/>
    <col min="14842" max="14842" width="17.875" style="211" bestFit="1" customWidth="1"/>
    <col min="14843" max="14843" width="9.875" style="211" customWidth="1"/>
    <col min="14844" max="14844" width="8.875" style="211" customWidth="1"/>
    <col min="14845" max="14845" width="7.375" style="211" bestFit="1" customWidth="1"/>
    <col min="14846" max="14846" width="10.125" style="211" bestFit="1" customWidth="1"/>
    <col min="14847" max="14847" width="9.375" style="211"/>
    <col min="14848" max="14848" width="10.125" style="211" bestFit="1" customWidth="1"/>
    <col min="14849" max="14849" width="10.75" style="211" customWidth="1"/>
    <col min="14850" max="14852" width="9.375" style="211"/>
    <col min="14853" max="14854" width="10.75" style="211" customWidth="1"/>
    <col min="14855" max="14859" width="9.375" style="211"/>
    <col min="14860" max="14860" width="1.625" style="211" bestFit="1" customWidth="1"/>
    <col min="14861" max="14861" width="9.375" style="211"/>
    <col min="14862" max="14862" width="8.875" style="211" customWidth="1"/>
    <col min="14863" max="14863" width="13.125" style="211" customWidth="1"/>
    <col min="14864" max="14864" width="9.375" style="211"/>
    <col min="14865" max="14865" width="9.875" style="211" customWidth="1"/>
    <col min="14866" max="14866" width="11.75" style="211" bestFit="1" customWidth="1"/>
    <col min="14867" max="15096" width="9.375" style="211"/>
    <col min="15097" max="15097" width="5" style="211" customWidth="1"/>
    <col min="15098" max="15098" width="17.875" style="211" bestFit="1" customWidth="1"/>
    <col min="15099" max="15099" width="9.875" style="211" customWidth="1"/>
    <col min="15100" max="15100" width="8.875" style="211" customWidth="1"/>
    <col min="15101" max="15101" width="7.375" style="211" bestFit="1" customWidth="1"/>
    <col min="15102" max="15102" width="10.125" style="211" bestFit="1" customWidth="1"/>
    <col min="15103" max="15103" width="9.375" style="211"/>
    <col min="15104" max="15104" width="10.125" style="211" bestFit="1" customWidth="1"/>
    <col min="15105" max="15105" width="10.75" style="211" customWidth="1"/>
    <col min="15106" max="15108" width="9.375" style="211"/>
    <col min="15109" max="15110" width="10.75" style="211" customWidth="1"/>
    <col min="15111" max="15115" width="9.375" style="211"/>
    <col min="15116" max="15116" width="1.625" style="211" bestFit="1" customWidth="1"/>
    <col min="15117" max="15117" width="9.375" style="211"/>
    <col min="15118" max="15118" width="8.875" style="211" customWidth="1"/>
    <col min="15119" max="15119" width="13.125" style="211" customWidth="1"/>
    <col min="15120" max="15120" width="9.375" style="211"/>
    <col min="15121" max="15121" width="9.875" style="211" customWidth="1"/>
    <col min="15122" max="15122" width="11.75" style="211" bestFit="1" customWidth="1"/>
    <col min="15123" max="15352" width="9.375" style="211"/>
    <col min="15353" max="15353" width="5" style="211" customWidth="1"/>
    <col min="15354" max="15354" width="17.875" style="211" bestFit="1" customWidth="1"/>
    <col min="15355" max="15355" width="9.875" style="211" customWidth="1"/>
    <col min="15356" max="15356" width="8.875" style="211" customWidth="1"/>
    <col min="15357" max="15357" width="7.375" style="211" bestFit="1" customWidth="1"/>
    <col min="15358" max="15358" width="10.125" style="211" bestFit="1" customWidth="1"/>
    <col min="15359" max="15359" width="9.375" style="211"/>
    <col min="15360" max="15360" width="10.125" style="211" bestFit="1" customWidth="1"/>
    <col min="15361" max="15361" width="10.75" style="211" customWidth="1"/>
    <col min="15362" max="15364" width="9.375" style="211"/>
    <col min="15365" max="15366" width="10.75" style="211" customWidth="1"/>
    <col min="15367" max="15371" width="9.375" style="211"/>
    <col min="15372" max="15372" width="1.625" style="211" bestFit="1" customWidth="1"/>
    <col min="15373" max="15373" width="9.375" style="211"/>
    <col min="15374" max="15374" width="8.875" style="211" customWidth="1"/>
    <col min="15375" max="15375" width="13.125" style="211" customWidth="1"/>
    <col min="15376" max="15376" width="9.375" style="211"/>
    <col min="15377" max="15377" width="9.875" style="211" customWidth="1"/>
    <col min="15378" max="15378" width="11.75" style="211" bestFit="1" customWidth="1"/>
    <col min="15379" max="15608" width="9.375" style="211"/>
    <col min="15609" max="15609" width="5" style="211" customWidth="1"/>
    <col min="15610" max="15610" width="17.875" style="211" bestFit="1" customWidth="1"/>
    <col min="15611" max="15611" width="9.875" style="211" customWidth="1"/>
    <col min="15612" max="15612" width="8.875" style="211" customWidth="1"/>
    <col min="15613" max="15613" width="7.375" style="211" bestFit="1" customWidth="1"/>
    <col min="15614" max="15614" width="10.125" style="211" bestFit="1" customWidth="1"/>
    <col min="15615" max="15615" width="9.375" style="211"/>
    <col min="15616" max="15616" width="10.125" style="211" bestFit="1" customWidth="1"/>
    <col min="15617" max="15617" width="10.75" style="211" customWidth="1"/>
    <col min="15618" max="15620" width="9.375" style="211"/>
    <col min="15621" max="15622" width="10.75" style="211" customWidth="1"/>
    <col min="15623" max="15627" width="9.375" style="211"/>
    <col min="15628" max="15628" width="1.625" style="211" bestFit="1" customWidth="1"/>
    <col min="15629" max="15629" width="9.375" style="211"/>
    <col min="15630" max="15630" width="8.875" style="211" customWidth="1"/>
    <col min="15631" max="15631" width="13.125" style="211" customWidth="1"/>
    <col min="15632" max="15632" width="9.375" style="211"/>
    <col min="15633" max="15633" width="9.875" style="211" customWidth="1"/>
    <col min="15634" max="15634" width="11.75" style="211" bestFit="1" customWidth="1"/>
    <col min="15635" max="15864" width="9.375" style="211"/>
    <col min="15865" max="15865" width="5" style="211" customWidth="1"/>
    <col min="15866" max="15866" width="17.875" style="211" bestFit="1" customWidth="1"/>
    <col min="15867" max="15867" width="9.875" style="211" customWidth="1"/>
    <col min="15868" max="15868" width="8.875" style="211" customWidth="1"/>
    <col min="15869" max="15869" width="7.375" style="211" bestFit="1" customWidth="1"/>
    <col min="15870" max="15870" width="10.125" style="211" bestFit="1" customWidth="1"/>
    <col min="15871" max="15871" width="9.375" style="211"/>
    <col min="15872" max="15872" width="10.125" style="211" bestFit="1" customWidth="1"/>
    <col min="15873" max="15873" width="10.75" style="211" customWidth="1"/>
    <col min="15874" max="15876" width="9.375" style="211"/>
    <col min="15877" max="15878" width="10.75" style="211" customWidth="1"/>
    <col min="15879" max="15883" width="9.375" style="211"/>
    <col min="15884" max="15884" width="1.625" style="211" bestFit="1" customWidth="1"/>
    <col min="15885" max="15885" width="9.375" style="211"/>
    <col min="15886" max="15886" width="8.875" style="211" customWidth="1"/>
    <col min="15887" max="15887" width="13.125" style="211" customWidth="1"/>
    <col min="15888" max="15888" width="9.375" style="211"/>
    <col min="15889" max="15889" width="9.875" style="211" customWidth="1"/>
    <col min="15890" max="15890" width="11.75" style="211" bestFit="1" customWidth="1"/>
    <col min="15891" max="16120" width="9.375" style="211"/>
    <col min="16121" max="16121" width="5" style="211" customWidth="1"/>
    <col min="16122" max="16122" width="17.875" style="211" bestFit="1" customWidth="1"/>
    <col min="16123" max="16123" width="9.875" style="211" customWidth="1"/>
    <col min="16124" max="16124" width="8.875" style="211" customWidth="1"/>
    <col min="16125" max="16125" width="7.375" style="211" bestFit="1" customWidth="1"/>
    <col min="16126" max="16126" width="10.125" style="211" bestFit="1" customWidth="1"/>
    <col min="16127" max="16127" width="9.375" style="211"/>
    <col min="16128" max="16128" width="10.125" style="211" bestFit="1" customWidth="1"/>
    <col min="16129" max="16129" width="10.75" style="211" customWidth="1"/>
    <col min="16130" max="16132" width="9.375" style="211"/>
    <col min="16133" max="16134" width="10.75" style="211" customWidth="1"/>
    <col min="16135" max="16139" width="9.375" style="211"/>
    <col min="16140" max="16140" width="1.625" style="211" bestFit="1" customWidth="1"/>
    <col min="16141" max="16141" width="9.375" style="211"/>
    <col min="16142" max="16142" width="8.875" style="211" customWidth="1"/>
    <col min="16143" max="16143" width="13.125" style="211" customWidth="1"/>
    <col min="16144" max="16144" width="9.375" style="211"/>
    <col min="16145" max="16145" width="9.875" style="211" customWidth="1"/>
    <col min="16146" max="16146" width="11.75" style="211" bestFit="1" customWidth="1"/>
    <col min="16147" max="16384" width="9.375" style="211"/>
  </cols>
  <sheetData>
    <row r="1" spans="1:21" s="43" customFormat="1" ht="21" x14ac:dyDescent="0.2">
      <c r="A1" s="200" t="s">
        <v>571</v>
      </c>
      <c r="B1" s="42"/>
      <c r="C1" s="42"/>
      <c r="D1" s="206"/>
      <c r="E1" s="206"/>
      <c r="F1" s="206"/>
      <c r="G1" s="206"/>
      <c r="H1" s="207"/>
      <c r="I1" s="207"/>
      <c r="J1" s="207"/>
      <c r="K1" s="207"/>
      <c r="L1" s="207"/>
      <c r="N1" s="207"/>
      <c r="O1" s="208"/>
      <c r="P1" s="56"/>
      <c r="Q1" s="208"/>
      <c r="R1" s="208"/>
      <c r="S1" s="56"/>
      <c r="T1" s="56"/>
      <c r="U1" s="56"/>
    </row>
    <row r="2" spans="1:21" s="53" customFormat="1" ht="21" x14ac:dyDescent="0.35">
      <c r="A2" s="25" t="str">
        <f>Paramètres!B5</f>
        <v>décompte provisoire 2021</v>
      </c>
      <c r="O2" s="210"/>
      <c r="P2" s="209"/>
      <c r="Q2" s="210"/>
      <c r="R2" s="210"/>
      <c r="S2" s="209"/>
      <c r="T2" s="209"/>
      <c r="U2" s="209"/>
    </row>
    <row r="4" spans="1:21" s="223" customFormat="1" ht="60" x14ac:dyDescent="0.2">
      <c r="A4" s="611" t="s">
        <v>46</v>
      </c>
      <c r="B4" s="611" t="s">
        <v>94</v>
      </c>
      <c r="C4" s="611" t="s">
        <v>579</v>
      </c>
      <c r="D4" s="611" t="s">
        <v>297</v>
      </c>
      <c r="E4" s="611" t="s">
        <v>464</v>
      </c>
      <c r="F4" s="611" t="s">
        <v>468</v>
      </c>
      <c r="G4" s="611" t="s">
        <v>569</v>
      </c>
      <c r="H4" s="613" t="s">
        <v>333</v>
      </c>
      <c r="I4" s="226" t="s">
        <v>471</v>
      </c>
      <c r="J4" s="611" t="s">
        <v>570</v>
      </c>
      <c r="K4" s="611" t="s">
        <v>572</v>
      </c>
      <c r="L4" s="611" t="s">
        <v>511</v>
      </c>
      <c r="M4" s="226" t="s">
        <v>578</v>
      </c>
      <c r="N4" s="611" t="s">
        <v>469</v>
      </c>
      <c r="O4" s="221"/>
      <c r="P4" s="220"/>
      <c r="Q4" s="221"/>
      <c r="R4" s="222"/>
      <c r="S4" s="220"/>
      <c r="T4" s="220"/>
      <c r="U4" s="220"/>
    </row>
    <row r="5" spans="1:21" s="223" customFormat="1" x14ac:dyDescent="0.2">
      <c r="A5" s="612"/>
      <c r="B5" s="612"/>
      <c r="C5" s="612"/>
      <c r="D5" s="612"/>
      <c r="E5" s="612"/>
      <c r="F5" s="612"/>
      <c r="G5" s="612"/>
      <c r="H5" s="614"/>
      <c r="I5" s="426">
        <f>Paramètres!B60</f>
        <v>2</v>
      </c>
      <c r="J5" s="612"/>
      <c r="K5" s="612"/>
      <c r="L5" s="612"/>
      <c r="M5" s="425">
        <f>+M314/L314</f>
        <v>1.1668619086216339</v>
      </c>
      <c r="N5" s="612"/>
      <c r="O5" s="222"/>
      <c r="P5" s="220"/>
      <c r="Q5" s="222"/>
      <c r="R5" s="222"/>
      <c r="S5" s="220"/>
      <c r="T5" s="220"/>
      <c r="U5" s="220"/>
    </row>
    <row r="6" spans="1:21" x14ac:dyDescent="0.25">
      <c r="A6" s="301">
        <f>'A) Base RI'!A7</f>
        <v>5401</v>
      </c>
      <c r="B6" s="224" t="str">
        <f>'A) Base RI'!B7</f>
        <v>Aigle</v>
      </c>
      <c r="C6" s="239">
        <v>1</v>
      </c>
      <c r="D6" s="214">
        <f>'B) D RI'!AA7</f>
        <v>10828</v>
      </c>
      <c r="E6" s="215">
        <f>'B) D RI'!S7</f>
        <v>66</v>
      </c>
      <c r="F6" s="10">
        <f>'B) D RI'!R7</f>
        <v>18545436.701666664</v>
      </c>
      <c r="G6" s="10">
        <f>'B) D RI'!U7</f>
        <v>280991.46517676767</v>
      </c>
      <c r="H6" s="41">
        <f>'B) D RI'!T7</f>
        <v>16461898.109999998</v>
      </c>
      <c r="I6" s="54">
        <f>+H6/E6*$I$5</f>
        <v>498845.39727272722</v>
      </c>
      <c r="J6" s="86">
        <f t="shared" ref="J6:J36" si="0">+$I$314/$D$314*D6</f>
        <v>968502.8714604734</v>
      </c>
      <c r="K6" s="54">
        <f t="shared" ref="K6:K68" si="1">IF(C6=1,0,IF(J6&gt;I6,I6,J6))</f>
        <v>0</v>
      </c>
      <c r="L6" s="54">
        <f>'D) Ecrêtage'!C6</f>
        <v>280991.46517676767</v>
      </c>
      <c r="M6" s="54">
        <f t="shared" ref="M6:M36" si="2">+$M$5*L6</f>
        <v>327878.23736255249</v>
      </c>
      <c r="N6" s="100">
        <f t="shared" ref="N6:N69" si="3">+M6+K6</f>
        <v>327878.23736255249</v>
      </c>
      <c r="O6" s="418"/>
      <c r="P6" s="217"/>
      <c r="S6" s="218"/>
    </row>
    <row r="7" spans="1:21" x14ac:dyDescent="0.25">
      <c r="A7" s="302">
        <f>'A) Base RI'!A8</f>
        <v>5402</v>
      </c>
      <c r="B7" s="225" t="str">
        <f>'A) Base RI'!B8</f>
        <v>Bex</v>
      </c>
      <c r="C7" s="240">
        <v>1</v>
      </c>
      <c r="D7" s="214">
        <f>'B) D RI'!AA8</f>
        <v>8063</v>
      </c>
      <c r="E7" s="215">
        <f>'B) D RI'!S8</f>
        <v>71</v>
      </c>
      <c r="F7" s="10">
        <f>'B) D RI'!R8</f>
        <v>13682195.640000001</v>
      </c>
      <c r="G7" s="10">
        <f>'B) D RI'!U8</f>
        <v>192706.98084507044</v>
      </c>
      <c r="H7" s="41">
        <f>'B) D RI'!T8</f>
        <v>12200377.140000001</v>
      </c>
      <c r="I7" s="10">
        <f t="shared" ref="I7:I69" si="4">+H7/E7*$I$5</f>
        <v>343672.59549295774</v>
      </c>
      <c r="J7" s="31">
        <f t="shared" si="0"/>
        <v>721189.38424323942</v>
      </c>
      <c r="K7" s="10">
        <f t="shared" si="1"/>
        <v>0</v>
      </c>
      <c r="L7" s="10">
        <f>'D) Ecrêtage'!C7</f>
        <v>192706.98084507044</v>
      </c>
      <c r="M7" s="10">
        <f t="shared" si="2"/>
        <v>224862.43547359153</v>
      </c>
      <c r="N7" s="55">
        <f t="shared" si="3"/>
        <v>224862.43547359153</v>
      </c>
      <c r="O7" s="216"/>
      <c r="P7" s="217"/>
      <c r="S7" s="218"/>
    </row>
    <row r="8" spans="1:21" x14ac:dyDescent="0.25">
      <c r="A8" s="302">
        <f>'A) Base RI'!A9</f>
        <v>5403</v>
      </c>
      <c r="B8" s="225" t="str">
        <f>'A) Base RI'!B9</f>
        <v>Chessel</v>
      </c>
      <c r="C8" s="240">
        <v>0</v>
      </c>
      <c r="D8" s="214">
        <f>'B) D RI'!AA9</f>
        <v>497</v>
      </c>
      <c r="E8" s="215">
        <f>'B) D RI'!S9</f>
        <v>74</v>
      </c>
      <c r="F8" s="10">
        <f>'B) D RI'!R9</f>
        <v>894684.62</v>
      </c>
      <c r="G8" s="10">
        <f>'B) D RI'!U9</f>
        <v>12090.332702702703</v>
      </c>
      <c r="H8" s="41">
        <f>'B) D RI'!T9</f>
        <v>797831.12</v>
      </c>
      <c r="I8" s="10">
        <f t="shared" si="4"/>
        <v>21563.003243243242</v>
      </c>
      <c r="J8" s="31">
        <f t="shared" si="0"/>
        <v>44453.816689680018</v>
      </c>
      <c r="K8" s="10">
        <f t="shared" si="1"/>
        <v>21563.003243243242</v>
      </c>
      <c r="L8" s="10">
        <f>'D) Ecrêtage'!C8</f>
        <v>12090.332702702703</v>
      </c>
      <c r="M8" s="10">
        <f t="shared" si="2"/>
        <v>14107.748693346233</v>
      </c>
      <c r="N8" s="55">
        <f t="shared" si="3"/>
        <v>35670.751936589477</v>
      </c>
      <c r="O8" s="419"/>
      <c r="P8" s="217"/>
      <c r="S8" s="218"/>
    </row>
    <row r="9" spans="1:21" x14ac:dyDescent="0.25">
      <c r="A9" s="302">
        <f>'A) Base RI'!A10</f>
        <v>5404</v>
      </c>
      <c r="B9" s="225" t="str">
        <f>'A) Base RI'!B10</f>
        <v>Corbeyrier</v>
      </c>
      <c r="C9" s="240">
        <v>0</v>
      </c>
      <c r="D9" s="214">
        <f>'B) D RI'!AA10</f>
        <v>439</v>
      </c>
      <c r="E9" s="215">
        <f>'B) D RI'!S10</f>
        <v>74</v>
      </c>
      <c r="F9" s="10">
        <f>'B) D RI'!R10</f>
        <v>857002.79</v>
      </c>
      <c r="G9" s="10">
        <f>'B) D RI'!U10</f>
        <v>11581.118783783784</v>
      </c>
      <c r="H9" s="41">
        <f>'B) D RI'!T10</f>
        <v>766547.84</v>
      </c>
      <c r="I9" s="10">
        <f t="shared" si="4"/>
        <v>20717.50918918919</v>
      </c>
      <c r="J9" s="31">
        <f t="shared" si="0"/>
        <v>39266.047337564443</v>
      </c>
      <c r="K9" s="10">
        <f t="shared" si="1"/>
        <v>20717.50918918919</v>
      </c>
      <c r="L9" s="10">
        <f>'D) Ecrêtage'!C9</f>
        <v>11581.118783783784</v>
      </c>
      <c r="M9" s="10">
        <f t="shared" si="2"/>
        <v>13513.566368019801</v>
      </c>
      <c r="N9" s="55">
        <f t="shared" si="3"/>
        <v>34231.075557208991</v>
      </c>
      <c r="O9" s="216"/>
      <c r="P9" s="217"/>
      <c r="S9" s="218"/>
    </row>
    <row r="10" spans="1:21" x14ac:dyDescent="0.25">
      <c r="A10" s="302">
        <f>'A) Base RI'!A11</f>
        <v>5405</v>
      </c>
      <c r="B10" s="225" t="str">
        <f>'A) Base RI'!B11</f>
        <v>Gryon</v>
      </c>
      <c r="C10" s="240">
        <v>0</v>
      </c>
      <c r="D10" s="214">
        <f>'B) D RI'!AA11</f>
        <v>1382</v>
      </c>
      <c r="E10" s="215">
        <f>'B) D RI'!S11</f>
        <v>73.5</v>
      </c>
      <c r="F10" s="10">
        <f>'B) D RI'!R11</f>
        <v>5741168.4300000006</v>
      </c>
      <c r="G10" s="10">
        <f>'B) D RI'!U11</f>
        <v>78111.135102040818</v>
      </c>
      <c r="H10" s="41">
        <f>'B) D RI'!T11</f>
        <v>4938155.33</v>
      </c>
      <c r="I10" s="10">
        <f t="shared" si="4"/>
        <v>134371.57360544219</v>
      </c>
      <c r="J10" s="31">
        <f t="shared" si="0"/>
        <v>123612.02145902975</v>
      </c>
      <c r="K10" s="10">
        <f t="shared" si="1"/>
        <v>123612.02145902975</v>
      </c>
      <c r="L10" s="10">
        <f>'D) Ecrêtage'!C10</f>
        <v>78111.135102040818</v>
      </c>
      <c r="M10" s="10">
        <f t="shared" si="2"/>
        <v>91144.908189769645</v>
      </c>
      <c r="N10" s="55">
        <f t="shared" si="3"/>
        <v>214756.92964879941</v>
      </c>
      <c r="O10" s="216"/>
      <c r="P10" s="217"/>
      <c r="S10" s="218"/>
    </row>
    <row r="11" spans="1:21" x14ac:dyDescent="0.25">
      <c r="A11" s="302">
        <f>'A) Base RI'!A12</f>
        <v>5406</v>
      </c>
      <c r="B11" s="225" t="str">
        <f>'A) Base RI'!B12</f>
        <v>Lavey-Morcles</v>
      </c>
      <c r="C11" s="240">
        <v>0</v>
      </c>
      <c r="D11" s="214">
        <f>'B) D RI'!AA12</f>
        <v>966</v>
      </c>
      <c r="E11" s="215">
        <f>'B) D RI'!S12</f>
        <v>71.5</v>
      </c>
      <c r="F11" s="10">
        <f>'B) D RI'!R12</f>
        <v>1538238.2861538462</v>
      </c>
      <c r="G11" s="10">
        <f>'B) D RI'!U12</f>
        <v>21513.822183969878</v>
      </c>
      <c r="H11" s="41">
        <f>'B) D RI'!T12</f>
        <v>1371184.94</v>
      </c>
      <c r="I11" s="10">
        <f t="shared" si="4"/>
        <v>38354.823496503494</v>
      </c>
      <c r="J11" s="31">
        <f t="shared" si="0"/>
        <v>86403.193002476663</v>
      </c>
      <c r="K11" s="10">
        <f t="shared" si="1"/>
        <v>38354.823496503494</v>
      </c>
      <c r="L11" s="10">
        <f>'D) Ecrêtage'!C11</f>
        <v>21513.822183969878</v>
      </c>
      <c r="M11" s="10">
        <f t="shared" si="2"/>
        <v>25103.659615333538</v>
      </c>
      <c r="N11" s="55">
        <f t="shared" si="3"/>
        <v>63458.483111837035</v>
      </c>
      <c r="O11" s="216"/>
      <c r="P11" s="217"/>
      <c r="S11" s="218"/>
    </row>
    <row r="12" spans="1:21" x14ac:dyDescent="0.25">
      <c r="A12" s="302">
        <f>'A) Base RI'!A13</f>
        <v>5407</v>
      </c>
      <c r="B12" s="225" t="str">
        <f>'A) Base RI'!B13</f>
        <v>Leysin</v>
      </c>
      <c r="C12" s="240">
        <v>0</v>
      </c>
      <c r="D12" s="214">
        <f>'B) D RI'!AA13</f>
        <v>3637</v>
      </c>
      <c r="E12" s="215">
        <f>'B) D RI'!S13</f>
        <v>78</v>
      </c>
      <c r="F12" s="10">
        <f>'B) D RI'!R13</f>
        <v>7073620.6166666662</v>
      </c>
      <c r="G12" s="10">
        <f>'B) D RI'!U13</f>
        <v>90687.443803418792</v>
      </c>
      <c r="H12" s="41">
        <f>'B) D RI'!T13</f>
        <v>6168164.0999999996</v>
      </c>
      <c r="I12" s="10">
        <f t="shared" si="4"/>
        <v>158158.05384615384</v>
      </c>
      <c r="J12" s="31">
        <f t="shared" si="0"/>
        <v>325308.91609731637</v>
      </c>
      <c r="K12" s="10">
        <f t="shared" si="1"/>
        <v>158158.05384615384</v>
      </c>
      <c r="L12" s="10">
        <f>'D) Ecrêtage'!C12</f>
        <v>90687.443803418792</v>
      </c>
      <c r="M12" s="10">
        <f t="shared" si="2"/>
        <v>105819.72376447442</v>
      </c>
      <c r="N12" s="55">
        <f t="shared" si="3"/>
        <v>263977.77761062828</v>
      </c>
      <c r="O12" s="216"/>
      <c r="P12" s="217"/>
      <c r="S12" s="218"/>
    </row>
    <row r="13" spans="1:21" x14ac:dyDescent="0.25">
      <c r="A13" s="302">
        <f>'A) Base RI'!A14</f>
        <v>5408</v>
      </c>
      <c r="B13" s="225" t="str">
        <f>'A) Base RI'!B14</f>
        <v>Noville</v>
      </c>
      <c r="C13" s="240">
        <v>0</v>
      </c>
      <c r="D13" s="214">
        <f>'B) D RI'!AA14</f>
        <v>1169</v>
      </c>
      <c r="E13" s="215">
        <f>'B) D RI'!S14</f>
        <v>78.5</v>
      </c>
      <c r="F13" s="10">
        <f>'B) D RI'!R14</f>
        <v>3249071.2466666671</v>
      </c>
      <c r="G13" s="10">
        <f>'B) D RI'!U14</f>
        <v>41389.442632696395</v>
      </c>
      <c r="H13" s="41">
        <f>'B) D RI'!T14</f>
        <v>2877998.8800000004</v>
      </c>
      <c r="I13" s="10">
        <f t="shared" si="4"/>
        <v>73324.812229299365</v>
      </c>
      <c r="J13" s="31">
        <f t="shared" si="0"/>
        <v>104560.38573488117</v>
      </c>
      <c r="K13" s="10">
        <f t="shared" si="1"/>
        <v>73324.812229299365</v>
      </c>
      <c r="L13" s="10">
        <f>'D) Ecrêtage'!C13</f>
        <v>41389.442632696395</v>
      </c>
      <c r="M13" s="10">
        <f t="shared" si="2"/>
        <v>48295.76402717374</v>
      </c>
      <c r="N13" s="55">
        <f t="shared" si="3"/>
        <v>121620.57625647311</v>
      </c>
      <c r="O13" s="216"/>
      <c r="P13" s="217"/>
      <c r="S13" s="218"/>
    </row>
    <row r="14" spans="1:21" x14ac:dyDescent="0.25">
      <c r="A14" s="302">
        <f>'A) Base RI'!A15</f>
        <v>5409</v>
      </c>
      <c r="B14" s="225" t="str">
        <f>'A) Base RI'!B15</f>
        <v>Ollon</v>
      </c>
      <c r="C14" s="240">
        <v>1</v>
      </c>
      <c r="D14" s="214">
        <f>'B) D RI'!AA15</f>
        <v>7904</v>
      </c>
      <c r="E14" s="215">
        <f>'B) D RI'!S15</f>
        <v>68</v>
      </c>
      <c r="F14" s="10">
        <f>'B) D RI'!R15</f>
        <v>29121881.330769233</v>
      </c>
      <c r="G14" s="10">
        <f>'B) D RI'!U15</f>
        <v>428262.96074660635</v>
      </c>
      <c r="H14" s="41">
        <f>'B) D RI'!T15</f>
        <v>25849243.100000001</v>
      </c>
      <c r="I14" s="10">
        <f t="shared" si="4"/>
        <v>760271.85588235303</v>
      </c>
      <c r="J14" s="31">
        <f t="shared" si="0"/>
        <v>706967.74067450885</v>
      </c>
      <c r="K14" s="10">
        <f t="shared" si="1"/>
        <v>0</v>
      </c>
      <c r="L14" s="10">
        <f>'D) Ecrêtage'!C14</f>
        <v>428262.96074660635</v>
      </c>
      <c r="M14" s="10">
        <f t="shared" si="2"/>
        <v>499723.73576873692</v>
      </c>
      <c r="N14" s="55">
        <f t="shared" si="3"/>
        <v>499723.73576873692</v>
      </c>
      <c r="O14" s="216"/>
      <c r="P14" s="217"/>
      <c r="S14" s="218"/>
    </row>
    <row r="15" spans="1:21" x14ac:dyDescent="0.25">
      <c r="A15" s="302">
        <f>'A) Base RI'!A16</f>
        <v>5410</v>
      </c>
      <c r="B15" s="225" t="str">
        <f>'A) Base RI'!B16</f>
        <v>Ormont-Dessous</v>
      </c>
      <c r="C15" s="240">
        <v>0</v>
      </c>
      <c r="D15" s="214">
        <f>'B) D RI'!AA16</f>
        <v>1162</v>
      </c>
      <c r="E15" s="215">
        <f>'B) D RI'!S16</f>
        <v>77</v>
      </c>
      <c r="F15" s="10">
        <f>'B) D RI'!R16</f>
        <v>2972754.8</v>
      </c>
      <c r="G15" s="10">
        <f>'B) D RI'!U16</f>
        <v>38607.205194805196</v>
      </c>
      <c r="H15" s="41">
        <f>'B) D RI'!T16</f>
        <v>2568086.5499999998</v>
      </c>
      <c r="I15" s="10">
        <f t="shared" si="4"/>
        <v>66703.546753246745</v>
      </c>
      <c r="J15" s="31">
        <f t="shared" si="0"/>
        <v>103934.27564066033</v>
      </c>
      <c r="K15" s="10">
        <f t="shared" si="1"/>
        <v>66703.546753246745</v>
      </c>
      <c r="L15" s="10">
        <f>'D) Ecrêtage'!C15</f>
        <v>38607.205194805196</v>
      </c>
      <c r="M15" s="10">
        <f t="shared" si="2"/>
        <v>45049.27714015745</v>
      </c>
      <c r="N15" s="55">
        <f t="shared" si="3"/>
        <v>111752.82389340419</v>
      </c>
      <c r="O15" s="216"/>
      <c r="P15" s="217"/>
      <c r="S15" s="218"/>
    </row>
    <row r="16" spans="1:21" s="212" customFormat="1" x14ac:dyDescent="0.25">
      <c r="A16" s="302">
        <f>'A) Base RI'!A17</f>
        <v>5411</v>
      </c>
      <c r="B16" s="225" t="str">
        <f>'A) Base RI'!B17</f>
        <v>Ormont-Dessus</v>
      </c>
      <c r="C16" s="240">
        <v>0</v>
      </c>
      <c r="D16" s="214">
        <f>'B) D RI'!AA17</f>
        <v>1451</v>
      </c>
      <c r="E16" s="215">
        <f>'B) D RI'!S17</f>
        <v>76</v>
      </c>
      <c r="F16" s="10">
        <f>'B) D RI'!R17</f>
        <v>5883267.2533333339</v>
      </c>
      <c r="G16" s="10">
        <f>'B) D RI'!U17</f>
        <v>77411.411228070181</v>
      </c>
      <c r="H16" s="41">
        <f>'B) D RI'!T17</f>
        <v>5020122.07</v>
      </c>
      <c r="I16" s="10">
        <f t="shared" si="4"/>
        <v>132108.4755263158</v>
      </c>
      <c r="J16" s="31">
        <f t="shared" si="0"/>
        <v>129783.6781020638</v>
      </c>
      <c r="K16" s="10">
        <f t="shared" si="1"/>
        <v>129783.6781020638</v>
      </c>
      <c r="L16" s="10">
        <f>'D) Ecrêtage'!C16</f>
        <v>77411.411228070181</v>
      </c>
      <c r="M16" s="10">
        <f t="shared" si="2"/>
        <v>90328.427054680142</v>
      </c>
      <c r="N16" s="55">
        <f t="shared" si="3"/>
        <v>220112.10515674396</v>
      </c>
      <c r="O16" s="216"/>
      <c r="P16" s="217"/>
      <c r="Q16" s="213"/>
      <c r="R16" s="213"/>
      <c r="S16" s="218"/>
    </row>
    <row r="17" spans="1:19" s="212" customFormat="1" x14ac:dyDescent="0.25">
      <c r="A17" s="302">
        <f>'A) Base RI'!A18</f>
        <v>5412</v>
      </c>
      <c r="B17" s="225" t="str">
        <f>'A) Base RI'!B18</f>
        <v>Rennaz</v>
      </c>
      <c r="C17" s="240">
        <v>0</v>
      </c>
      <c r="D17" s="214">
        <f>'B) D RI'!AA18</f>
        <v>883</v>
      </c>
      <c r="E17" s="215">
        <f>'B) D RI'!S18</f>
        <v>69</v>
      </c>
      <c r="F17" s="10">
        <f>'B) D RI'!R18</f>
        <v>1992443.96</v>
      </c>
      <c r="G17" s="10">
        <f>'B) D RI'!U18</f>
        <v>28875.999420289856</v>
      </c>
      <c r="H17" s="41">
        <f>'B) D RI'!T18</f>
        <v>1591809.9100000001</v>
      </c>
      <c r="I17" s="10">
        <f t="shared" si="4"/>
        <v>46139.417681159423</v>
      </c>
      <c r="J17" s="31">
        <f t="shared" si="0"/>
        <v>78979.31617100093</v>
      </c>
      <c r="K17" s="10">
        <f t="shared" si="1"/>
        <v>46139.417681159423</v>
      </c>
      <c r="L17" s="10">
        <f>'D) Ecrêtage'!C17</f>
        <v>28875.999420289856</v>
      </c>
      <c r="M17" s="10">
        <f t="shared" si="2"/>
        <v>33694.303796916611</v>
      </c>
      <c r="N17" s="55">
        <f t="shared" si="3"/>
        <v>79833.721478076041</v>
      </c>
      <c r="O17" s="216"/>
      <c r="P17" s="217"/>
      <c r="Q17" s="213"/>
      <c r="R17" s="213"/>
      <c r="S17" s="218"/>
    </row>
    <row r="18" spans="1:19" s="212" customFormat="1" x14ac:dyDescent="0.25">
      <c r="A18" s="302">
        <f>'A) Base RI'!A19</f>
        <v>5413</v>
      </c>
      <c r="B18" s="225" t="str">
        <f>'A) Base RI'!B19</f>
        <v>Roche</v>
      </c>
      <c r="C18" s="240">
        <v>0</v>
      </c>
      <c r="D18" s="214">
        <f>'B) D RI'!AA19</f>
        <v>1874</v>
      </c>
      <c r="E18" s="215">
        <f>'B) D RI'!S19</f>
        <v>68</v>
      </c>
      <c r="F18" s="10">
        <f>'B) D RI'!R19</f>
        <v>2934100.8049999992</v>
      </c>
      <c r="G18" s="10">
        <f>'B) D RI'!U19</f>
        <v>43148.541249999987</v>
      </c>
      <c r="H18" s="41">
        <f>'B) D RI'!T19</f>
        <v>2616031.3799999994</v>
      </c>
      <c r="I18" s="10">
        <f t="shared" si="4"/>
        <v>76942.099411764691</v>
      </c>
      <c r="J18" s="31">
        <f t="shared" si="0"/>
        <v>167618.61665283775</v>
      </c>
      <c r="K18" s="10">
        <f t="shared" si="1"/>
        <v>76942.099411764691</v>
      </c>
      <c r="L18" s="10">
        <f>'D) Ecrêtage'!C18</f>
        <v>43148.541249999987</v>
      </c>
      <c r="M18" s="10">
        <f t="shared" si="2"/>
        <v>50348.389197214281</v>
      </c>
      <c r="N18" s="55">
        <f t="shared" si="3"/>
        <v>127290.48860897898</v>
      </c>
      <c r="O18" s="216"/>
      <c r="P18" s="217"/>
      <c r="Q18" s="213"/>
      <c r="R18" s="213"/>
      <c r="S18" s="218"/>
    </row>
    <row r="19" spans="1:19" s="212" customFormat="1" x14ac:dyDescent="0.25">
      <c r="A19" s="302">
        <f>'A) Base RI'!A20</f>
        <v>5414</v>
      </c>
      <c r="B19" s="225" t="str">
        <f>'A) Base RI'!B20</f>
        <v>Villeneuve</v>
      </c>
      <c r="C19" s="240">
        <v>0</v>
      </c>
      <c r="D19" s="214">
        <f>'B) D RI'!AA20</f>
        <v>5921</v>
      </c>
      <c r="E19" s="215">
        <f>'B) D RI'!S20</f>
        <v>67.5</v>
      </c>
      <c r="F19" s="10">
        <f>'B) D RI'!R20</f>
        <v>12535573.98</v>
      </c>
      <c r="G19" s="10">
        <f>'B) D RI'!U20</f>
        <v>185712.20711111111</v>
      </c>
      <c r="H19" s="41">
        <f>'B) D RI'!T20</f>
        <v>11089203.129999999</v>
      </c>
      <c r="I19" s="10">
        <f t="shared" si="4"/>
        <v>328568.98162962962</v>
      </c>
      <c r="J19" s="31">
        <f t="shared" si="0"/>
        <v>529599.69541166082</v>
      </c>
      <c r="K19" s="10">
        <f t="shared" si="1"/>
        <v>328568.98162962962</v>
      </c>
      <c r="L19" s="10">
        <f>'D) Ecrêtage'!C19</f>
        <v>185712.20711111111</v>
      </c>
      <c r="M19" s="10">
        <f t="shared" si="2"/>
        <v>216700.50044400728</v>
      </c>
      <c r="N19" s="55">
        <f t="shared" si="3"/>
        <v>545269.48207363696</v>
      </c>
      <c r="O19" s="216"/>
      <c r="P19" s="217"/>
      <c r="Q19" s="213"/>
      <c r="R19" s="213"/>
      <c r="S19" s="218"/>
    </row>
    <row r="20" spans="1:19" s="212" customFormat="1" x14ac:dyDescent="0.25">
      <c r="A20" s="302">
        <f>'A) Base RI'!A21</f>
        <v>5415</v>
      </c>
      <c r="B20" s="225" t="str">
        <f>'A) Base RI'!B21</f>
        <v>Yvorne</v>
      </c>
      <c r="C20" s="240">
        <v>0</v>
      </c>
      <c r="D20" s="214">
        <f>'B) D RI'!AA21</f>
        <v>1038</v>
      </c>
      <c r="E20" s="215">
        <f>'B) D RI'!S21</f>
        <v>71.5</v>
      </c>
      <c r="F20" s="10">
        <f>'B) D RI'!R21</f>
        <v>2567584.6366666663</v>
      </c>
      <c r="G20" s="10">
        <f>'B) D RI'!U21</f>
        <v>35910.274638694631</v>
      </c>
      <c r="H20" s="41">
        <f>'B) D RI'!T21</f>
        <v>2317624.5699999994</v>
      </c>
      <c r="I20" s="10">
        <f t="shared" si="4"/>
        <v>64828.659300699284</v>
      </c>
      <c r="J20" s="31">
        <f t="shared" si="0"/>
        <v>92843.182543033923</v>
      </c>
      <c r="K20" s="10">
        <f t="shared" si="1"/>
        <v>64828.659300699284</v>
      </c>
      <c r="L20" s="10">
        <f>'D) Ecrêtage'!C20</f>
        <v>35910.274638694631</v>
      </c>
      <c r="M20" s="10">
        <f t="shared" si="2"/>
        <v>41902.331604034269</v>
      </c>
      <c r="N20" s="55">
        <f t="shared" si="3"/>
        <v>106730.99090473355</v>
      </c>
      <c r="O20" s="216"/>
      <c r="P20" s="217"/>
      <c r="Q20" s="213"/>
      <c r="R20" s="213"/>
      <c r="S20" s="218"/>
    </row>
    <row r="21" spans="1:19" s="212" customFormat="1" x14ac:dyDescent="0.25">
      <c r="A21" s="302">
        <f>'A) Base RI'!A22</f>
        <v>5421</v>
      </c>
      <c r="B21" s="225" t="str">
        <f>'A) Base RI'!B22</f>
        <v>Apples</v>
      </c>
      <c r="C21" s="240">
        <v>0</v>
      </c>
      <c r="D21" s="214">
        <f>'B) D RI'!AA22</f>
        <v>1469</v>
      </c>
      <c r="E21" s="215">
        <f>'B) D RI'!S22</f>
        <v>74</v>
      </c>
      <c r="F21" s="10">
        <f>'B) D RI'!R22</f>
        <v>5071341.9700000007</v>
      </c>
      <c r="G21" s="10">
        <f>'B) D RI'!U22</f>
        <v>68531.648243243253</v>
      </c>
      <c r="H21" s="41">
        <f>'B) D RI'!T22</f>
        <v>4754632.370000001</v>
      </c>
      <c r="I21" s="10">
        <f t="shared" si="4"/>
        <v>128503.5775675676</v>
      </c>
      <c r="J21" s="31">
        <f t="shared" si="0"/>
        <v>131393.67548720312</v>
      </c>
      <c r="K21" s="10">
        <f t="shared" si="1"/>
        <v>128503.5775675676</v>
      </c>
      <c r="L21" s="10">
        <f>'D) Ecrêtage'!C21</f>
        <v>68531.648243243253</v>
      </c>
      <c r="M21" s="10">
        <f t="shared" si="2"/>
        <v>79966.969870097266</v>
      </c>
      <c r="N21" s="55">
        <f t="shared" si="3"/>
        <v>208470.54743766488</v>
      </c>
      <c r="O21" s="216"/>
      <c r="P21" s="217"/>
      <c r="Q21" s="213"/>
      <c r="R21" s="213"/>
      <c r="S21" s="218"/>
    </row>
    <row r="22" spans="1:19" s="212" customFormat="1" x14ac:dyDescent="0.25">
      <c r="A22" s="302">
        <f>'A) Base RI'!A23</f>
        <v>5422</v>
      </c>
      <c r="B22" s="225" t="str">
        <f>'A) Base RI'!B23</f>
        <v>Aubonne</v>
      </c>
      <c r="C22" s="240">
        <v>0</v>
      </c>
      <c r="D22" s="214">
        <f>'B) D RI'!AA23</f>
        <v>3781</v>
      </c>
      <c r="E22" s="215">
        <f>'B) D RI'!S23</f>
        <v>70</v>
      </c>
      <c r="F22" s="10">
        <f>'B) D RI'!R23</f>
        <v>25529453.949999999</v>
      </c>
      <c r="G22" s="10">
        <f>'B) D RI'!U23</f>
        <v>364706.48499999999</v>
      </c>
      <c r="H22" s="41">
        <f>'B) D RI'!T23</f>
        <v>24287119.379999999</v>
      </c>
      <c r="I22" s="10">
        <f t="shared" si="4"/>
        <v>693917.69657142856</v>
      </c>
      <c r="J22" s="31">
        <f t="shared" si="0"/>
        <v>338188.89517843089</v>
      </c>
      <c r="K22" s="10">
        <f t="shared" si="1"/>
        <v>338188.89517843089</v>
      </c>
      <c r="L22" s="10">
        <f>'D) Ecrêtage'!C22</f>
        <v>364706.48499999999</v>
      </c>
      <c r="M22" s="10">
        <f t="shared" si="2"/>
        <v>425562.10517378728</v>
      </c>
      <c r="N22" s="55">
        <f t="shared" si="3"/>
        <v>763751.00035221817</v>
      </c>
      <c r="O22" s="216"/>
      <c r="P22" s="217"/>
      <c r="Q22" s="213"/>
      <c r="R22" s="213"/>
      <c r="S22" s="218"/>
    </row>
    <row r="23" spans="1:19" s="212" customFormat="1" x14ac:dyDescent="0.25">
      <c r="A23" s="302">
        <f>'A) Base RI'!A24</f>
        <v>5423</v>
      </c>
      <c r="B23" s="225" t="str">
        <f>'A) Base RI'!B24</f>
        <v>Ballens</v>
      </c>
      <c r="C23" s="240">
        <v>0</v>
      </c>
      <c r="D23" s="214">
        <f>'B) D RI'!AA24</f>
        <v>567</v>
      </c>
      <c r="E23" s="215">
        <f>'B) D RI'!S24</f>
        <v>73</v>
      </c>
      <c r="F23" s="10">
        <f>'B) D RI'!R24</f>
        <v>1182194.1399999999</v>
      </c>
      <c r="G23" s="10">
        <f>'B) D RI'!U24</f>
        <v>16194.440273972601</v>
      </c>
      <c r="H23" s="41">
        <f>'B) D RI'!T24</f>
        <v>1098378.2899999998</v>
      </c>
      <c r="I23" s="10">
        <f t="shared" si="4"/>
        <v>30092.555890410953</v>
      </c>
      <c r="J23" s="31">
        <f t="shared" si="0"/>
        <v>50714.917631888478</v>
      </c>
      <c r="K23" s="10">
        <f t="shared" si="1"/>
        <v>30092.555890410953</v>
      </c>
      <c r="L23" s="10">
        <f>'D) Ecrêtage'!C23</f>
        <v>16194.440273972601</v>
      </c>
      <c r="M23" s="10">
        <f t="shared" si="2"/>
        <v>18896.675487146724</v>
      </c>
      <c r="N23" s="55">
        <f t="shared" si="3"/>
        <v>48989.231377557677</v>
      </c>
      <c r="O23" s="216"/>
      <c r="P23" s="217"/>
      <c r="Q23" s="213"/>
      <c r="R23" s="213"/>
      <c r="S23" s="218"/>
    </row>
    <row r="24" spans="1:19" s="212" customFormat="1" x14ac:dyDescent="0.25">
      <c r="A24" s="302">
        <f>'A) Base RI'!A25</f>
        <v>5424</v>
      </c>
      <c r="B24" s="225" t="str">
        <f>'A) Base RI'!B25</f>
        <v>Berolle</v>
      </c>
      <c r="C24" s="240">
        <v>0</v>
      </c>
      <c r="D24" s="214">
        <f>'B) D RI'!AA25</f>
        <v>308</v>
      </c>
      <c r="E24" s="215">
        <f>'B) D RI'!S25</f>
        <v>75.5</v>
      </c>
      <c r="F24" s="10">
        <f>'B) D RI'!R25</f>
        <v>626791.06999999995</v>
      </c>
      <c r="G24" s="10">
        <f>'B) D RI'!U25</f>
        <v>8301.8684768211915</v>
      </c>
      <c r="H24" s="41">
        <f>'B) D RI'!T25</f>
        <v>575508.47</v>
      </c>
      <c r="I24" s="10">
        <f t="shared" si="4"/>
        <v>15245.257483443707</v>
      </c>
      <c r="J24" s="31">
        <f t="shared" si="0"/>
        <v>27548.844145717198</v>
      </c>
      <c r="K24" s="10">
        <f t="shared" si="1"/>
        <v>15245.257483443707</v>
      </c>
      <c r="L24" s="10">
        <f>'D) Ecrêtage'!C24</f>
        <v>8301.8684768211915</v>
      </c>
      <c r="M24" s="10">
        <f t="shared" si="2"/>
        <v>9687.1340959893514</v>
      </c>
      <c r="N24" s="55">
        <f t="shared" si="3"/>
        <v>24932.391579433061</v>
      </c>
      <c r="O24" s="216"/>
      <c r="P24" s="217"/>
      <c r="Q24" s="213"/>
      <c r="R24" s="213"/>
      <c r="S24" s="218"/>
    </row>
    <row r="25" spans="1:19" s="212" customFormat="1" x14ac:dyDescent="0.25">
      <c r="A25" s="302">
        <f>'A) Base RI'!A26</f>
        <v>5425</v>
      </c>
      <c r="B25" s="225" t="str">
        <f>'A) Base RI'!B26</f>
        <v>Bière</v>
      </c>
      <c r="C25" s="240">
        <v>0</v>
      </c>
      <c r="D25" s="214">
        <f>'B) D RI'!AA26</f>
        <v>1634</v>
      </c>
      <c r="E25" s="215">
        <f>'B) D RI'!S26</f>
        <v>69</v>
      </c>
      <c r="F25" s="10">
        <f>'B) D RI'!R26</f>
        <v>3051904.3710344825</v>
      </c>
      <c r="G25" s="10">
        <f>'B) D RI'!U26</f>
        <v>44230.498130934531</v>
      </c>
      <c r="H25" s="41">
        <f>'B) D RI'!T26</f>
        <v>2818718.5399999996</v>
      </c>
      <c r="I25" s="10">
        <f t="shared" si="4"/>
        <v>81701.986666666649</v>
      </c>
      <c r="J25" s="31">
        <f t="shared" si="0"/>
        <v>146151.9848509802</v>
      </c>
      <c r="K25" s="10">
        <f t="shared" si="1"/>
        <v>81701.986666666649</v>
      </c>
      <c r="L25" s="10">
        <f>'D) Ecrêtage'!C25</f>
        <v>44230.498130934531</v>
      </c>
      <c r="M25" s="10">
        <f t="shared" si="2"/>
        <v>51610.883468347878</v>
      </c>
      <c r="N25" s="55">
        <f t="shared" si="3"/>
        <v>133312.87013501453</v>
      </c>
      <c r="O25" s="216"/>
      <c r="P25" s="217"/>
      <c r="Q25" s="213"/>
      <c r="R25" s="213"/>
      <c r="S25" s="218"/>
    </row>
    <row r="26" spans="1:19" s="212" customFormat="1" x14ac:dyDescent="0.25">
      <c r="A26" s="302">
        <f>'A) Base RI'!A27</f>
        <v>5426</v>
      </c>
      <c r="B26" s="225" t="str">
        <f>'A) Base RI'!B27</f>
        <v>Bougy-Villars</v>
      </c>
      <c r="C26" s="240">
        <v>0</v>
      </c>
      <c r="D26" s="214">
        <f>'B) D RI'!AA27</f>
        <v>497</v>
      </c>
      <c r="E26" s="215">
        <f>'B) D RI'!S27</f>
        <v>64.5</v>
      </c>
      <c r="F26" s="10">
        <f>'B) D RI'!R27</f>
        <v>3421319.8383333334</v>
      </c>
      <c r="G26" s="10">
        <f>'B) D RI'!U27</f>
        <v>53043.718423772611</v>
      </c>
      <c r="H26" s="41">
        <f>'B) D RI'!T27</f>
        <v>3118976.83</v>
      </c>
      <c r="I26" s="10">
        <f t="shared" si="4"/>
        <v>96712.459844961239</v>
      </c>
      <c r="J26" s="31">
        <f t="shared" si="0"/>
        <v>44453.816689680018</v>
      </c>
      <c r="K26" s="10">
        <f t="shared" si="1"/>
        <v>44453.816689680018</v>
      </c>
      <c r="L26" s="10">
        <f>'D) Ecrêtage'!C26</f>
        <v>53043.718423772611</v>
      </c>
      <c r="M26" s="10">
        <f t="shared" si="2"/>
        <v>61894.694520351833</v>
      </c>
      <c r="N26" s="55">
        <f t="shared" si="3"/>
        <v>106348.51121003185</v>
      </c>
      <c r="O26" s="216"/>
      <c r="P26" s="217"/>
      <c r="Q26" s="213"/>
      <c r="R26" s="213"/>
      <c r="S26" s="218"/>
    </row>
    <row r="27" spans="1:19" s="212" customFormat="1" x14ac:dyDescent="0.25">
      <c r="A27" s="302">
        <f>'A) Base RI'!A28</f>
        <v>5427</v>
      </c>
      <c r="B27" s="225" t="str">
        <f>'A) Base RI'!B28</f>
        <v>Féchy</v>
      </c>
      <c r="C27" s="240">
        <v>0</v>
      </c>
      <c r="D27" s="214">
        <f>'B) D RI'!AA28</f>
        <v>893</v>
      </c>
      <c r="E27" s="215">
        <f>'B) D RI'!S28</f>
        <v>64</v>
      </c>
      <c r="F27" s="10">
        <f>'B) D RI'!R28</f>
        <v>5645984.5684615383</v>
      </c>
      <c r="G27" s="10">
        <f>'B) D RI'!U28</f>
        <v>88218.508882211536</v>
      </c>
      <c r="H27" s="41">
        <f>'B) D RI'!T28</f>
        <v>5283391.03</v>
      </c>
      <c r="I27" s="10">
        <f t="shared" si="4"/>
        <v>165105.96968750001</v>
      </c>
      <c r="J27" s="31">
        <f t="shared" si="0"/>
        <v>79873.759162744987</v>
      </c>
      <c r="K27" s="10">
        <f t="shared" si="1"/>
        <v>79873.759162744987</v>
      </c>
      <c r="L27" s="10">
        <f>'D) Ecrêtage'!C27</f>
        <v>88218.508882211536</v>
      </c>
      <c r="M27" s="10">
        <f t="shared" si="2"/>
        <v>102938.81765005192</v>
      </c>
      <c r="N27" s="55">
        <f t="shared" si="3"/>
        <v>182812.57681279691</v>
      </c>
      <c r="O27" s="216"/>
      <c r="P27" s="217"/>
      <c r="Q27" s="213"/>
      <c r="R27" s="213"/>
      <c r="S27" s="218"/>
    </row>
    <row r="28" spans="1:19" s="212" customFormat="1" x14ac:dyDescent="0.25">
      <c r="A28" s="302">
        <f>'A) Base RI'!A29</f>
        <v>5428</v>
      </c>
      <c r="B28" s="225" t="str">
        <f>'A) Base RI'!B29</f>
        <v>Gimel</v>
      </c>
      <c r="C28" s="240">
        <v>0</v>
      </c>
      <c r="D28" s="214">
        <f>'B) D RI'!AA29</f>
        <v>2402</v>
      </c>
      <c r="E28" s="215">
        <f>'B) D RI'!S29</f>
        <v>74.5</v>
      </c>
      <c r="F28" s="10">
        <f>'B) D RI'!R29</f>
        <v>5256623.0666666664</v>
      </c>
      <c r="G28" s="10">
        <f>'B) D RI'!U29</f>
        <v>70558.698881431759</v>
      </c>
      <c r="H28" s="41">
        <f>'B) D RI'!T29</f>
        <v>4845319.05</v>
      </c>
      <c r="I28" s="10">
        <f t="shared" si="4"/>
        <v>130075.67919463087</v>
      </c>
      <c r="J28" s="31">
        <f t="shared" si="0"/>
        <v>214845.20661692438</v>
      </c>
      <c r="K28" s="10">
        <f t="shared" si="1"/>
        <v>130075.67919463087</v>
      </c>
      <c r="L28" s="10">
        <f>'D) Ecrêtage'!C28</f>
        <v>70558.698881431759</v>
      </c>
      <c r="M28" s="10">
        <f t="shared" si="2"/>
        <v>82332.258046646602</v>
      </c>
      <c r="N28" s="55">
        <f t="shared" si="3"/>
        <v>212407.93724127748</v>
      </c>
      <c r="O28" s="216"/>
      <c r="P28" s="217"/>
      <c r="Q28" s="213"/>
      <c r="R28" s="213"/>
      <c r="S28" s="218"/>
    </row>
    <row r="29" spans="1:19" s="212" customFormat="1" x14ac:dyDescent="0.25">
      <c r="A29" s="302">
        <f>'A) Base RI'!A30</f>
        <v>5429</v>
      </c>
      <c r="B29" s="225" t="str">
        <f>'A) Base RI'!B30</f>
        <v>Longirod</v>
      </c>
      <c r="C29" s="240">
        <v>0</v>
      </c>
      <c r="D29" s="214">
        <f>'B) D RI'!AA30</f>
        <v>520</v>
      </c>
      <c r="E29" s="215">
        <f>'B) D RI'!S30</f>
        <v>77.5</v>
      </c>
      <c r="F29" s="10">
        <f>'B) D RI'!R30</f>
        <v>1439520.0599999998</v>
      </c>
      <c r="G29" s="10">
        <f>'B) D RI'!U30</f>
        <v>18574.452387096771</v>
      </c>
      <c r="H29" s="41">
        <f>'B) D RI'!T30</f>
        <v>1331073.9099999999</v>
      </c>
      <c r="I29" s="10">
        <f t="shared" si="4"/>
        <v>34350.294451612899</v>
      </c>
      <c r="J29" s="31">
        <f t="shared" si="0"/>
        <v>46511.035570691369</v>
      </c>
      <c r="K29" s="10">
        <f t="shared" si="1"/>
        <v>34350.294451612899</v>
      </c>
      <c r="L29" s="10">
        <f>'D) Ecrêtage'!C29</f>
        <v>18574.452387096771</v>
      </c>
      <c r="M29" s="10">
        <f t="shared" si="2"/>
        <v>21673.820964009403</v>
      </c>
      <c r="N29" s="55">
        <f t="shared" si="3"/>
        <v>56024.115415622306</v>
      </c>
      <c r="O29" s="216"/>
      <c r="P29" s="217"/>
      <c r="Q29" s="213"/>
      <c r="R29" s="213"/>
      <c r="S29" s="218"/>
    </row>
    <row r="30" spans="1:19" s="212" customFormat="1" x14ac:dyDescent="0.25">
      <c r="A30" s="302">
        <f>'A) Base RI'!A31</f>
        <v>5430</v>
      </c>
      <c r="B30" s="225" t="str">
        <f>'A) Base RI'!B31</f>
        <v>Marchissy</v>
      </c>
      <c r="C30" s="240">
        <v>0</v>
      </c>
      <c r="D30" s="214">
        <f>'B) D RI'!AA31</f>
        <v>485</v>
      </c>
      <c r="E30" s="215">
        <f>'B) D RI'!S31</f>
        <v>77.5</v>
      </c>
      <c r="F30" s="10">
        <f>'B) D RI'!R31</f>
        <v>1207526.0700000003</v>
      </c>
      <c r="G30" s="10">
        <f>'B) D RI'!U31</f>
        <v>15580.981548387101</v>
      </c>
      <c r="H30" s="41">
        <f>'B) D RI'!T31</f>
        <v>1112330.2700000003</v>
      </c>
      <c r="I30" s="10">
        <f t="shared" si="4"/>
        <v>28705.297290322585</v>
      </c>
      <c r="J30" s="31">
        <f t="shared" si="0"/>
        <v>43380.485099587146</v>
      </c>
      <c r="K30" s="10">
        <f t="shared" si="1"/>
        <v>28705.297290322585</v>
      </c>
      <c r="L30" s="10">
        <f>'D) Ecrêtage'!C30</f>
        <v>15580.981548387101</v>
      </c>
      <c r="M30" s="10">
        <f t="shared" si="2"/>
        <v>18180.853867749433</v>
      </c>
      <c r="N30" s="55">
        <f t="shared" si="3"/>
        <v>46886.151158072018</v>
      </c>
      <c r="O30" s="216"/>
      <c r="P30" s="217"/>
      <c r="Q30" s="213"/>
      <c r="R30" s="213"/>
      <c r="S30" s="218"/>
    </row>
    <row r="31" spans="1:19" s="212" customFormat="1" x14ac:dyDescent="0.25">
      <c r="A31" s="302">
        <f>'A) Base RI'!A32</f>
        <v>5431</v>
      </c>
      <c r="B31" s="225" t="str">
        <f>'A) Base RI'!B32</f>
        <v>Mollens</v>
      </c>
      <c r="C31" s="240">
        <v>0</v>
      </c>
      <c r="D31" s="214">
        <f>'B) D RI'!AA32</f>
        <v>319</v>
      </c>
      <c r="E31" s="215">
        <f>'B) D RI'!S32</f>
        <v>74</v>
      </c>
      <c r="F31" s="10">
        <f>'B) D RI'!R32</f>
        <v>774407.97</v>
      </c>
      <c r="G31" s="10">
        <f>'B) D RI'!U32</f>
        <v>10464.972567567567</v>
      </c>
      <c r="H31" s="41">
        <f>'B) D RI'!T32</f>
        <v>720292.87</v>
      </c>
      <c r="I31" s="10">
        <f t="shared" si="4"/>
        <v>19467.374864864865</v>
      </c>
      <c r="J31" s="31">
        <f t="shared" si="0"/>
        <v>28532.731436635666</v>
      </c>
      <c r="K31" s="10">
        <f t="shared" si="1"/>
        <v>19467.374864864865</v>
      </c>
      <c r="L31" s="10">
        <f>'D) Ecrêtage'!C31</f>
        <v>10464.972567567567</v>
      </c>
      <c r="M31" s="10">
        <f t="shared" si="2"/>
        <v>12211.177863864932</v>
      </c>
      <c r="N31" s="55">
        <f t="shared" si="3"/>
        <v>31678.552728729795</v>
      </c>
      <c r="O31" s="216"/>
      <c r="P31" s="217"/>
      <c r="Q31" s="213"/>
      <c r="R31" s="213"/>
      <c r="S31" s="218"/>
    </row>
    <row r="32" spans="1:19" s="212" customFormat="1" x14ac:dyDescent="0.25">
      <c r="A32" s="302">
        <f>'A) Base RI'!A33</f>
        <v>5434</v>
      </c>
      <c r="B32" s="225" t="str">
        <f>'A) Base RI'!B33</f>
        <v>Saint-George</v>
      </c>
      <c r="C32" s="240">
        <v>0</v>
      </c>
      <c r="D32" s="214">
        <f>'B) D RI'!AA33</f>
        <v>1072</v>
      </c>
      <c r="E32" s="215">
        <f>'B) D RI'!S33</f>
        <v>69.5</v>
      </c>
      <c r="F32" s="10">
        <f>'B) D RI'!R33</f>
        <v>3026360.0216666665</v>
      </c>
      <c r="G32" s="10">
        <f>'B) D RI'!U33</f>
        <v>43544.748513189443</v>
      </c>
      <c r="H32" s="41">
        <f>'B) D RI'!T33</f>
        <v>2781503.78</v>
      </c>
      <c r="I32" s="10">
        <f t="shared" si="4"/>
        <v>80043.274244604312</v>
      </c>
      <c r="J32" s="31">
        <f t="shared" si="0"/>
        <v>95884.288714963754</v>
      </c>
      <c r="K32" s="10">
        <f t="shared" si="1"/>
        <v>80043.274244604312</v>
      </c>
      <c r="L32" s="10">
        <f>'D) Ecrêtage'!C32</f>
        <v>43544.748513189443</v>
      </c>
      <c r="M32" s="10">
        <f t="shared" si="2"/>
        <v>50810.708360549288</v>
      </c>
      <c r="N32" s="55">
        <f t="shared" si="3"/>
        <v>130853.98260515361</v>
      </c>
      <c r="O32" s="216"/>
      <c r="P32" s="217"/>
      <c r="Q32" s="213"/>
      <c r="R32" s="213"/>
      <c r="S32" s="218"/>
    </row>
    <row r="33" spans="1:19" s="212" customFormat="1" x14ac:dyDescent="0.25">
      <c r="A33" s="302">
        <f>'A) Base RI'!A34</f>
        <v>5435</v>
      </c>
      <c r="B33" s="225" t="str">
        <f>'A) Base RI'!B34</f>
        <v>Saint-Livres</v>
      </c>
      <c r="C33" s="240">
        <v>0</v>
      </c>
      <c r="D33" s="214">
        <f>'B) D RI'!AA34</f>
        <v>674</v>
      </c>
      <c r="E33" s="215">
        <f>'B) D RI'!S34</f>
        <v>69</v>
      </c>
      <c r="F33" s="10">
        <f>'B) D RI'!R34</f>
        <v>1783947.3800000004</v>
      </c>
      <c r="G33" s="10">
        <f>'B) D RI'!U34</f>
        <v>25854.309855072468</v>
      </c>
      <c r="H33" s="41">
        <f>'B) D RI'!T34</f>
        <v>1655429.6800000004</v>
      </c>
      <c r="I33" s="10">
        <f t="shared" si="4"/>
        <v>47983.468985507257</v>
      </c>
      <c r="J33" s="31">
        <f t="shared" si="0"/>
        <v>60285.457643549969</v>
      </c>
      <c r="K33" s="10">
        <f t="shared" si="1"/>
        <v>47983.468985507257</v>
      </c>
      <c r="L33" s="10">
        <f>'D) Ecrêtage'!C33</f>
        <v>25854.309855072468</v>
      </c>
      <c r="M33" s="10">
        <f t="shared" si="2"/>
        <v>30168.409343584979</v>
      </c>
      <c r="N33" s="55">
        <f t="shared" si="3"/>
        <v>78151.878329092229</v>
      </c>
      <c r="O33" s="216"/>
      <c r="P33" s="217"/>
      <c r="Q33" s="213"/>
      <c r="R33" s="213"/>
      <c r="S33" s="218"/>
    </row>
    <row r="34" spans="1:19" s="212" customFormat="1" x14ac:dyDescent="0.25">
      <c r="A34" s="302">
        <f>'A) Base RI'!A35</f>
        <v>5436</v>
      </c>
      <c r="B34" s="225" t="str">
        <f>'A) Base RI'!B35</f>
        <v>Saint-Oyens</v>
      </c>
      <c r="C34" s="240">
        <v>0</v>
      </c>
      <c r="D34" s="214">
        <f>'B) D RI'!AA35</f>
        <v>458</v>
      </c>
      <c r="E34" s="215">
        <f>'B) D RI'!S35</f>
        <v>81</v>
      </c>
      <c r="F34" s="10">
        <f>'B) D RI'!R35</f>
        <v>1366335.51</v>
      </c>
      <c r="G34" s="10">
        <f>'B) D RI'!U35</f>
        <v>16868.339629629631</v>
      </c>
      <c r="H34" s="41">
        <f>'B) D RI'!T35</f>
        <v>1275667.01</v>
      </c>
      <c r="I34" s="10">
        <f t="shared" si="4"/>
        <v>31497.95086419753</v>
      </c>
      <c r="J34" s="31">
        <f t="shared" si="0"/>
        <v>40965.489021878166</v>
      </c>
      <c r="K34" s="10">
        <f t="shared" si="1"/>
        <v>31497.95086419753</v>
      </c>
      <c r="L34" s="10">
        <f>'D) Ecrêtage'!C34</f>
        <v>16868.339629629631</v>
      </c>
      <c r="M34" s="10">
        <f t="shared" si="2"/>
        <v>19683.022975507574</v>
      </c>
      <c r="N34" s="55">
        <f t="shared" si="3"/>
        <v>51180.973839705104</v>
      </c>
      <c r="O34" s="216"/>
      <c r="P34" s="217"/>
      <c r="Q34" s="213"/>
      <c r="R34" s="213"/>
      <c r="S34" s="218"/>
    </row>
    <row r="35" spans="1:19" s="212" customFormat="1" x14ac:dyDescent="0.25">
      <c r="A35" s="302">
        <f>'A) Base RI'!A36</f>
        <v>5437</v>
      </c>
      <c r="B35" s="225" t="str">
        <f>'A) Base RI'!B36</f>
        <v>Saubraz</v>
      </c>
      <c r="C35" s="240">
        <v>0</v>
      </c>
      <c r="D35" s="214">
        <f>'B) D RI'!AA36</f>
        <v>444</v>
      </c>
      <c r="E35" s="215">
        <f>'B) D RI'!S36</f>
        <v>80</v>
      </c>
      <c r="F35" s="10">
        <f>'B) D RI'!R36</f>
        <v>1084140.5899999999</v>
      </c>
      <c r="G35" s="10">
        <f>'B) D RI'!U36</f>
        <v>13551.757374999997</v>
      </c>
      <c r="H35" s="41">
        <f>'B) D RI'!T36</f>
        <v>1013211.2899999999</v>
      </c>
      <c r="I35" s="10">
        <f t="shared" si="4"/>
        <v>25330.282249999997</v>
      </c>
      <c r="J35" s="31">
        <f t="shared" si="0"/>
        <v>39713.268833436479</v>
      </c>
      <c r="K35" s="10">
        <f t="shared" si="1"/>
        <v>25330.282249999997</v>
      </c>
      <c r="L35" s="10">
        <f>'D) Ecrêtage'!C35</f>
        <v>13551.757374999997</v>
      </c>
      <c r="M35" s="10">
        <f t="shared" si="2"/>
        <v>15813.029475769799</v>
      </c>
      <c r="N35" s="55">
        <f t="shared" si="3"/>
        <v>41143.311725769796</v>
      </c>
      <c r="O35" s="216"/>
      <c r="P35" s="217"/>
      <c r="Q35" s="213"/>
      <c r="R35" s="213"/>
      <c r="S35" s="218"/>
    </row>
    <row r="36" spans="1:19" s="212" customFormat="1" x14ac:dyDescent="0.25">
      <c r="A36" s="302">
        <f>'A) Base RI'!A37</f>
        <v>5451</v>
      </c>
      <c r="B36" s="225" t="str">
        <f>'A) Base RI'!B37</f>
        <v>Avenches</v>
      </c>
      <c r="C36" s="240">
        <v>0</v>
      </c>
      <c r="D36" s="214">
        <f>'B) D RI'!AA37</f>
        <v>4616</v>
      </c>
      <c r="E36" s="215">
        <f>'B) D RI'!S37</f>
        <v>66.5</v>
      </c>
      <c r="F36" s="10">
        <f>'B) D RI'!R37</f>
        <v>9169741.6133333333</v>
      </c>
      <c r="G36" s="10">
        <f>'B) D RI'!U37</f>
        <v>137890.8513283208</v>
      </c>
      <c r="H36" s="41">
        <f>'B) D RI'!T37</f>
        <v>8056499.4300000006</v>
      </c>
      <c r="I36" s="10">
        <f t="shared" si="4"/>
        <v>242300.73473684213</v>
      </c>
      <c r="J36" s="31">
        <f t="shared" si="0"/>
        <v>412874.88498906035</v>
      </c>
      <c r="K36" s="10">
        <f t="shared" si="1"/>
        <v>242300.73473684213</v>
      </c>
      <c r="L36" s="10">
        <f>'D) Ecrêtage'!C36</f>
        <v>137890.8513283208</v>
      </c>
      <c r="M36" s="10">
        <f t="shared" si="2"/>
        <v>160899.58196242637</v>
      </c>
      <c r="N36" s="55">
        <f t="shared" si="3"/>
        <v>403200.31669926853</v>
      </c>
      <c r="O36" s="216"/>
      <c r="P36" s="217"/>
      <c r="Q36" s="213"/>
      <c r="R36" s="213"/>
      <c r="S36" s="218"/>
    </row>
    <row r="37" spans="1:19" s="212" customFormat="1" x14ac:dyDescent="0.25">
      <c r="A37" s="302">
        <f>'A) Base RI'!A38</f>
        <v>5456</v>
      </c>
      <c r="B37" s="225" t="str">
        <f>'A) Base RI'!B38</f>
        <v>Cudrefin</v>
      </c>
      <c r="C37" s="240">
        <v>0</v>
      </c>
      <c r="D37" s="214">
        <f>'B) D RI'!AA38</f>
        <v>1836</v>
      </c>
      <c r="E37" s="215">
        <f>'B) D RI'!S38</f>
        <v>59</v>
      </c>
      <c r="F37" s="10">
        <f>'B) D RI'!R38</f>
        <v>3784552.15</v>
      </c>
      <c r="G37" s="10">
        <f>'B) D RI'!U38</f>
        <v>64144.951694915253</v>
      </c>
      <c r="H37" s="41">
        <f>'B) D RI'!T38</f>
        <v>3419633.3</v>
      </c>
      <c r="I37" s="10">
        <f t="shared" si="4"/>
        <v>115919.77288135592</v>
      </c>
      <c r="J37" s="31">
        <f t="shared" ref="J37:J68" si="5">+$I$314/$D$314*D37</f>
        <v>164219.73328421029</v>
      </c>
      <c r="K37" s="10">
        <f t="shared" si="1"/>
        <v>115919.77288135592</v>
      </c>
      <c r="L37" s="10">
        <f>'D) Ecrêtage'!C37</f>
        <v>64144.951694915253</v>
      </c>
      <c r="M37" s="10">
        <f t="shared" ref="M37:M68" si="6">+$M$5*L37</f>
        <v>74848.300763171326</v>
      </c>
      <c r="N37" s="55">
        <f t="shared" si="3"/>
        <v>190768.07364452723</v>
      </c>
      <c r="O37" s="216"/>
      <c r="P37" s="217"/>
      <c r="Q37" s="213"/>
      <c r="R37" s="213"/>
      <c r="S37" s="218"/>
    </row>
    <row r="38" spans="1:19" s="212" customFormat="1" x14ac:dyDescent="0.25">
      <c r="A38" s="302">
        <f>'A) Base RI'!A39</f>
        <v>5458</v>
      </c>
      <c r="B38" s="225" t="str">
        <f>'A) Base RI'!B39</f>
        <v>Faoug</v>
      </c>
      <c r="C38" s="240">
        <v>0</v>
      </c>
      <c r="D38" s="214">
        <f>'B) D RI'!AA39</f>
        <v>866</v>
      </c>
      <c r="E38" s="215">
        <f>'B) D RI'!S39</f>
        <v>65</v>
      </c>
      <c r="F38" s="10">
        <f>'B) D RI'!R39</f>
        <v>2256887.9299999997</v>
      </c>
      <c r="G38" s="10">
        <f>'B) D RI'!U39</f>
        <v>34721.352769230762</v>
      </c>
      <c r="H38" s="41">
        <f>'B) D RI'!T39</f>
        <v>2054075.5799999998</v>
      </c>
      <c r="I38" s="10">
        <f t="shared" si="4"/>
        <v>63202.325538461533</v>
      </c>
      <c r="J38" s="31">
        <f t="shared" si="5"/>
        <v>77458.763085036015</v>
      </c>
      <c r="K38" s="10">
        <f t="shared" si="1"/>
        <v>63202.325538461533</v>
      </c>
      <c r="L38" s="10">
        <f>'D) Ecrêtage'!C38</f>
        <v>34721.352769230762</v>
      </c>
      <c r="M38" s="10">
        <f t="shared" si="6"/>
        <v>40515.023962229658</v>
      </c>
      <c r="N38" s="55">
        <f t="shared" si="3"/>
        <v>103717.3495006912</v>
      </c>
      <c r="O38" s="216"/>
      <c r="P38" s="217"/>
      <c r="Q38" s="213"/>
      <c r="R38" s="213"/>
      <c r="S38" s="218"/>
    </row>
    <row r="39" spans="1:19" s="212" customFormat="1" x14ac:dyDescent="0.25">
      <c r="A39" s="302">
        <f>'A) Base RI'!A40</f>
        <v>5464</v>
      </c>
      <c r="B39" s="225" t="str">
        <f>'A) Base RI'!B40</f>
        <v>Vully-les-Lacs</v>
      </c>
      <c r="C39" s="240">
        <v>0</v>
      </c>
      <c r="D39" s="214">
        <f>'B) D RI'!AA40</f>
        <v>3465</v>
      </c>
      <c r="E39" s="215">
        <f>'B) D RI'!S40</f>
        <v>67</v>
      </c>
      <c r="F39" s="10">
        <f>'B) D RI'!R40</f>
        <v>7984343.540000001</v>
      </c>
      <c r="G39" s="10">
        <f>'B) D RI'!U40</f>
        <v>119169.3065671642</v>
      </c>
      <c r="H39" s="41">
        <f>'B) D RI'!T40</f>
        <v>7252543.790000001</v>
      </c>
      <c r="I39" s="10">
        <f t="shared" si="4"/>
        <v>216493.84447761197</v>
      </c>
      <c r="J39" s="31">
        <f t="shared" si="5"/>
        <v>309924.49663931847</v>
      </c>
      <c r="K39" s="10">
        <f t="shared" si="1"/>
        <v>216493.84447761197</v>
      </c>
      <c r="L39" s="10">
        <f>'D) Ecrêtage'!C39</f>
        <v>119169.3065671642</v>
      </c>
      <c r="M39" s="10">
        <f t="shared" si="6"/>
        <v>139054.12451007782</v>
      </c>
      <c r="N39" s="55">
        <f t="shared" si="3"/>
        <v>355547.96898768982</v>
      </c>
      <c r="O39" s="216"/>
      <c r="P39" s="217"/>
      <c r="Q39" s="213"/>
      <c r="R39" s="213"/>
      <c r="S39" s="218"/>
    </row>
    <row r="40" spans="1:19" s="212" customFormat="1" x14ac:dyDescent="0.25">
      <c r="A40" s="302">
        <f>'A) Base RI'!A41</f>
        <v>5471</v>
      </c>
      <c r="B40" s="225" t="str">
        <f>'A) Base RI'!B41</f>
        <v>Bettens</v>
      </c>
      <c r="C40" s="240">
        <v>0</v>
      </c>
      <c r="D40" s="214">
        <f>'B) D RI'!AA41</f>
        <v>626</v>
      </c>
      <c r="E40" s="215">
        <f>'B) D RI'!S41</f>
        <v>70</v>
      </c>
      <c r="F40" s="10">
        <f>'B) D RI'!R41</f>
        <v>1602511.6588888885</v>
      </c>
      <c r="G40" s="10">
        <f>'B) D RI'!U41</f>
        <v>22893.023698412693</v>
      </c>
      <c r="H40" s="41">
        <f>'B) D RI'!T41</f>
        <v>1461051.0199999998</v>
      </c>
      <c r="I40" s="10">
        <f t="shared" si="4"/>
        <v>41744.314857142854</v>
      </c>
      <c r="J40" s="31">
        <f t="shared" si="5"/>
        <v>55992.13128317846</v>
      </c>
      <c r="K40" s="10">
        <f t="shared" si="1"/>
        <v>41744.314857142854</v>
      </c>
      <c r="L40" s="10">
        <f>'D) Ecrêtage'!C40</f>
        <v>22893.023698412693</v>
      </c>
      <c r="M40" s="10">
        <f t="shared" si="6"/>
        <v>26712.997326850131</v>
      </c>
      <c r="N40" s="55">
        <f t="shared" si="3"/>
        <v>68457.312183992981</v>
      </c>
      <c r="O40" s="216"/>
      <c r="P40" s="217"/>
      <c r="Q40" s="213"/>
      <c r="R40" s="213"/>
      <c r="S40" s="218"/>
    </row>
    <row r="41" spans="1:19" s="212" customFormat="1" x14ac:dyDescent="0.25">
      <c r="A41" s="302">
        <f>'A) Base RI'!A42</f>
        <v>5472</v>
      </c>
      <c r="B41" s="225" t="str">
        <f>'A) Base RI'!B42</f>
        <v>Bournens</v>
      </c>
      <c r="C41" s="240">
        <v>0</v>
      </c>
      <c r="D41" s="214">
        <f>'B) D RI'!AA42</f>
        <v>507</v>
      </c>
      <c r="E41" s="215">
        <f>'B) D RI'!S42</f>
        <v>72</v>
      </c>
      <c r="F41" s="10">
        <f>'B) D RI'!R42</f>
        <v>1596847.82</v>
      </c>
      <c r="G41" s="10">
        <f>'B) D RI'!U42</f>
        <v>22178.441944444447</v>
      </c>
      <c r="H41" s="41">
        <f>'B) D RI'!T42</f>
        <v>1484110.22</v>
      </c>
      <c r="I41" s="10">
        <f t="shared" si="4"/>
        <v>41225.283888888887</v>
      </c>
      <c r="J41" s="31">
        <f t="shared" si="5"/>
        <v>45348.259681424082</v>
      </c>
      <c r="K41" s="10">
        <f t="shared" si="1"/>
        <v>41225.283888888887</v>
      </c>
      <c r="L41" s="10">
        <f>'D) Ecrêtage'!C41</f>
        <v>22178.441944444447</v>
      </c>
      <c r="M41" s="10">
        <f t="shared" si="6"/>
        <v>25879.179097548549</v>
      </c>
      <c r="N41" s="55">
        <f t="shared" si="3"/>
        <v>67104.462986437429</v>
      </c>
      <c r="O41" s="216"/>
      <c r="P41" s="217"/>
      <c r="Q41" s="213"/>
      <c r="R41" s="213"/>
      <c r="S41" s="218"/>
    </row>
    <row r="42" spans="1:19" s="212" customFormat="1" x14ac:dyDescent="0.25">
      <c r="A42" s="302">
        <f>'A) Base RI'!A43</f>
        <v>5473</v>
      </c>
      <c r="B42" s="225" t="str">
        <f>'A) Base RI'!B43</f>
        <v>Boussens</v>
      </c>
      <c r="C42" s="240">
        <v>0</v>
      </c>
      <c r="D42" s="214">
        <f>'B) D RI'!AA43</f>
        <v>1001</v>
      </c>
      <c r="E42" s="215">
        <f>'B) D RI'!S43</f>
        <v>67.5</v>
      </c>
      <c r="F42" s="10">
        <f>'B) D RI'!R43</f>
        <v>2501483.3700000006</v>
      </c>
      <c r="G42" s="10">
        <f>'B) D RI'!U43</f>
        <v>37059.012888888894</v>
      </c>
      <c r="H42" s="41">
        <f>'B) D RI'!T43</f>
        <v>2300285.7700000005</v>
      </c>
      <c r="I42" s="10">
        <f t="shared" si="4"/>
        <v>68156.615407407415</v>
      </c>
      <c r="J42" s="31">
        <f t="shared" si="5"/>
        <v>89533.743473580893</v>
      </c>
      <c r="K42" s="10">
        <f t="shared" si="1"/>
        <v>68156.615407407415</v>
      </c>
      <c r="L42" s="10">
        <f>'D) Ecrêtage'!C42</f>
        <v>37059.012888888894</v>
      </c>
      <c r="M42" s="10">
        <f t="shared" si="6"/>
        <v>43242.750511162623</v>
      </c>
      <c r="N42" s="55">
        <f t="shared" si="3"/>
        <v>111399.36591857004</v>
      </c>
      <c r="O42" s="216"/>
      <c r="P42" s="217"/>
      <c r="Q42" s="213"/>
      <c r="R42" s="213"/>
      <c r="S42" s="218"/>
    </row>
    <row r="43" spans="1:19" s="212" customFormat="1" x14ac:dyDescent="0.25">
      <c r="A43" s="302">
        <f>'A) Base RI'!A44</f>
        <v>5474</v>
      </c>
      <c r="B43" s="225" t="str">
        <f>'A) Base RI'!B44</f>
        <v>La Chaux (Cossonay)</v>
      </c>
      <c r="C43" s="240">
        <v>0</v>
      </c>
      <c r="D43" s="214">
        <f>'B) D RI'!AA44</f>
        <v>398</v>
      </c>
      <c r="E43" s="215">
        <f>'B) D RI'!S44</f>
        <v>76</v>
      </c>
      <c r="F43" s="10">
        <f>'B) D RI'!R44</f>
        <v>980781.28666666674</v>
      </c>
      <c r="G43" s="10">
        <f>'B) D RI'!U44</f>
        <v>12905.016929824562</v>
      </c>
      <c r="H43" s="41">
        <f>'B) D RI'!T44</f>
        <v>905826.87000000011</v>
      </c>
      <c r="I43" s="10">
        <f t="shared" si="4"/>
        <v>23837.549210526318</v>
      </c>
      <c r="J43" s="31">
        <f t="shared" si="5"/>
        <v>35598.831071413777</v>
      </c>
      <c r="K43" s="10">
        <f t="shared" si="1"/>
        <v>23837.549210526318</v>
      </c>
      <c r="L43" s="10">
        <f>'D) Ecrêtage'!C43</f>
        <v>12905.016929824562</v>
      </c>
      <c r="M43" s="10">
        <f t="shared" si="6"/>
        <v>15058.372685529586</v>
      </c>
      <c r="N43" s="55">
        <f t="shared" si="3"/>
        <v>38895.921896055908</v>
      </c>
      <c r="O43" s="216"/>
      <c r="P43" s="217"/>
      <c r="Q43" s="213"/>
      <c r="R43" s="213"/>
      <c r="S43" s="218"/>
    </row>
    <row r="44" spans="1:19" s="212" customFormat="1" x14ac:dyDescent="0.25">
      <c r="A44" s="302">
        <f>'A) Base RI'!A45</f>
        <v>5475</v>
      </c>
      <c r="B44" s="225" t="str">
        <f>'A) Base RI'!B45</f>
        <v>Chavannes-le-Veyron</v>
      </c>
      <c r="C44" s="240">
        <v>0</v>
      </c>
      <c r="D44" s="214">
        <f>'B) D RI'!AA45</f>
        <v>155</v>
      </c>
      <c r="E44" s="215">
        <f>'B) D RI'!S45</f>
        <v>75</v>
      </c>
      <c r="F44" s="10">
        <f>'B) D RI'!R45</f>
        <v>320795.42</v>
      </c>
      <c r="G44" s="10">
        <f>'B) D RI'!U45</f>
        <v>4277.2722666666668</v>
      </c>
      <c r="H44" s="41">
        <f>'B) D RI'!T45</f>
        <v>295396.12</v>
      </c>
      <c r="I44" s="10">
        <f t="shared" si="4"/>
        <v>7877.2298666666666</v>
      </c>
      <c r="J44" s="31">
        <f t="shared" si="5"/>
        <v>13863.866372033004</v>
      </c>
      <c r="K44" s="10">
        <f t="shared" si="1"/>
        <v>7877.2298666666666</v>
      </c>
      <c r="L44" s="10">
        <f>'D) Ecrêtage'!C44</f>
        <v>4277.2722666666668</v>
      </c>
      <c r="M44" s="10">
        <f t="shared" si="6"/>
        <v>4990.9860807770492</v>
      </c>
      <c r="N44" s="55">
        <f t="shared" si="3"/>
        <v>12868.215947443716</v>
      </c>
      <c r="O44" s="216"/>
      <c r="P44" s="217"/>
      <c r="Q44" s="213"/>
      <c r="R44" s="213"/>
      <c r="S44" s="218"/>
    </row>
    <row r="45" spans="1:19" s="212" customFormat="1" x14ac:dyDescent="0.25">
      <c r="A45" s="302">
        <f>'A) Base RI'!A46</f>
        <v>5476</v>
      </c>
      <c r="B45" s="225" t="str">
        <f>'A) Base RI'!B46</f>
        <v>Chevilly</v>
      </c>
      <c r="C45" s="240">
        <v>0</v>
      </c>
      <c r="D45" s="214">
        <f>'B) D RI'!AA46</f>
        <v>322</v>
      </c>
      <c r="E45" s="215">
        <f>'B) D RI'!S46</f>
        <v>72.5</v>
      </c>
      <c r="F45" s="10">
        <f>'B) D RI'!R46</f>
        <v>875459.80000000016</v>
      </c>
      <c r="G45" s="10">
        <f>'B) D RI'!U46</f>
        <v>12075.307586206898</v>
      </c>
      <c r="H45" s="41">
        <f>'B) D RI'!T46</f>
        <v>813722.50000000012</v>
      </c>
      <c r="I45" s="10">
        <f t="shared" si="4"/>
        <v>22447.517241379315</v>
      </c>
      <c r="J45" s="31">
        <f t="shared" si="5"/>
        <v>28801.064334158888</v>
      </c>
      <c r="K45" s="10">
        <f t="shared" si="1"/>
        <v>22447.517241379315</v>
      </c>
      <c r="L45" s="10">
        <f>'D) Ecrêtage'!C45</f>
        <v>12075.307586206898</v>
      </c>
      <c r="M45" s="10">
        <f t="shared" si="6"/>
        <v>14090.216457234676</v>
      </c>
      <c r="N45" s="55">
        <f t="shared" si="3"/>
        <v>36537.733698613993</v>
      </c>
      <c r="O45" s="216"/>
      <c r="P45" s="217"/>
      <c r="Q45" s="213"/>
      <c r="R45" s="213"/>
      <c r="S45" s="218"/>
    </row>
    <row r="46" spans="1:19" s="212" customFormat="1" x14ac:dyDescent="0.25">
      <c r="A46" s="302">
        <f>'A) Base RI'!A47</f>
        <v>5477</v>
      </c>
      <c r="B46" s="225" t="str">
        <f>'A) Base RI'!B47</f>
        <v>Cossonay</v>
      </c>
      <c r="C46" s="240">
        <v>0</v>
      </c>
      <c r="D46" s="214">
        <f>'B) D RI'!AA47</f>
        <v>4326</v>
      </c>
      <c r="E46" s="215">
        <f>'B) D RI'!S47</f>
        <v>69.5</v>
      </c>
      <c r="F46" s="10">
        <f>'B) D RI'!R47</f>
        <v>9910559.8599999994</v>
      </c>
      <c r="G46" s="10">
        <f>'B) D RI'!U47</f>
        <v>142597.98359712231</v>
      </c>
      <c r="H46" s="41">
        <f>'B) D RI'!T47</f>
        <v>9096966.709999999</v>
      </c>
      <c r="I46" s="10">
        <f t="shared" si="4"/>
        <v>261783.21467625897</v>
      </c>
      <c r="J46" s="31">
        <f t="shared" si="5"/>
        <v>386936.03822848242</v>
      </c>
      <c r="K46" s="10">
        <f t="shared" si="1"/>
        <v>261783.21467625897</v>
      </c>
      <c r="L46" s="10">
        <f>'D) Ecrêtage'!C46</f>
        <v>142597.98359712231</v>
      </c>
      <c r="M46" s="10">
        <f t="shared" si="6"/>
        <v>166392.15530573457</v>
      </c>
      <c r="N46" s="55">
        <f t="shared" si="3"/>
        <v>428175.36998199357</v>
      </c>
      <c r="O46" s="216"/>
      <c r="P46" s="217"/>
      <c r="Q46" s="213"/>
      <c r="R46" s="213"/>
      <c r="S46" s="218"/>
    </row>
    <row r="47" spans="1:19" s="212" customFormat="1" x14ac:dyDescent="0.25">
      <c r="A47" s="302">
        <f>'A) Base RI'!A48</f>
        <v>5478</v>
      </c>
      <c r="B47" s="225" t="str">
        <f>'A) Base RI'!B48</f>
        <v>Cottens</v>
      </c>
      <c r="C47" s="240">
        <v>0</v>
      </c>
      <c r="D47" s="214">
        <f>'B) D RI'!AA48</f>
        <v>484</v>
      </c>
      <c r="E47" s="215">
        <f>'B) D RI'!S48</f>
        <v>74</v>
      </c>
      <c r="F47" s="10">
        <f>'B) D RI'!R48</f>
        <v>1164850.96</v>
      </c>
      <c r="G47" s="10">
        <f>'B) D RI'!U48</f>
        <v>15741.229189189189</v>
      </c>
      <c r="H47" s="41">
        <f>'B) D RI'!T48</f>
        <v>1084683.46</v>
      </c>
      <c r="I47" s="10">
        <f t="shared" si="4"/>
        <v>29315.769189189188</v>
      </c>
      <c r="J47" s="31">
        <f t="shared" si="5"/>
        <v>43291.040800412738</v>
      </c>
      <c r="K47" s="10">
        <f t="shared" si="1"/>
        <v>29315.769189189188</v>
      </c>
      <c r="L47" s="10">
        <f>'D) Ecrêtage'!C47</f>
        <v>15741.229189189189</v>
      </c>
      <c r="M47" s="10">
        <f t="shared" si="6"/>
        <v>18367.840735747872</v>
      </c>
      <c r="N47" s="55">
        <f t="shared" si="3"/>
        <v>47683.60992493706</v>
      </c>
      <c r="O47" s="216"/>
      <c r="P47" s="217"/>
      <c r="Q47" s="213"/>
      <c r="R47" s="213"/>
      <c r="S47" s="218"/>
    </row>
    <row r="48" spans="1:19" s="212" customFormat="1" x14ac:dyDescent="0.25">
      <c r="A48" s="302">
        <f>'A) Base RI'!A49</f>
        <v>5479</v>
      </c>
      <c r="B48" s="225" t="str">
        <f>'A) Base RI'!B49</f>
        <v>Cuarnens</v>
      </c>
      <c r="C48" s="240">
        <v>0</v>
      </c>
      <c r="D48" s="214">
        <f>'B) D RI'!AA49</f>
        <v>531</v>
      </c>
      <c r="E48" s="215">
        <f>'B) D RI'!S49</f>
        <v>77</v>
      </c>
      <c r="F48" s="10">
        <f>'B) D RI'!R49</f>
        <v>1384835.4899999998</v>
      </c>
      <c r="G48" s="10">
        <f>'B) D RI'!U49</f>
        <v>17984.87649350649</v>
      </c>
      <c r="H48" s="41">
        <f>'B) D RI'!T49</f>
        <v>1292567.7899999998</v>
      </c>
      <c r="I48" s="10">
        <f t="shared" si="4"/>
        <v>33573.189350649343</v>
      </c>
      <c r="J48" s="31">
        <f t="shared" si="5"/>
        <v>47494.922861609841</v>
      </c>
      <c r="K48" s="10">
        <f t="shared" si="1"/>
        <v>33573.189350649343</v>
      </c>
      <c r="L48" s="10">
        <f>'D) Ecrêtage'!C48</f>
        <v>17984.87649350649</v>
      </c>
      <c r="M48" s="10">
        <f t="shared" si="6"/>
        <v>20985.867311537342</v>
      </c>
      <c r="N48" s="55">
        <f t="shared" si="3"/>
        <v>54559.056662186689</v>
      </c>
      <c r="O48" s="216"/>
      <c r="P48" s="217"/>
      <c r="Q48" s="213"/>
      <c r="R48" s="213"/>
      <c r="S48" s="218"/>
    </row>
    <row r="49" spans="1:19" s="212" customFormat="1" x14ac:dyDescent="0.25">
      <c r="A49" s="302">
        <f>'A) Base RI'!A50</f>
        <v>5480</v>
      </c>
      <c r="B49" s="225" t="str">
        <f>'A) Base RI'!B50</f>
        <v>Daillens</v>
      </c>
      <c r="C49" s="240">
        <v>0</v>
      </c>
      <c r="D49" s="214">
        <f>'B) D RI'!AA50</f>
        <v>1051</v>
      </c>
      <c r="E49" s="215">
        <f>'B) D RI'!S50</f>
        <v>66</v>
      </c>
      <c r="F49" s="10">
        <f>'B) D RI'!R50</f>
        <v>2724787.6233333335</v>
      </c>
      <c r="G49" s="10">
        <f>'B) D RI'!U50</f>
        <v>41284.66095959596</v>
      </c>
      <c r="H49" s="41">
        <f>'B) D RI'!T50</f>
        <v>2399603.64</v>
      </c>
      <c r="I49" s="10">
        <f t="shared" si="4"/>
        <v>72715.261818181825</v>
      </c>
      <c r="J49" s="31">
        <f t="shared" si="5"/>
        <v>94005.95843230121</v>
      </c>
      <c r="K49" s="10">
        <f t="shared" si="1"/>
        <v>72715.261818181825</v>
      </c>
      <c r="L49" s="10">
        <f>'D) Ecrêtage'!C49</f>
        <v>41284.66095959596</v>
      </c>
      <c r="M49" s="10">
        <f t="shared" si="6"/>
        <v>48173.498284111192</v>
      </c>
      <c r="N49" s="55">
        <f t="shared" si="3"/>
        <v>120888.76010229302</v>
      </c>
      <c r="O49" s="216"/>
      <c r="P49" s="217"/>
      <c r="Q49" s="213"/>
      <c r="R49" s="213"/>
      <c r="S49" s="218"/>
    </row>
    <row r="50" spans="1:19" s="212" customFormat="1" x14ac:dyDescent="0.25">
      <c r="A50" s="302">
        <f>'A) Base RI'!A51</f>
        <v>5481</v>
      </c>
      <c r="B50" s="225" t="str">
        <f>'A) Base RI'!B51</f>
        <v>Dizy</v>
      </c>
      <c r="C50" s="240">
        <v>0</v>
      </c>
      <c r="D50" s="214">
        <f>'B) D RI'!AA51</f>
        <v>225</v>
      </c>
      <c r="E50" s="215">
        <f>'B) D RI'!S51</f>
        <v>75</v>
      </c>
      <c r="F50" s="10">
        <f>'B) D RI'!R51</f>
        <v>609066.55000000005</v>
      </c>
      <c r="G50" s="10">
        <f>'B) D RI'!U51</f>
        <v>8120.887333333334</v>
      </c>
      <c r="H50" s="41">
        <f>'B) D RI'!T51</f>
        <v>567643.20000000007</v>
      </c>
      <c r="I50" s="10">
        <f t="shared" si="4"/>
        <v>15137.152000000002</v>
      </c>
      <c r="J50" s="31">
        <f t="shared" si="5"/>
        <v>20124.967314241458</v>
      </c>
      <c r="K50" s="10">
        <f t="shared" si="1"/>
        <v>15137.152000000002</v>
      </c>
      <c r="L50" s="10">
        <f>'D) Ecrêtage'!C50</f>
        <v>8120.887333333334</v>
      </c>
      <c r="M50" s="10">
        <f t="shared" si="6"/>
        <v>9475.9540934745855</v>
      </c>
      <c r="N50" s="55">
        <f t="shared" si="3"/>
        <v>24613.106093474587</v>
      </c>
      <c r="O50" s="216"/>
      <c r="P50" s="217"/>
      <c r="Q50" s="213"/>
      <c r="R50" s="213"/>
      <c r="S50" s="218"/>
    </row>
    <row r="51" spans="1:19" s="212" customFormat="1" x14ac:dyDescent="0.25">
      <c r="A51" s="302">
        <f>'A) Base RI'!A52</f>
        <v>5482</v>
      </c>
      <c r="B51" s="225" t="str">
        <f>'A) Base RI'!B52</f>
        <v>Eclépens</v>
      </c>
      <c r="C51" s="240">
        <v>0</v>
      </c>
      <c r="D51" s="214">
        <f>'B) D RI'!AA52</f>
        <v>1198</v>
      </c>
      <c r="E51" s="215">
        <f>'B) D RI'!S52</f>
        <v>46</v>
      </c>
      <c r="F51" s="10">
        <f>'B) D RI'!R52</f>
        <v>2493031.46</v>
      </c>
      <c r="G51" s="10">
        <f>'B) D RI'!U52</f>
        <v>54196.336086956522</v>
      </c>
      <c r="H51" s="41">
        <f>'B) D RI'!T52</f>
        <v>1994881.5599999998</v>
      </c>
      <c r="I51" s="10">
        <f t="shared" si="4"/>
        <v>86733.980869565203</v>
      </c>
      <c r="J51" s="31">
        <f t="shared" si="5"/>
        <v>107154.27041093896</v>
      </c>
      <c r="K51" s="10">
        <f t="shared" si="1"/>
        <v>86733.980869565203</v>
      </c>
      <c r="L51" s="10">
        <f>'D) Ecrêtage'!C51</f>
        <v>54196.336086956522</v>
      </c>
      <c r="M51" s="10">
        <f t="shared" si="6"/>
        <v>63239.640166725621</v>
      </c>
      <c r="N51" s="55">
        <f t="shared" si="3"/>
        <v>149973.62103629083</v>
      </c>
      <c r="O51" s="216"/>
      <c r="P51" s="217"/>
      <c r="Q51" s="213"/>
      <c r="R51" s="213"/>
      <c r="S51" s="218"/>
    </row>
    <row r="52" spans="1:19" s="212" customFormat="1" x14ac:dyDescent="0.25">
      <c r="A52" s="302">
        <f>'A) Base RI'!A53</f>
        <v>5483</v>
      </c>
      <c r="B52" s="225" t="str">
        <f>'A) Base RI'!B53</f>
        <v>Ferreyres</v>
      </c>
      <c r="C52" s="240">
        <v>0</v>
      </c>
      <c r="D52" s="214">
        <f>'B) D RI'!AA53</f>
        <v>319</v>
      </c>
      <c r="E52" s="215">
        <f>'B) D RI'!S53</f>
        <v>76</v>
      </c>
      <c r="F52" s="10">
        <f>'B) D RI'!R53</f>
        <v>800821.31</v>
      </c>
      <c r="G52" s="10">
        <f>'B) D RI'!U53</f>
        <v>10537.122500000001</v>
      </c>
      <c r="H52" s="41">
        <f>'B) D RI'!T53</f>
        <v>743552.41</v>
      </c>
      <c r="I52" s="10">
        <f t="shared" si="4"/>
        <v>19567.168684210526</v>
      </c>
      <c r="J52" s="31">
        <f t="shared" si="5"/>
        <v>28532.731436635666</v>
      </c>
      <c r="K52" s="10">
        <f t="shared" si="1"/>
        <v>19567.168684210526</v>
      </c>
      <c r="L52" s="10">
        <f>'D) Ecrêtage'!C52</f>
        <v>10537.122500000001</v>
      </c>
      <c r="M52" s="10">
        <f t="shared" si="6"/>
        <v>12295.366871729964</v>
      </c>
      <c r="N52" s="55">
        <f t="shared" si="3"/>
        <v>31862.535555940492</v>
      </c>
      <c r="O52" s="216"/>
      <c r="P52" s="217"/>
      <c r="Q52" s="213"/>
      <c r="R52" s="213"/>
      <c r="S52" s="218"/>
    </row>
    <row r="53" spans="1:19" s="212" customFormat="1" x14ac:dyDescent="0.25">
      <c r="A53" s="302">
        <f>'A) Base RI'!A54</f>
        <v>5484</v>
      </c>
      <c r="B53" s="225" t="str">
        <f>'A) Base RI'!B54</f>
        <v>Gollion</v>
      </c>
      <c r="C53" s="240">
        <v>0</v>
      </c>
      <c r="D53" s="214">
        <f>'B) D RI'!AA54</f>
        <v>1018</v>
      </c>
      <c r="E53" s="215">
        <f>'B) D RI'!S54</f>
        <v>74</v>
      </c>
      <c r="F53" s="10">
        <f>'B) D RI'!R54</f>
        <v>2660349.290000001</v>
      </c>
      <c r="G53" s="10">
        <f>'B) D RI'!U54</f>
        <v>35950.666081081094</v>
      </c>
      <c r="H53" s="41">
        <f>'B) D RI'!T54</f>
        <v>2454900.1400000011</v>
      </c>
      <c r="I53" s="10">
        <f t="shared" si="4"/>
        <v>66348.652432432456</v>
      </c>
      <c r="J53" s="31">
        <f t="shared" si="5"/>
        <v>91054.296559545794</v>
      </c>
      <c r="K53" s="10">
        <f t="shared" si="1"/>
        <v>66348.652432432456</v>
      </c>
      <c r="L53" s="10">
        <f>'D) Ecrêtage'!C53</f>
        <v>35950.666081081094</v>
      </c>
      <c r="M53" s="10">
        <f t="shared" si="6"/>
        <v>41949.462839589316</v>
      </c>
      <c r="N53" s="55">
        <f t="shared" si="3"/>
        <v>108298.11527202177</v>
      </c>
      <c r="O53" s="216"/>
      <c r="P53" s="217"/>
      <c r="Q53" s="213"/>
      <c r="R53" s="213"/>
      <c r="S53" s="218"/>
    </row>
    <row r="54" spans="1:19" s="212" customFormat="1" x14ac:dyDescent="0.25">
      <c r="A54" s="302">
        <f>'A) Base RI'!A55</f>
        <v>5485</v>
      </c>
      <c r="B54" s="225" t="str">
        <f>'A) Base RI'!B55</f>
        <v>Grancy</v>
      </c>
      <c r="C54" s="240">
        <v>0</v>
      </c>
      <c r="D54" s="214">
        <f>'B) D RI'!AA55</f>
        <v>445</v>
      </c>
      <c r="E54" s="215">
        <f>'B) D RI'!S55</f>
        <v>70</v>
      </c>
      <c r="F54" s="10">
        <f>'B) D RI'!R55</f>
        <v>1714206.1700000002</v>
      </c>
      <c r="G54" s="10">
        <f>'B) D RI'!U55</f>
        <v>24488.659571428572</v>
      </c>
      <c r="H54" s="41">
        <f>'B) D RI'!T55</f>
        <v>1635011.62</v>
      </c>
      <c r="I54" s="10">
        <f t="shared" si="4"/>
        <v>46714.61771428572</v>
      </c>
      <c r="J54" s="31">
        <f t="shared" si="5"/>
        <v>39802.713132610887</v>
      </c>
      <c r="K54" s="10">
        <f t="shared" si="1"/>
        <v>39802.713132610887</v>
      </c>
      <c r="L54" s="10">
        <f>'D) Ecrêtage'!C54</f>
        <v>24488.659571428572</v>
      </c>
      <c r="M54" s="10">
        <f t="shared" si="6"/>
        <v>28574.884047102587</v>
      </c>
      <c r="N54" s="55">
        <f t="shared" si="3"/>
        <v>68377.59717971347</v>
      </c>
      <c r="O54" s="216"/>
      <c r="P54" s="217"/>
      <c r="Q54" s="213"/>
      <c r="R54" s="213"/>
      <c r="S54" s="218"/>
    </row>
    <row r="55" spans="1:19" s="212" customFormat="1" x14ac:dyDescent="0.25">
      <c r="A55" s="302">
        <f>'A) Base RI'!A56</f>
        <v>5486</v>
      </c>
      <c r="B55" s="225" t="str">
        <f>'A) Base RI'!B56</f>
        <v>L'Isle</v>
      </c>
      <c r="C55" s="240">
        <v>0</v>
      </c>
      <c r="D55" s="214">
        <f>'B) D RI'!AA56</f>
        <v>1079</v>
      </c>
      <c r="E55" s="215">
        <f>'B) D RI'!S56</f>
        <v>75</v>
      </c>
      <c r="F55" s="10">
        <f>'B) D RI'!R56</f>
        <v>2192279.0900000003</v>
      </c>
      <c r="G55" s="10">
        <f>'B) D RI'!U56</f>
        <v>29230.387866666671</v>
      </c>
      <c r="H55" s="41">
        <f>'B) D RI'!T56</f>
        <v>1979573.2900000003</v>
      </c>
      <c r="I55" s="10">
        <f t="shared" si="4"/>
        <v>52788.621066666674</v>
      </c>
      <c r="J55" s="31">
        <f t="shared" si="5"/>
        <v>96510.398809184597</v>
      </c>
      <c r="K55" s="10">
        <f t="shared" si="1"/>
        <v>52788.621066666674</v>
      </c>
      <c r="L55" s="10">
        <f>'D) Ecrêtage'!C55</f>
        <v>29230.387866666671</v>
      </c>
      <c r="M55" s="10">
        <f t="shared" si="6"/>
        <v>34107.826175849317</v>
      </c>
      <c r="N55" s="55">
        <f t="shared" si="3"/>
        <v>86896.447242515991</v>
      </c>
      <c r="O55" s="216"/>
      <c r="P55" s="217"/>
      <c r="Q55" s="213"/>
      <c r="R55" s="213"/>
      <c r="S55" s="218"/>
    </row>
    <row r="56" spans="1:19" s="212" customFormat="1" x14ac:dyDescent="0.25">
      <c r="A56" s="302">
        <f>'A) Base RI'!A57</f>
        <v>5487</v>
      </c>
      <c r="B56" s="225" t="str">
        <f>'A) Base RI'!B57</f>
        <v>Lussery-Villars</v>
      </c>
      <c r="C56" s="240">
        <v>0</v>
      </c>
      <c r="D56" s="214">
        <f>'B) D RI'!AA57</f>
        <v>475</v>
      </c>
      <c r="E56" s="215">
        <f>'B) D RI'!S57</f>
        <v>75</v>
      </c>
      <c r="F56" s="10">
        <f>'B) D RI'!R57</f>
        <v>1246683.1400000001</v>
      </c>
      <c r="G56" s="10">
        <f>'B) D RI'!U57</f>
        <v>16622.441866666668</v>
      </c>
      <c r="H56" s="41">
        <f>'B) D RI'!T57</f>
        <v>1161188.0900000001</v>
      </c>
      <c r="I56" s="10">
        <f t="shared" si="4"/>
        <v>30965.015733333337</v>
      </c>
      <c r="J56" s="31">
        <f t="shared" si="5"/>
        <v>42486.042107843081</v>
      </c>
      <c r="K56" s="10">
        <f t="shared" si="1"/>
        <v>30965.015733333337</v>
      </c>
      <c r="L56" s="10">
        <f>'D) Ecrêtage'!C56</f>
        <v>16622.441866666668</v>
      </c>
      <c r="M56" s="10">
        <f t="shared" si="6"/>
        <v>19396.094242490821</v>
      </c>
      <c r="N56" s="55">
        <f t="shared" si="3"/>
        <v>50361.109975824162</v>
      </c>
      <c r="O56" s="216"/>
      <c r="P56" s="217"/>
      <c r="Q56" s="213"/>
      <c r="R56" s="213"/>
      <c r="S56" s="218"/>
    </row>
    <row r="57" spans="1:19" s="212" customFormat="1" x14ac:dyDescent="0.25">
      <c r="A57" s="302">
        <f>'A) Base RI'!A58</f>
        <v>5488</v>
      </c>
      <c r="B57" s="225" t="str">
        <f>'A) Base RI'!B58</f>
        <v>Mauraz</v>
      </c>
      <c r="C57" s="240">
        <v>0</v>
      </c>
      <c r="D57" s="214">
        <f>'B) D RI'!AA58</f>
        <v>60</v>
      </c>
      <c r="E57" s="215">
        <f>'B) D RI'!S58</f>
        <v>77</v>
      </c>
      <c r="F57" s="10">
        <f>'B) D RI'!R58</f>
        <v>133147.29999999999</v>
      </c>
      <c r="G57" s="10">
        <f>'B) D RI'!U58</f>
        <v>1729.1857142857141</v>
      </c>
      <c r="H57" s="41">
        <f>'B) D RI'!T58</f>
        <v>124565.3</v>
      </c>
      <c r="I57" s="10">
        <f t="shared" si="4"/>
        <v>3235.4623376623376</v>
      </c>
      <c r="J57" s="31">
        <f t="shared" si="5"/>
        <v>5366.6579504643887</v>
      </c>
      <c r="K57" s="10">
        <f t="shared" si="1"/>
        <v>3235.4623376623376</v>
      </c>
      <c r="L57" s="10">
        <f>'D) Ecrêtage'!C57</f>
        <v>1729.1857142857141</v>
      </c>
      <c r="M57" s="10">
        <f t="shared" si="6"/>
        <v>2017.7209429326915</v>
      </c>
      <c r="N57" s="55">
        <f t="shared" si="3"/>
        <v>5253.1832805950289</v>
      </c>
      <c r="O57" s="216"/>
      <c r="P57" s="217"/>
      <c r="Q57" s="213"/>
      <c r="R57" s="213"/>
      <c r="S57" s="218"/>
    </row>
    <row r="58" spans="1:19" s="212" customFormat="1" x14ac:dyDescent="0.25">
      <c r="A58" s="302">
        <f>'A) Base RI'!A59</f>
        <v>5489</v>
      </c>
      <c r="B58" s="225" t="str">
        <f>'A) Base RI'!B59</f>
        <v>Mex</v>
      </c>
      <c r="C58" s="240">
        <v>0</v>
      </c>
      <c r="D58" s="214">
        <f>'B) D RI'!AA59</f>
        <v>795</v>
      </c>
      <c r="E58" s="215">
        <f>'B) D RI'!S59</f>
        <v>59.5</v>
      </c>
      <c r="F58" s="10">
        <f>'B) D RI'!R59</f>
        <v>3027355.8299999996</v>
      </c>
      <c r="G58" s="10">
        <f>'B) D RI'!U59</f>
        <v>50879.929915966379</v>
      </c>
      <c r="H58" s="41">
        <f>'B) D RI'!T59</f>
        <v>2720969.8799999994</v>
      </c>
      <c r="I58" s="10">
        <f t="shared" si="4"/>
        <v>91461.172436974768</v>
      </c>
      <c r="J58" s="31">
        <f t="shared" si="5"/>
        <v>71108.217843653154</v>
      </c>
      <c r="K58" s="10">
        <f t="shared" si="1"/>
        <v>71108.217843653154</v>
      </c>
      <c r="L58" s="10">
        <f>'D) Ecrêtage'!C58</f>
        <v>50879.929915966379</v>
      </c>
      <c r="M58" s="10">
        <f t="shared" si="6"/>
        <v>59369.852132279499</v>
      </c>
      <c r="N58" s="55">
        <f t="shared" si="3"/>
        <v>130478.06997593265</v>
      </c>
      <c r="O58" s="216"/>
      <c r="P58" s="217"/>
      <c r="Q58" s="213"/>
      <c r="R58" s="213"/>
      <c r="S58" s="218"/>
    </row>
    <row r="59" spans="1:19" s="212" customFormat="1" x14ac:dyDescent="0.25">
      <c r="A59" s="302">
        <f>'A) Base RI'!A60</f>
        <v>5490</v>
      </c>
      <c r="B59" s="225" t="str">
        <f>'A) Base RI'!B60</f>
        <v>Moiry</v>
      </c>
      <c r="C59" s="240">
        <v>0</v>
      </c>
      <c r="D59" s="214">
        <f>'B) D RI'!AA60</f>
        <v>301</v>
      </c>
      <c r="E59" s="215">
        <f>'B) D RI'!S60</f>
        <v>77.5</v>
      </c>
      <c r="F59" s="10">
        <f>'B) D RI'!R60</f>
        <v>701909.75</v>
      </c>
      <c r="G59" s="10">
        <f>'B) D RI'!U60</f>
        <v>9056.9</v>
      </c>
      <c r="H59" s="41">
        <f>'B) D RI'!T60</f>
        <v>654512.1</v>
      </c>
      <c r="I59" s="10">
        <f t="shared" si="4"/>
        <v>16890.634838709677</v>
      </c>
      <c r="J59" s="31">
        <f t="shared" si="5"/>
        <v>26922.734051496351</v>
      </c>
      <c r="K59" s="10">
        <f t="shared" si="1"/>
        <v>16890.634838709677</v>
      </c>
      <c r="L59" s="10">
        <f>'D) Ecrêtage'!C59</f>
        <v>9056.9</v>
      </c>
      <c r="M59" s="10">
        <f t="shared" si="6"/>
        <v>10568.151620195275</v>
      </c>
      <c r="N59" s="55">
        <f t="shared" si="3"/>
        <v>27458.78645890495</v>
      </c>
      <c r="O59" s="216"/>
      <c r="P59" s="217"/>
      <c r="Q59" s="213"/>
      <c r="R59" s="213"/>
      <c r="S59" s="218"/>
    </row>
    <row r="60" spans="1:19" s="212" customFormat="1" x14ac:dyDescent="0.25">
      <c r="A60" s="302">
        <f>'A) Base RI'!A61</f>
        <v>5491</v>
      </c>
      <c r="B60" s="225" t="str">
        <f>'A) Base RI'!B61</f>
        <v>Mont-la-Ville</v>
      </c>
      <c r="C60" s="240">
        <v>0</v>
      </c>
      <c r="D60" s="214">
        <f>'B) D RI'!AA61</f>
        <v>508</v>
      </c>
      <c r="E60" s="215">
        <f>'B) D RI'!S61</f>
        <v>76</v>
      </c>
      <c r="F60" s="10">
        <f>'B) D RI'!R61</f>
        <v>1037318.74</v>
      </c>
      <c r="G60" s="10">
        <f>'B) D RI'!U61</f>
        <v>13648.930789473685</v>
      </c>
      <c r="H60" s="41">
        <f>'B) D RI'!T61</f>
        <v>945242.99</v>
      </c>
      <c r="I60" s="10">
        <f t="shared" si="4"/>
        <v>24874.81552631579</v>
      </c>
      <c r="J60" s="31">
        <f t="shared" si="5"/>
        <v>45437.70398059849</v>
      </c>
      <c r="K60" s="10">
        <f t="shared" si="1"/>
        <v>24874.81552631579</v>
      </c>
      <c r="L60" s="10">
        <f>'D) Ecrêtage'!C60</f>
        <v>13648.930789473685</v>
      </c>
      <c r="M60" s="10">
        <f t="shared" si="6"/>
        <v>15926.417431649848</v>
      </c>
      <c r="N60" s="55">
        <f t="shared" si="3"/>
        <v>40801.232957965636</v>
      </c>
      <c r="O60" s="216"/>
      <c r="P60" s="217"/>
      <c r="Q60" s="213"/>
      <c r="R60" s="213"/>
      <c r="S60" s="218"/>
    </row>
    <row r="61" spans="1:19" s="212" customFormat="1" x14ac:dyDescent="0.25">
      <c r="A61" s="302">
        <f>'A) Base RI'!A62</f>
        <v>5492</v>
      </c>
      <c r="B61" s="225" t="str">
        <f>'A) Base RI'!B62</f>
        <v>Montricher</v>
      </c>
      <c r="C61" s="240">
        <v>0</v>
      </c>
      <c r="D61" s="214">
        <f>'B) D RI'!AA62</f>
        <v>981</v>
      </c>
      <c r="E61" s="215">
        <f>'B) D RI'!S62</f>
        <v>64</v>
      </c>
      <c r="F61" s="10">
        <f>'B) D RI'!R62</f>
        <v>11217181.140000001</v>
      </c>
      <c r="G61" s="10">
        <f>'B) D RI'!U62</f>
        <v>175268.45531250001</v>
      </c>
      <c r="H61" s="41">
        <f>'B) D RI'!T62</f>
        <v>10964355.190000001</v>
      </c>
      <c r="I61" s="10">
        <f t="shared" si="4"/>
        <v>342636.09968750004</v>
      </c>
      <c r="J61" s="31">
        <f t="shared" si="5"/>
        <v>87744.857490092763</v>
      </c>
      <c r="K61" s="10">
        <f t="shared" si="1"/>
        <v>87744.857490092763</v>
      </c>
      <c r="L61" s="10">
        <f>'D) Ecrêtage'!C61</f>
        <v>175268.45531250001</v>
      </c>
      <c r="M61" s="10">
        <f t="shared" si="6"/>
        <v>204514.08428710929</v>
      </c>
      <c r="N61" s="55">
        <f t="shared" si="3"/>
        <v>292258.94177720207</v>
      </c>
      <c r="O61" s="216"/>
      <c r="P61" s="217"/>
      <c r="Q61" s="213"/>
      <c r="R61" s="213"/>
      <c r="S61" s="218"/>
    </row>
    <row r="62" spans="1:19" s="212" customFormat="1" x14ac:dyDescent="0.25">
      <c r="A62" s="302">
        <f>'A) Base RI'!A63</f>
        <v>5493</v>
      </c>
      <c r="B62" s="225" t="str">
        <f>'A) Base RI'!B63</f>
        <v>Orny</v>
      </c>
      <c r="C62" s="240">
        <v>0</v>
      </c>
      <c r="D62" s="214">
        <f>'B) D RI'!AA63</f>
        <v>480</v>
      </c>
      <c r="E62" s="215">
        <f>'B) D RI'!S63</f>
        <v>73</v>
      </c>
      <c r="F62" s="10">
        <f>'B) D RI'!R63</f>
        <v>984766.09076923085</v>
      </c>
      <c r="G62" s="10">
        <f>'B) D RI'!U63</f>
        <v>13489.946448893574</v>
      </c>
      <c r="H62" s="41">
        <f>'B) D RI'!T63</f>
        <v>900053.31</v>
      </c>
      <c r="I62" s="10">
        <f t="shared" si="4"/>
        <v>24658.994794520549</v>
      </c>
      <c r="J62" s="31">
        <f t="shared" si="5"/>
        <v>42933.26360371511</v>
      </c>
      <c r="K62" s="10">
        <f t="shared" si="1"/>
        <v>24658.994794520549</v>
      </c>
      <c r="L62" s="10">
        <f>'D) Ecrêtage'!C62</f>
        <v>13489.946448893574</v>
      </c>
      <c r="M62" s="10">
        <f t="shared" si="6"/>
        <v>15740.904660559587</v>
      </c>
      <c r="N62" s="55">
        <f t="shared" si="3"/>
        <v>40399.899455080136</v>
      </c>
      <c r="O62" s="216"/>
      <c r="P62" s="217"/>
      <c r="Q62" s="213"/>
      <c r="R62" s="213"/>
      <c r="S62" s="218"/>
    </row>
    <row r="63" spans="1:19" s="212" customFormat="1" x14ac:dyDescent="0.25">
      <c r="A63" s="302">
        <f>'A) Base RI'!A64</f>
        <v>5494</v>
      </c>
      <c r="B63" s="225" t="str">
        <f>'A) Base RI'!B64</f>
        <v>Pampigny</v>
      </c>
      <c r="C63" s="240">
        <v>0</v>
      </c>
      <c r="D63" s="214">
        <f>'B) D RI'!AA64</f>
        <v>1185</v>
      </c>
      <c r="E63" s="215">
        <f>'B) D RI'!S64</f>
        <v>73</v>
      </c>
      <c r="F63" s="10">
        <f>'B) D RI'!R64</f>
        <v>3154370.8042857139</v>
      </c>
      <c r="G63" s="10">
        <f>'B) D RI'!U64</f>
        <v>43210.558962818002</v>
      </c>
      <c r="H63" s="41">
        <f>'B) D RI'!T64</f>
        <v>2919625.69</v>
      </c>
      <c r="I63" s="10">
        <f t="shared" si="4"/>
        <v>79989.744931506852</v>
      </c>
      <c r="J63" s="31">
        <f t="shared" si="5"/>
        <v>105991.49452167167</v>
      </c>
      <c r="K63" s="10">
        <f t="shared" si="1"/>
        <v>79989.744931506852</v>
      </c>
      <c r="L63" s="10">
        <f>'D) Ecrêtage'!C63</f>
        <v>43210.558962818002</v>
      </c>
      <c r="M63" s="10">
        <f t="shared" si="6"/>
        <v>50420.755303961465</v>
      </c>
      <c r="N63" s="55">
        <f t="shared" si="3"/>
        <v>130410.50023546832</v>
      </c>
      <c r="O63" s="216"/>
      <c r="P63" s="217"/>
      <c r="Q63" s="213"/>
      <c r="R63" s="213"/>
      <c r="S63" s="218"/>
    </row>
    <row r="64" spans="1:19" s="212" customFormat="1" x14ac:dyDescent="0.25">
      <c r="A64" s="302">
        <f>'A) Base RI'!A65</f>
        <v>5495</v>
      </c>
      <c r="B64" s="225" t="str">
        <f>'A) Base RI'!B65</f>
        <v>Penthalaz</v>
      </c>
      <c r="C64" s="240">
        <v>0</v>
      </c>
      <c r="D64" s="214">
        <f>'B) D RI'!AA65</f>
        <v>3210</v>
      </c>
      <c r="E64" s="215">
        <f>'B) D RI'!S65</f>
        <v>74</v>
      </c>
      <c r="F64" s="10">
        <f>'B) D RI'!R65</f>
        <v>7053274.4899999984</v>
      </c>
      <c r="G64" s="10">
        <f>'B) D RI'!U65</f>
        <v>95314.520135135113</v>
      </c>
      <c r="H64" s="41">
        <f>'B) D RI'!T65</f>
        <v>6474370.6899999985</v>
      </c>
      <c r="I64" s="10">
        <f t="shared" si="4"/>
        <v>174982.99162162159</v>
      </c>
      <c r="J64" s="31">
        <f t="shared" si="5"/>
        <v>287116.20034984482</v>
      </c>
      <c r="K64" s="10">
        <f t="shared" si="1"/>
        <v>174982.99162162159</v>
      </c>
      <c r="L64" s="10">
        <f>'D) Ecrêtage'!C64</f>
        <v>95314.520135135113</v>
      </c>
      <c r="M64" s="10">
        <f t="shared" si="6"/>
        <v>111218.8828842389</v>
      </c>
      <c r="N64" s="55">
        <f t="shared" si="3"/>
        <v>286201.8745058605</v>
      </c>
      <c r="O64" s="216"/>
      <c r="P64" s="217"/>
      <c r="Q64" s="213"/>
      <c r="R64" s="213"/>
      <c r="S64" s="218"/>
    </row>
    <row r="65" spans="1:19" s="212" customFormat="1" x14ac:dyDescent="0.25">
      <c r="A65" s="302">
        <f>'A) Base RI'!A66</f>
        <v>5496</v>
      </c>
      <c r="B65" s="225" t="str">
        <f>'A) Base RI'!B66</f>
        <v>Penthaz</v>
      </c>
      <c r="C65" s="240">
        <v>0</v>
      </c>
      <c r="D65" s="214">
        <f>'B) D RI'!AA66</f>
        <v>1890</v>
      </c>
      <c r="E65" s="215">
        <f>'B) D RI'!S66</f>
        <v>69.5</v>
      </c>
      <c r="F65" s="10">
        <f>'B) D RI'!R66</f>
        <v>3910619.8600000003</v>
      </c>
      <c r="G65" s="10">
        <f>'B) D RI'!U66</f>
        <v>56267.911654676267</v>
      </c>
      <c r="H65" s="41">
        <f>'B) D RI'!T66</f>
        <v>3543046.21</v>
      </c>
      <c r="I65" s="10">
        <f t="shared" si="4"/>
        <v>101958.16431654677</v>
      </c>
      <c r="J65" s="31">
        <f t="shared" si="5"/>
        <v>169049.72543962824</v>
      </c>
      <c r="K65" s="10">
        <f t="shared" si="1"/>
        <v>101958.16431654677</v>
      </c>
      <c r="L65" s="10">
        <f>'D) Ecrêtage'!C65</f>
        <v>56267.911654676267</v>
      </c>
      <c r="M65" s="10">
        <f t="shared" si="6"/>
        <v>65656.88278752903</v>
      </c>
      <c r="N65" s="55">
        <f t="shared" si="3"/>
        <v>167615.04710407578</v>
      </c>
      <c r="O65" s="216"/>
      <c r="P65" s="217"/>
      <c r="Q65" s="213"/>
      <c r="R65" s="213"/>
      <c r="S65" s="218"/>
    </row>
    <row r="66" spans="1:19" s="212" customFormat="1" x14ac:dyDescent="0.25">
      <c r="A66" s="302">
        <f>'A) Base RI'!A67</f>
        <v>5497</v>
      </c>
      <c r="B66" s="225" t="str">
        <f>'A) Base RI'!B67</f>
        <v>Pompaples</v>
      </c>
      <c r="C66" s="240">
        <v>0</v>
      </c>
      <c r="D66" s="214">
        <f>'B) D RI'!AA67</f>
        <v>849</v>
      </c>
      <c r="E66" s="215">
        <f>'B) D RI'!S67</f>
        <v>66</v>
      </c>
      <c r="F66" s="10">
        <f>'B) D RI'!R67</f>
        <v>1468730.9600000002</v>
      </c>
      <c r="G66" s="10">
        <f>'B) D RI'!U67</f>
        <v>22253.499393939397</v>
      </c>
      <c r="H66" s="41">
        <f>'B) D RI'!T67</f>
        <v>1331472.8600000001</v>
      </c>
      <c r="I66" s="10">
        <f t="shared" si="4"/>
        <v>40347.66242424243</v>
      </c>
      <c r="J66" s="31">
        <f t="shared" si="5"/>
        <v>75938.209999071099</v>
      </c>
      <c r="K66" s="10">
        <f t="shared" si="1"/>
        <v>40347.66242424243</v>
      </c>
      <c r="L66" s="10">
        <f>'D) Ecrêtage'!C66</f>
        <v>22253.499393939397</v>
      </c>
      <c r="M66" s="10">
        <f t="shared" si="6"/>
        <v>25966.760776322499</v>
      </c>
      <c r="N66" s="55">
        <f t="shared" si="3"/>
        <v>66314.423200564925</v>
      </c>
      <c r="O66" s="216"/>
      <c r="P66" s="217"/>
      <c r="Q66" s="213"/>
      <c r="R66" s="213"/>
      <c r="S66" s="218"/>
    </row>
    <row r="67" spans="1:19" s="212" customFormat="1" x14ac:dyDescent="0.25">
      <c r="A67" s="302">
        <f>'A) Base RI'!A68</f>
        <v>5498</v>
      </c>
      <c r="B67" s="225" t="str">
        <f>'A) Base RI'!B68</f>
        <v>La Sarraz</v>
      </c>
      <c r="C67" s="240">
        <v>0</v>
      </c>
      <c r="D67" s="214">
        <f>'B) D RI'!AA68</f>
        <v>2620</v>
      </c>
      <c r="E67" s="215">
        <f>'B) D RI'!S68</f>
        <v>66</v>
      </c>
      <c r="F67" s="10">
        <f>'B) D RI'!R68</f>
        <v>4929021.8400000008</v>
      </c>
      <c r="G67" s="10">
        <f>'B) D RI'!U68</f>
        <v>74682.149090909108</v>
      </c>
      <c r="H67" s="41">
        <f>'B) D RI'!T68</f>
        <v>4480560.3400000008</v>
      </c>
      <c r="I67" s="10">
        <f t="shared" si="4"/>
        <v>135774.55575757578</v>
      </c>
      <c r="J67" s="31">
        <f t="shared" si="5"/>
        <v>234344.06383694499</v>
      </c>
      <c r="K67" s="10">
        <f t="shared" si="1"/>
        <v>135774.55575757578</v>
      </c>
      <c r="L67" s="10">
        <f>'D) Ecrêtage'!C67</f>
        <v>74682.149090909108</v>
      </c>
      <c r="M67" s="10">
        <f t="shared" si="6"/>
        <v>87143.755028183616</v>
      </c>
      <c r="N67" s="55">
        <f t="shared" si="3"/>
        <v>222918.31078575942</v>
      </c>
      <c r="O67" s="216"/>
      <c r="P67" s="217"/>
      <c r="Q67" s="213"/>
      <c r="R67" s="213"/>
      <c r="S67" s="218"/>
    </row>
    <row r="68" spans="1:19" s="212" customFormat="1" x14ac:dyDescent="0.25">
      <c r="A68" s="302">
        <f>'A) Base RI'!A69</f>
        <v>5499</v>
      </c>
      <c r="B68" s="225" t="str">
        <f>'A) Base RI'!B69</f>
        <v>Senarclens</v>
      </c>
      <c r="C68" s="240">
        <v>0</v>
      </c>
      <c r="D68" s="214">
        <f>'B) D RI'!AA69</f>
        <v>491</v>
      </c>
      <c r="E68" s="215">
        <f>'B) D RI'!S69</f>
        <v>68.5</v>
      </c>
      <c r="F68" s="10">
        <f>'B) D RI'!R69</f>
        <v>1249364.94</v>
      </c>
      <c r="G68" s="10">
        <f>'B) D RI'!U69</f>
        <v>18238.904233576643</v>
      </c>
      <c r="H68" s="41">
        <f>'B) D RI'!T69</f>
        <v>1151056.3399999999</v>
      </c>
      <c r="I68" s="10">
        <f t="shared" si="4"/>
        <v>33607.48437956204</v>
      </c>
      <c r="J68" s="31">
        <f t="shared" si="5"/>
        <v>43917.150894633582</v>
      </c>
      <c r="K68" s="10">
        <f t="shared" si="1"/>
        <v>33607.48437956204</v>
      </c>
      <c r="L68" s="10">
        <f>'D) Ecrêtage'!C68</f>
        <v>18238.904233576643</v>
      </c>
      <c r="M68" s="10">
        <f t="shared" si="6"/>
        <v>21282.282605158438</v>
      </c>
      <c r="N68" s="55">
        <f t="shared" si="3"/>
        <v>54889.766984720482</v>
      </c>
      <c r="O68" s="216"/>
      <c r="P68" s="217"/>
      <c r="Q68" s="213"/>
      <c r="R68" s="213"/>
      <c r="S68" s="218"/>
    </row>
    <row r="69" spans="1:19" s="212" customFormat="1" x14ac:dyDescent="0.25">
      <c r="A69" s="302">
        <f>'A) Base RI'!A70</f>
        <v>5500</v>
      </c>
      <c r="B69" s="225" t="str">
        <f>'A) Base RI'!B70</f>
        <v>Sévery</v>
      </c>
      <c r="C69" s="240">
        <v>0</v>
      </c>
      <c r="D69" s="214">
        <f>'B) D RI'!AA70</f>
        <v>220</v>
      </c>
      <c r="E69" s="215">
        <f>'B) D RI'!S70</f>
        <v>73</v>
      </c>
      <c r="F69" s="10">
        <f>'B) D RI'!R70</f>
        <v>527816.51666666672</v>
      </c>
      <c r="G69" s="10">
        <f>'B) D RI'!U70</f>
        <v>7230.3632420091335</v>
      </c>
      <c r="H69" s="41">
        <f>'B) D RI'!T70</f>
        <v>485126.15</v>
      </c>
      <c r="I69" s="10">
        <f t="shared" si="4"/>
        <v>13291.127397260274</v>
      </c>
      <c r="J69" s="31">
        <f t="shared" ref="J69:J100" si="7">+$I$314/$D$314*D69</f>
        <v>19677.745818369425</v>
      </c>
      <c r="K69" s="10">
        <f t="shared" ref="K69:K132" si="8">IF(C69=1,0,IF(J69&gt;I69,I69,J69))</f>
        <v>13291.127397260274</v>
      </c>
      <c r="L69" s="10">
        <f>'D) Ecrêtage'!C69</f>
        <v>7230.3632420091335</v>
      </c>
      <c r="M69" s="10">
        <f t="shared" ref="M69:M132" si="9">+$M$5*L69</f>
        <v>8436.8354525984814</v>
      </c>
      <c r="N69" s="55">
        <f t="shared" si="3"/>
        <v>21727.962849858755</v>
      </c>
      <c r="O69" s="216"/>
      <c r="P69" s="217"/>
      <c r="Q69" s="213"/>
      <c r="R69" s="213"/>
      <c r="S69" s="218"/>
    </row>
    <row r="70" spans="1:19" s="212" customFormat="1" x14ac:dyDescent="0.25">
      <c r="A70" s="302">
        <f>'A) Base RI'!A71</f>
        <v>5501</v>
      </c>
      <c r="B70" s="225" t="str">
        <f>'A) Base RI'!B71</f>
        <v>Sullens</v>
      </c>
      <c r="C70" s="240">
        <v>0</v>
      </c>
      <c r="D70" s="214">
        <f>'B) D RI'!AA71</f>
        <v>1143</v>
      </c>
      <c r="E70" s="215">
        <f>'B) D RI'!S71</f>
        <v>68.5</v>
      </c>
      <c r="F70" s="10">
        <f>'B) D RI'!R71</f>
        <v>2958898.5300000003</v>
      </c>
      <c r="G70" s="10">
        <f>'B) D RI'!U71</f>
        <v>43195.598978102193</v>
      </c>
      <c r="H70" s="41">
        <f>'B) D RI'!T71</f>
        <v>2724499.1300000004</v>
      </c>
      <c r="I70" s="10">
        <f t="shared" ref="I70:I133" si="10">+H70/E70*$I$5</f>
        <v>79547.419854014603</v>
      </c>
      <c r="J70" s="31">
        <f t="shared" si="7"/>
        <v>102234.83395634661</v>
      </c>
      <c r="K70" s="10">
        <f t="shared" si="8"/>
        <v>79547.419854014603</v>
      </c>
      <c r="L70" s="10">
        <f>'D) Ecrêtage'!C70</f>
        <v>43195.598978102193</v>
      </c>
      <c r="M70" s="10">
        <f t="shared" si="9"/>
        <v>50403.29906764302</v>
      </c>
      <c r="N70" s="55">
        <f t="shared" ref="N70:N133" si="11">+M70+K70</f>
        <v>129950.71892165762</v>
      </c>
      <c r="O70" s="216"/>
      <c r="P70" s="217"/>
      <c r="Q70" s="213"/>
      <c r="R70" s="213"/>
      <c r="S70" s="218"/>
    </row>
    <row r="71" spans="1:19" s="212" customFormat="1" x14ac:dyDescent="0.25">
      <c r="A71" s="302">
        <f>'A) Base RI'!A72</f>
        <v>5503</v>
      </c>
      <c r="B71" s="225" t="str">
        <f>'A) Base RI'!B72</f>
        <v>Vufflens-la-Ville</v>
      </c>
      <c r="C71" s="240">
        <v>0</v>
      </c>
      <c r="D71" s="214">
        <f>'B) D RI'!AA72</f>
        <v>1346</v>
      </c>
      <c r="E71" s="215">
        <f>'B) D RI'!S72</f>
        <v>67</v>
      </c>
      <c r="F71" s="10">
        <f>'B) D RI'!R72</f>
        <v>5294990.8966666665</v>
      </c>
      <c r="G71" s="10">
        <f>'B) D RI'!U72</f>
        <v>79029.714875621881</v>
      </c>
      <c r="H71" s="41">
        <f>'B) D RI'!T72</f>
        <v>4796226.43</v>
      </c>
      <c r="I71" s="10">
        <f t="shared" si="10"/>
        <v>143170.93820895522</v>
      </c>
      <c r="J71" s="31">
        <f t="shared" si="7"/>
        <v>120392.02668875112</v>
      </c>
      <c r="K71" s="10">
        <f t="shared" si="8"/>
        <v>120392.02668875112</v>
      </c>
      <c r="L71" s="10">
        <f>'D) Ecrêtage'!C71</f>
        <v>79029.714875621881</v>
      </c>
      <c r="M71" s="10">
        <f t="shared" si="9"/>
        <v>92216.763937591677</v>
      </c>
      <c r="N71" s="55">
        <f t="shared" si="11"/>
        <v>212608.79062634282</v>
      </c>
      <c r="O71" s="216"/>
      <c r="P71" s="217"/>
      <c r="Q71" s="213"/>
      <c r="R71" s="213"/>
      <c r="S71" s="218"/>
    </row>
    <row r="72" spans="1:19" s="212" customFormat="1" x14ac:dyDescent="0.25">
      <c r="A72" s="302">
        <f>'A) Base RI'!A73</f>
        <v>5511</v>
      </c>
      <c r="B72" s="225" t="str">
        <f>'A) Base RI'!B73</f>
        <v>Assens</v>
      </c>
      <c r="C72" s="240">
        <v>0</v>
      </c>
      <c r="D72" s="214">
        <f>'B) D RI'!AA73</f>
        <v>1151</v>
      </c>
      <c r="E72" s="215">
        <f>'B) D RI'!S73</f>
        <v>70</v>
      </c>
      <c r="F72" s="10">
        <f>'B) D RI'!R73</f>
        <v>3313341.86</v>
      </c>
      <c r="G72" s="10">
        <f>'B) D RI'!U73</f>
        <v>47333.455142857143</v>
      </c>
      <c r="H72" s="41">
        <f>'B) D RI'!T73</f>
        <v>3036847.41</v>
      </c>
      <c r="I72" s="10">
        <f t="shared" si="10"/>
        <v>86767.068857142862</v>
      </c>
      <c r="J72" s="31">
        <f t="shared" si="7"/>
        <v>102950.38834974186</v>
      </c>
      <c r="K72" s="10">
        <f t="shared" si="8"/>
        <v>86767.068857142862</v>
      </c>
      <c r="L72" s="10">
        <f>'D) Ecrêtage'!C72</f>
        <v>47333.455142857143</v>
      </c>
      <c r="M72" s="10">
        <f t="shared" si="9"/>
        <v>55231.605809650777</v>
      </c>
      <c r="N72" s="55">
        <f t="shared" si="11"/>
        <v>141998.67466679364</v>
      </c>
      <c r="O72" s="216"/>
      <c r="P72" s="217"/>
      <c r="Q72" s="213"/>
      <c r="R72" s="213"/>
      <c r="S72" s="218"/>
    </row>
    <row r="73" spans="1:19" s="212" customFormat="1" x14ac:dyDescent="0.25">
      <c r="A73" s="302">
        <f>'A) Base RI'!A74</f>
        <v>5512</v>
      </c>
      <c r="B73" s="225" t="str">
        <f>'A) Base RI'!B74</f>
        <v>Bercher</v>
      </c>
      <c r="C73" s="240">
        <v>0</v>
      </c>
      <c r="D73" s="214">
        <f>'B) D RI'!AA74</f>
        <v>1320</v>
      </c>
      <c r="E73" s="215">
        <f>'B) D RI'!S74</f>
        <v>79</v>
      </c>
      <c r="F73" s="10">
        <f>'B) D RI'!R74</f>
        <v>3220365.9099999997</v>
      </c>
      <c r="G73" s="10">
        <f>'B) D RI'!U74</f>
        <v>40764.12544303797</v>
      </c>
      <c r="H73" s="41">
        <f>'B) D RI'!T74</f>
        <v>2942561.3099999996</v>
      </c>
      <c r="I73" s="10">
        <f t="shared" si="10"/>
        <v>74495.223037974676</v>
      </c>
      <c r="J73" s="31">
        <f t="shared" si="7"/>
        <v>118066.47491021655</v>
      </c>
      <c r="K73" s="10">
        <f t="shared" si="8"/>
        <v>74495.223037974676</v>
      </c>
      <c r="L73" s="10">
        <f>'D) Ecrêtage'!C73</f>
        <v>40764.12544303797</v>
      </c>
      <c r="M73" s="10">
        <f t="shared" si="9"/>
        <v>47566.105217754994</v>
      </c>
      <c r="N73" s="55">
        <f t="shared" si="11"/>
        <v>122061.32825572966</v>
      </c>
      <c r="O73" s="216"/>
      <c r="P73" s="217"/>
      <c r="Q73" s="213"/>
      <c r="R73" s="213"/>
      <c r="S73" s="218"/>
    </row>
    <row r="74" spans="1:19" s="212" customFormat="1" x14ac:dyDescent="0.25">
      <c r="A74" s="302">
        <f>'A) Base RI'!A75</f>
        <v>5513</v>
      </c>
      <c r="B74" s="225" t="str">
        <f>'A) Base RI'!B75</f>
        <v>Bioley-Orjulaz</v>
      </c>
      <c r="C74" s="240">
        <v>0</v>
      </c>
      <c r="D74" s="214">
        <f>'B) D RI'!AA75</f>
        <v>518</v>
      </c>
      <c r="E74" s="215">
        <f>'B) D RI'!S75</f>
        <v>68</v>
      </c>
      <c r="F74" s="10">
        <f>'B) D RI'!R75</f>
        <v>1546253.54</v>
      </c>
      <c r="G74" s="10">
        <f>'B) D RI'!U75</f>
        <v>22739.022647058824</v>
      </c>
      <c r="H74" s="41">
        <f>'B) D RI'!T75</f>
        <v>1414530.69</v>
      </c>
      <c r="I74" s="10">
        <f t="shared" si="10"/>
        <v>41603.843823529409</v>
      </c>
      <c r="J74" s="31">
        <f t="shared" si="7"/>
        <v>46332.146972342554</v>
      </c>
      <c r="K74" s="10">
        <f t="shared" si="8"/>
        <v>41603.843823529409</v>
      </c>
      <c r="L74" s="10">
        <f>'D) Ecrêtage'!C74</f>
        <v>22739.022647058824</v>
      </c>
      <c r="M74" s="10">
        <f t="shared" si="9"/>
        <v>26533.299366137617</v>
      </c>
      <c r="N74" s="55">
        <f t="shared" si="11"/>
        <v>68137.143189667026</v>
      </c>
      <c r="O74" s="216"/>
      <c r="P74" s="217"/>
      <c r="Q74" s="213"/>
      <c r="R74" s="213"/>
      <c r="S74" s="218"/>
    </row>
    <row r="75" spans="1:19" s="212" customFormat="1" x14ac:dyDescent="0.25">
      <c r="A75" s="302">
        <f>'A) Base RI'!A76</f>
        <v>5514</v>
      </c>
      <c r="B75" s="225" t="str">
        <f>'A) Base RI'!B76</f>
        <v>Bottens</v>
      </c>
      <c r="C75" s="240">
        <v>0</v>
      </c>
      <c r="D75" s="214">
        <f>'B) D RI'!AA76</f>
        <v>1357</v>
      </c>
      <c r="E75" s="215">
        <f>'B) D RI'!S76</f>
        <v>72.5</v>
      </c>
      <c r="F75" s="10">
        <f>'B) D RI'!R76</f>
        <v>3206197.62</v>
      </c>
      <c r="G75" s="10">
        <f>'B) D RI'!U76</f>
        <v>44223.41544827586</v>
      </c>
      <c r="H75" s="41">
        <f>'B) D RI'!T76</f>
        <v>2954532.02</v>
      </c>
      <c r="I75" s="10">
        <f t="shared" si="10"/>
        <v>81504.331586206899</v>
      </c>
      <c r="J75" s="31">
        <f t="shared" si="7"/>
        <v>121375.9139796696</v>
      </c>
      <c r="K75" s="10">
        <f t="shared" si="8"/>
        <v>81504.331586206899</v>
      </c>
      <c r="L75" s="10">
        <f>'D) Ecrêtage'!C75</f>
        <v>44223.41544827586</v>
      </c>
      <c r="M75" s="10">
        <f t="shared" si="9"/>
        <v>51602.618955742619</v>
      </c>
      <c r="N75" s="55">
        <f t="shared" si="11"/>
        <v>133106.95054194951</v>
      </c>
      <c r="O75" s="216"/>
      <c r="P75" s="217"/>
      <c r="Q75" s="213"/>
      <c r="R75" s="213"/>
      <c r="S75" s="218"/>
    </row>
    <row r="76" spans="1:19" s="212" customFormat="1" x14ac:dyDescent="0.25">
      <c r="A76" s="302">
        <f>'A) Base RI'!A77</f>
        <v>5515</v>
      </c>
      <c r="B76" s="225" t="str">
        <f>'A) Base RI'!B77</f>
        <v>Bretigny-sur-Morrens</v>
      </c>
      <c r="C76" s="240">
        <v>0</v>
      </c>
      <c r="D76" s="214">
        <f>'B) D RI'!AA77</f>
        <v>882</v>
      </c>
      <c r="E76" s="215">
        <f>'B) D RI'!S77</f>
        <v>78</v>
      </c>
      <c r="F76" s="10">
        <f>'B) D RI'!R77</f>
        <v>2523204.4699999997</v>
      </c>
      <c r="G76" s="10">
        <f>'B) D RI'!U77</f>
        <v>32348.775256410252</v>
      </c>
      <c r="H76" s="41">
        <f>'B) D RI'!T77</f>
        <v>2332146.27</v>
      </c>
      <c r="I76" s="10">
        <f t="shared" si="10"/>
        <v>59798.622307692305</v>
      </c>
      <c r="J76" s="31">
        <f t="shared" si="7"/>
        <v>78889.871871826515</v>
      </c>
      <c r="K76" s="10">
        <f t="shared" si="8"/>
        <v>59798.622307692305</v>
      </c>
      <c r="L76" s="10">
        <f>'D) Ecrêtage'!C76</f>
        <v>32348.775256410252</v>
      </c>
      <c r="M76" s="10">
        <f t="shared" si="9"/>
        <v>37746.553637267149</v>
      </c>
      <c r="N76" s="55">
        <f t="shared" si="11"/>
        <v>97545.175944959454</v>
      </c>
      <c r="O76" s="216"/>
      <c r="P76" s="217"/>
      <c r="Q76" s="213"/>
      <c r="R76" s="213"/>
      <c r="S76" s="218"/>
    </row>
    <row r="77" spans="1:19" s="212" customFormat="1" x14ac:dyDescent="0.25">
      <c r="A77" s="302">
        <f>'A) Base RI'!A78</f>
        <v>5516</v>
      </c>
      <c r="B77" s="225" t="str">
        <f>'A) Base RI'!B78</f>
        <v>Cugy</v>
      </c>
      <c r="C77" s="240">
        <v>0</v>
      </c>
      <c r="D77" s="214">
        <f>'B) D RI'!AA78</f>
        <v>2733</v>
      </c>
      <c r="E77" s="215">
        <f>'B) D RI'!S78</f>
        <v>78</v>
      </c>
      <c r="F77" s="10">
        <f>'B) D RI'!R78</f>
        <v>8705183.4649999999</v>
      </c>
      <c r="G77" s="10">
        <f>'B) D RI'!U78</f>
        <v>111604.91621794872</v>
      </c>
      <c r="H77" s="41">
        <f>'B) D RI'!T78</f>
        <v>8081485.5899999989</v>
      </c>
      <c r="I77" s="10">
        <f t="shared" si="10"/>
        <v>207217.57923076922</v>
      </c>
      <c r="J77" s="31">
        <f t="shared" si="7"/>
        <v>244451.26964365292</v>
      </c>
      <c r="K77" s="10">
        <f t="shared" si="8"/>
        <v>207217.57923076922</v>
      </c>
      <c r="L77" s="10">
        <f>'D) Ecrêtage'!C77</f>
        <v>111604.91621794872</v>
      </c>
      <c r="M77" s="10">
        <f t="shared" si="9"/>
        <v>130227.52554963318</v>
      </c>
      <c r="N77" s="55">
        <f t="shared" si="11"/>
        <v>337445.10478040238</v>
      </c>
      <c r="O77" s="216"/>
      <c r="P77" s="217"/>
      <c r="Q77" s="213"/>
      <c r="R77" s="213"/>
      <c r="S77" s="218"/>
    </row>
    <row r="78" spans="1:19" s="212" customFormat="1" x14ac:dyDescent="0.25">
      <c r="A78" s="302">
        <f>'A) Base RI'!A79</f>
        <v>5518</v>
      </c>
      <c r="B78" s="225" t="str">
        <f>'A) Base RI'!B79</f>
        <v>Echallens</v>
      </c>
      <c r="C78" s="240">
        <v>0</v>
      </c>
      <c r="D78" s="214">
        <f>'B) D RI'!AA79</f>
        <v>5739</v>
      </c>
      <c r="E78" s="215">
        <f>'B) D RI'!S79</f>
        <v>72.5</v>
      </c>
      <c r="F78" s="10">
        <f>'B) D RI'!R79</f>
        <v>13269712.089999998</v>
      </c>
      <c r="G78" s="10">
        <f>'B) D RI'!U79</f>
        <v>183030.51158620688</v>
      </c>
      <c r="H78" s="41">
        <f>'B) D RI'!T79</f>
        <v>12096819.939999998</v>
      </c>
      <c r="I78" s="10">
        <f t="shared" si="10"/>
        <v>333705.37765517237</v>
      </c>
      <c r="J78" s="31">
        <f t="shared" si="7"/>
        <v>513320.83296191879</v>
      </c>
      <c r="K78" s="10">
        <f t="shared" si="8"/>
        <v>333705.37765517237</v>
      </c>
      <c r="L78" s="10">
        <f>'D) Ecrêtage'!C78</f>
        <v>183030.51158620688</v>
      </c>
      <c r="M78" s="10">
        <f t="shared" si="9"/>
        <v>213571.33208547541</v>
      </c>
      <c r="N78" s="55">
        <f t="shared" si="11"/>
        <v>547276.70974064781</v>
      </c>
      <c r="O78" s="216"/>
      <c r="P78" s="217"/>
      <c r="Q78" s="213"/>
      <c r="R78" s="213"/>
      <c r="S78" s="218"/>
    </row>
    <row r="79" spans="1:19" s="212" customFormat="1" x14ac:dyDescent="0.25">
      <c r="A79" s="302">
        <f>'A) Base RI'!A80</f>
        <v>5520</v>
      </c>
      <c r="B79" s="225" t="str">
        <f>'A) Base RI'!B80</f>
        <v>Essertines-sur-Yverdon</v>
      </c>
      <c r="C79" s="240">
        <v>0</v>
      </c>
      <c r="D79" s="214">
        <f>'B) D RI'!AA80</f>
        <v>1059</v>
      </c>
      <c r="E79" s="215">
        <f>'B) D RI'!S80</f>
        <v>73</v>
      </c>
      <c r="F79" s="10">
        <f>'B) D RI'!R80</f>
        <v>2313859.04</v>
      </c>
      <c r="G79" s="10">
        <f>'B) D RI'!U80</f>
        <v>31696.699178082192</v>
      </c>
      <c r="H79" s="41">
        <f>'B) D RI'!T80</f>
        <v>2112153.9900000002</v>
      </c>
      <c r="I79" s="10">
        <f t="shared" si="10"/>
        <v>57867.232602739736</v>
      </c>
      <c r="J79" s="31">
        <f t="shared" si="7"/>
        <v>94721.512825696467</v>
      </c>
      <c r="K79" s="10">
        <f t="shared" si="8"/>
        <v>57867.232602739736</v>
      </c>
      <c r="L79" s="10">
        <f>'D) Ecrêtage'!C79</f>
        <v>31696.699178082192</v>
      </c>
      <c r="M79" s="10">
        <f t="shared" si="9"/>
        <v>36985.670899942757</v>
      </c>
      <c r="N79" s="55">
        <f t="shared" si="11"/>
        <v>94852.903502682486</v>
      </c>
      <c r="O79" s="216"/>
      <c r="P79" s="217"/>
      <c r="Q79" s="213"/>
      <c r="R79" s="213"/>
      <c r="S79" s="218"/>
    </row>
    <row r="80" spans="1:19" s="212" customFormat="1" x14ac:dyDescent="0.25">
      <c r="A80" s="302">
        <f>'A) Base RI'!A81</f>
        <v>5521</v>
      </c>
      <c r="B80" s="225" t="str">
        <f>'A) Base RI'!B81</f>
        <v>Etagnières</v>
      </c>
      <c r="C80" s="240">
        <v>0</v>
      </c>
      <c r="D80" s="214">
        <f>'B) D RI'!AA81</f>
        <v>1148</v>
      </c>
      <c r="E80" s="215">
        <f>'B) D RI'!S81</f>
        <v>73</v>
      </c>
      <c r="F80" s="10">
        <f>'B) D RI'!R81</f>
        <v>3113110.9</v>
      </c>
      <c r="G80" s="10">
        <f>'B) D RI'!U81</f>
        <v>42645.35479452055</v>
      </c>
      <c r="H80" s="41">
        <f>'B) D RI'!T81</f>
        <v>2830729.1999999997</v>
      </c>
      <c r="I80" s="10">
        <f t="shared" si="10"/>
        <v>77554.224657534243</v>
      </c>
      <c r="J80" s="31">
        <f t="shared" si="7"/>
        <v>102682.05545221864</v>
      </c>
      <c r="K80" s="10">
        <f t="shared" si="8"/>
        <v>77554.224657534243</v>
      </c>
      <c r="L80" s="10">
        <f>'D) Ecrêtage'!C80</f>
        <v>42645.35479452055</v>
      </c>
      <c r="M80" s="10">
        <f t="shared" si="9"/>
        <v>49761.24008938099</v>
      </c>
      <c r="N80" s="55">
        <f t="shared" si="11"/>
        <v>127315.46474691524</v>
      </c>
      <c r="O80" s="216"/>
      <c r="P80" s="217"/>
      <c r="Q80" s="213"/>
      <c r="R80" s="213"/>
      <c r="S80" s="218"/>
    </row>
    <row r="81" spans="1:19" s="212" customFormat="1" x14ac:dyDescent="0.25">
      <c r="A81" s="302">
        <f>'A) Base RI'!A82</f>
        <v>5522</v>
      </c>
      <c r="B81" s="225" t="str">
        <f>'A) Base RI'!B82</f>
        <v>Fey</v>
      </c>
      <c r="C81" s="240">
        <v>0</v>
      </c>
      <c r="D81" s="214">
        <f>'B) D RI'!AA82</f>
        <v>754</v>
      </c>
      <c r="E81" s="215">
        <f>'B) D RI'!S82</f>
        <v>75</v>
      </c>
      <c r="F81" s="10">
        <f>'B) D RI'!R82</f>
        <v>1794324.96</v>
      </c>
      <c r="G81" s="10">
        <f>'B) D RI'!U82</f>
        <v>23924.3328</v>
      </c>
      <c r="H81" s="41">
        <f>'B) D RI'!T82</f>
        <v>1646285.01</v>
      </c>
      <c r="I81" s="10">
        <f t="shared" si="10"/>
        <v>43900.933599999997</v>
      </c>
      <c r="J81" s="31">
        <f t="shared" si="7"/>
        <v>67441.00157750248</v>
      </c>
      <c r="K81" s="10">
        <f t="shared" si="8"/>
        <v>43900.933599999997</v>
      </c>
      <c r="L81" s="10">
        <f>'D) Ecrêtage'!C81</f>
        <v>23924.3328</v>
      </c>
      <c r="M81" s="10">
        <f t="shared" si="9"/>
        <v>27916.392633507159</v>
      </c>
      <c r="N81" s="55">
        <f t="shared" si="11"/>
        <v>71817.326233507163</v>
      </c>
      <c r="O81" s="216"/>
      <c r="P81" s="217"/>
      <c r="Q81" s="213"/>
      <c r="R81" s="213"/>
      <c r="S81" s="218"/>
    </row>
    <row r="82" spans="1:19" s="212" customFormat="1" x14ac:dyDescent="0.25">
      <c r="A82" s="302">
        <f>'A) Base RI'!A83</f>
        <v>5523</v>
      </c>
      <c r="B82" s="225" t="str">
        <f>'A) Base RI'!B83</f>
        <v>Froideville</v>
      </c>
      <c r="C82" s="240">
        <v>0</v>
      </c>
      <c r="D82" s="214">
        <f>'B) D RI'!AA83</f>
        <v>2673</v>
      </c>
      <c r="E82" s="215">
        <f>'B) D RI'!S83</f>
        <v>72</v>
      </c>
      <c r="F82" s="10">
        <f>'B) D RI'!R83</f>
        <v>6733718.1599999992</v>
      </c>
      <c r="G82" s="10">
        <f>'B) D RI'!U83</f>
        <v>93523.863333333327</v>
      </c>
      <c r="H82" s="41">
        <f>'B) D RI'!T83</f>
        <v>6172731.4699999997</v>
      </c>
      <c r="I82" s="10">
        <f t="shared" si="10"/>
        <v>171464.76305555555</v>
      </c>
      <c r="J82" s="31">
        <f t="shared" si="7"/>
        <v>239084.61169318852</v>
      </c>
      <c r="K82" s="10">
        <f t="shared" si="8"/>
        <v>171464.76305555555</v>
      </c>
      <c r="L82" s="10">
        <f>'D) Ecrêtage'!C82</f>
        <v>93523.863333333327</v>
      </c>
      <c r="M82" s="10">
        <f t="shared" si="9"/>
        <v>109129.43367080217</v>
      </c>
      <c r="N82" s="55">
        <f t="shared" si="11"/>
        <v>280594.19672635774</v>
      </c>
      <c r="O82" s="216"/>
      <c r="P82" s="217"/>
      <c r="Q82" s="213"/>
      <c r="R82" s="213"/>
      <c r="S82" s="218"/>
    </row>
    <row r="83" spans="1:19" s="212" customFormat="1" x14ac:dyDescent="0.25">
      <c r="A83" s="302">
        <f>'A) Base RI'!A84</f>
        <v>5527</v>
      </c>
      <c r="B83" s="225" t="str">
        <f>'A) Base RI'!B84</f>
        <v>Morrens</v>
      </c>
      <c r="C83" s="240">
        <v>0</v>
      </c>
      <c r="D83" s="214">
        <f>'B) D RI'!AA84</f>
        <v>1156</v>
      </c>
      <c r="E83" s="215">
        <f>'B) D RI'!S84</f>
        <v>74</v>
      </c>
      <c r="F83" s="10">
        <f>'B) D RI'!R84</f>
        <v>2908962.35</v>
      </c>
      <c r="G83" s="10">
        <f>'B) D RI'!U84</f>
        <v>39310.302027027028</v>
      </c>
      <c r="H83" s="41">
        <f>'B) D RI'!T84</f>
        <v>2667994.35</v>
      </c>
      <c r="I83" s="10">
        <f t="shared" si="10"/>
        <v>72107.955405405402</v>
      </c>
      <c r="J83" s="31">
        <f t="shared" si="7"/>
        <v>103397.60984561389</v>
      </c>
      <c r="K83" s="10">
        <f t="shared" si="8"/>
        <v>72107.955405405402</v>
      </c>
      <c r="L83" s="10">
        <f>'D) Ecrêtage'!C83</f>
        <v>39310.302027027028</v>
      </c>
      <c r="M83" s="10">
        <f t="shared" si="9"/>
        <v>45869.69405174964</v>
      </c>
      <c r="N83" s="55">
        <f t="shared" si="11"/>
        <v>117977.64945715504</v>
      </c>
      <c r="O83" s="216"/>
      <c r="P83" s="217"/>
      <c r="Q83" s="213"/>
      <c r="R83" s="213"/>
      <c r="S83" s="218"/>
    </row>
    <row r="84" spans="1:19" s="212" customFormat="1" x14ac:dyDescent="0.25">
      <c r="A84" s="302">
        <f>'A) Base RI'!A85</f>
        <v>5529</v>
      </c>
      <c r="B84" s="225" t="str">
        <f>'A) Base RI'!B85</f>
        <v>Oulens-sous-Echallens</v>
      </c>
      <c r="C84" s="240">
        <v>0</v>
      </c>
      <c r="D84" s="214">
        <f>'B) D RI'!AA85</f>
        <v>619</v>
      </c>
      <c r="E84" s="215">
        <f>'B) D RI'!S85</f>
        <v>70</v>
      </c>
      <c r="F84" s="10">
        <f>'B) D RI'!R85</f>
        <v>1481356.23</v>
      </c>
      <c r="G84" s="10">
        <f>'B) D RI'!U85</f>
        <v>21162.231857142859</v>
      </c>
      <c r="H84" s="41">
        <f>'B) D RI'!T85</f>
        <v>1349895.0799999998</v>
      </c>
      <c r="I84" s="10">
        <f t="shared" si="10"/>
        <v>38568.430857142856</v>
      </c>
      <c r="J84" s="31">
        <f t="shared" si="7"/>
        <v>55366.021188957609</v>
      </c>
      <c r="K84" s="10">
        <f t="shared" si="8"/>
        <v>38568.430857142856</v>
      </c>
      <c r="L84" s="10">
        <f>'D) Ecrêtage'!C84</f>
        <v>21162.231857142859</v>
      </c>
      <c r="M84" s="10">
        <f t="shared" si="9"/>
        <v>24693.402255519261</v>
      </c>
      <c r="N84" s="55">
        <f t="shared" si="11"/>
        <v>63261.83311266212</v>
      </c>
      <c r="O84" s="216"/>
      <c r="P84" s="217"/>
      <c r="Q84" s="213"/>
      <c r="R84" s="213"/>
      <c r="S84" s="218"/>
    </row>
    <row r="85" spans="1:19" s="212" customFormat="1" x14ac:dyDescent="0.25">
      <c r="A85" s="302">
        <f>'A) Base RI'!A86</f>
        <v>5530</v>
      </c>
      <c r="B85" s="225" t="str">
        <f>'A) Base RI'!B86</f>
        <v>Pailly</v>
      </c>
      <c r="C85" s="240">
        <v>0</v>
      </c>
      <c r="D85" s="214">
        <f>'B) D RI'!AA86</f>
        <v>575</v>
      </c>
      <c r="E85" s="215">
        <f>'B) D RI'!S86</f>
        <v>76</v>
      </c>
      <c r="F85" s="10">
        <f>'B) D RI'!R86</f>
        <v>1448769.0099999995</v>
      </c>
      <c r="G85" s="10">
        <f>'B) D RI'!U86</f>
        <v>19062.750131578941</v>
      </c>
      <c r="H85" s="41">
        <f>'B) D RI'!T86</f>
        <v>1355539.8099999996</v>
      </c>
      <c r="I85" s="10">
        <f t="shared" si="10"/>
        <v>35672.100263157881</v>
      </c>
      <c r="J85" s="31">
        <f t="shared" si="7"/>
        <v>51430.472025283729</v>
      </c>
      <c r="K85" s="10">
        <f t="shared" si="8"/>
        <v>35672.100263157881</v>
      </c>
      <c r="L85" s="10">
        <f>'D) Ecrêtage'!C85</f>
        <v>19062.750131578941</v>
      </c>
      <c r="M85" s="10">
        <f t="shared" si="9"/>
        <v>22243.597002111506</v>
      </c>
      <c r="N85" s="55">
        <f t="shared" si="11"/>
        <v>57915.697265269388</v>
      </c>
      <c r="O85" s="216"/>
      <c r="P85" s="217"/>
      <c r="Q85" s="213"/>
      <c r="R85" s="213"/>
      <c r="S85" s="218"/>
    </row>
    <row r="86" spans="1:19" s="212" customFormat="1" x14ac:dyDescent="0.25">
      <c r="A86" s="302">
        <f>'A) Base RI'!A87</f>
        <v>5531</v>
      </c>
      <c r="B86" s="225" t="str">
        <f>'A) Base RI'!B87</f>
        <v>Penthéréaz</v>
      </c>
      <c r="C86" s="240">
        <v>0</v>
      </c>
      <c r="D86" s="214">
        <f>'B) D RI'!AA87</f>
        <v>417</v>
      </c>
      <c r="E86" s="215">
        <f>'B) D RI'!S87</f>
        <v>74</v>
      </c>
      <c r="F86" s="10">
        <f>'B) D RI'!R87</f>
        <v>1058260.49</v>
      </c>
      <c r="G86" s="10">
        <f>'B) D RI'!U87</f>
        <v>14300.817432432432</v>
      </c>
      <c r="H86" s="41">
        <f>'B) D RI'!T87</f>
        <v>974112.19</v>
      </c>
      <c r="I86" s="10">
        <f t="shared" si="10"/>
        <v>26327.356486486486</v>
      </c>
      <c r="J86" s="31">
        <f t="shared" si="7"/>
        <v>37298.272755727499</v>
      </c>
      <c r="K86" s="10">
        <f t="shared" si="8"/>
        <v>26327.356486486486</v>
      </c>
      <c r="L86" s="10">
        <f>'D) Ecrêtage'!C86</f>
        <v>14300.817432432432</v>
      </c>
      <c r="M86" s="10">
        <f t="shared" si="9"/>
        <v>16687.07912405764</v>
      </c>
      <c r="N86" s="55">
        <f t="shared" si="11"/>
        <v>43014.435610544126</v>
      </c>
      <c r="O86" s="216"/>
      <c r="P86" s="217"/>
      <c r="Q86" s="213"/>
      <c r="R86" s="213"/>
      <c r="S86" s="218"/>
    </row>
    <row r="87" spans="1:19" s="212" customFormat="1" x14ac:dyDescent="0.25">
      <c r="A87" s="302">
        <f>'A) Base RI'!A88</f>
        <v>5533</v>
      </c>
      <c r="B87" s="225" t="str">
        <f>'A) Base RI'!B88</f>
        <v>Poliez-Pittet</v>
      </c>
      <c r="C87" s="240">
        <v>0</v>
      </c>
      <c r="D87" s="214">
        <f>'B) D RI'!AA88</f>
        <v>833</v>
      </c>
      <c r="E87" s="215">
        <f>'B) D RI'!S88</f>
        <v>73</v>
      </c>
      <c r="F87" s="10">
        <f>'B) D RI'!R88</f>
        <v>2007648.3299999996</v>
      </c>
      <c r="G87" s="10">
        <f>'B) D RI'!U88</f>
        <v>27502.031917808214</v>
      </c>
      <c r="H87" s="41">
        <f>'B) D RI'!T88</f>
        <v>1851040.8799999997</v>
      </c>
      <c r="I87" s="10">
        <f t="shared" si="10"/>
        <v>50713.448767123278</v>
      </c>
      <c r="J87" s="31">
        <f t="shared" si="7"/>
        <v>74507.101212280599</v>
      </c>
      <c r="K87" s="10">
        <f t="shared" si="8"/>
        <v>50713.448767123278</v>
      </c>
      <c r="L87" s="10">
        <f>'D) Ecrêtage'!C87</f>
        <v>27502.031917808214</v>
      </c>
      <c r="M87" s="10">
        <f t="shared" si="9"/>
        <v>32091.073454586785</v>
      </c>
      <c r="N87" s="55">
        <f t="shared" si="11"/>
        <v>82804.522221710067</v>
      </c>
      <c r="O87" s="216"/>
      <c r="P87" s="217"/>
      <c r="Q87" s="213"/>
      <c r="R87" s="213"/>
      <c r="S87" s="218"/>
    </row>
    <row r="88" spans="1:19" s="212" customFormat="1" x14ac:dyDescent="0.25">
      <c r="A88" s="302">
        <f>'A) Base RI'!A89</f>
        <v>5534</v>
      </c>
      <c r="B88" s="225" t="str">
        <f>'A) Base RI'!B89</f>
        <v>Rueyres</v>
      </c>
      <c r="C88" s="240">
        <v>0</v>
      </c>
      <c r="D88" s="214">
        <f>'B) D RI'!AA89</f>
        <v>304</v>
      </c>
      <c r="E88" s="215">
        <f>'B) D RI'!S89</f>
        <v>73</v>
      </c>
      <c r="F88" s="10">
        <f>'B) D RI'!R89</f>
        <v>956810.40666666662</v>
      </c>
      <c r="G88" s="10">
        <f>'B) D RI'!U89</f>
        <v>13106.991872146118</v>
      </c>
      <c r="H88" s="41">
        <f>'B) D RI'!T89</f>
        <v>875514.49</v>
      </c>
      <c r="I88" s="10">
        <f t="shared" si="10"/>
        <v>23986.698356164383</v>
      </c>
      <c r="J88" s="31">
        <f t="shared" si="7"/>
        <v>27191.066949019569</v>
      </c>
      <c r="K88" s="10">
        <f t="shared" si="8"/>
        <v>23986.698356164383</v>
      </c>
      <c r="L88" s="10">
        <f>'D) Ecrêtage'!C88</f>
        <v>13106.991872146118</v>
      </c>
      <c r="M88" s="10">
        <f t="shared" si="9"/>
        <v>15294.049552220662</v>
      </c>
      <c r="N88" s="55">
        <f t="shared" si="11"/>
        <v>39280.747908385049</v>
      </c>
      <c r="O88" s="216"/>
      <c r="P88" s="217"/>
      <c r="Q88" s="213"/>
      <c r="R88" s="213"/>
      <c r="S88" s="218"/>
    </row>
    <row r="89" spans="1:19" s="212" customFormat="1" x14ac:dyDescent="0.25">
      <c r="A89" s="302">
        <f>'A) Base RI'!A90</f>
        <v>5535</v>
      </c>
      <c r="B89" s="225" t="str">
        <f>'A) Base RI'!B90</f>
        <v>Saint-Barthélemy</v>
      </c>
      <c r="C89" s="240">
        <v>0</v>
      </c>
      <c r="D89" s="214">
        <f>'B) D RI'!AA90</f>
        <v>809</v>
      </c>
      <c r="E89" s="215">
        <f>'B) D RI'!S90</f>
        <v>75</v>
      </c>
      <c r="F89" s="10">
        <f>'B) D RI'!R90</f>
        <v>1881023.8899999997</v>
      </c>
      <c r="G89" s="10">
        <f>'B) D RI'!U90</f>
        <v>25080.318533333328</v>
      </c>
      <c r="H89" s="41">
        <f>'B) D RI'!T90</f>
        <v>1731349.6899999997</v>
      </c>
      <c r="I89" s="10">
        <f t="shared" si="10"/>
        <v>46169.325066666657</v>
      </c>
      <c r="J89" s="31">
        <f t="shared" si="7"/>
        <v>72360.43803209484</v>
      </c>
      <c r="K89" s="10">
        <f t="shared" si="8"/>
        <v>46169.325066666657</v>
      </c>
      <c r="L89" s="10">
        <f>'D) Ecrêtage'!C89</f>
        <v>25080.318533333328</v>
      </c>
      <c r="M89" s="10">
        <f t="shared" si="9"/>
        <v>29265.268352643863</v>
      </c>
      <c r="N89" s="55">
        <f t="shared" si="11"/>
        <v>75434.59341931052</v>
      </c>
      <c r="O89" s="216"/>
      <c r="P89" s="217"/>
      <c r="Q89" s="213"/>
      <c r="R89" s="213"/>
      <c r="S89" s="218"/>
    </row>
    <row r="90" spans="1:19" s="212" customFormat="1" x14ac:dyDescent="0.25">
      <c r="A90" s="302">
        <f>'A) Base RI'!A91</f>
        <v>5537</v>
      </c>
      <c r="B90" s="225" t="str">
        <f>'A) Base RI'!B91</f>
        <v>Villars-le-Terroir</v>
      </c>
      <c r="C90" s="240">
        <v>0</v>
      </c>
      <c r="D90" s="214">
        <f>'B) D RI'!AA91</f>
        <v>1316</v>
      </c>
      <c r="E90" s="215">
        <f>'B) D RI'!S91</f>
        <v>76</v>
      </c>
      <c r="F90" s="10">
        <f>'B) D RI'!R91</f>
        <v>3261754.0200000005</v>
      </c>
      <c r="G90" s="10">
        <f>'B) D RI'!U91</f>
        <v>42917.816052631584</v>
      </c>
      <c r="H90" s="41">
        <f>'B) D RI'!T91</f>
        <v>3009521.3200000003</v>
      </c>
      <c r="I90" s="10">
        <f t="shared" si="10"/>
        <v>79197.929473684213</v>
      </c>
      <c r="J90" s="31">
        <f t="shared" si="7"/>
        <v>117708.69771351892</v>
      </c>
      <c r="K90" s="10">
        <f t="shared" si="8"/>
        <v>79197.929473684213</v>
      </c>
      <c r="L90" s="10">
        <f>'D) Ecrêtage'!C90</f>
        <v>42917.816052631584</v>
      </c>
      <c r="M90" s="10">
        <f t="shared" si="9"/>
        <v>50079.164753045887</v>
      </c>
      <c r="N90" s="55">
        <f t="shared" si="11"/>
        <v>129277.0942267301</v>
      </c>
      <c r="O90" s="216"/>
      <c r="P90" s="217"/>
      <c r="Q90" s="213"/>
      <c r="R90" s="213"/>
      <c r="S90" s="218"/>
    </row>
    <row r="91" spans="1:19" s="212" customFormat="1" x14ac:dyDescent="0.25">
      <c r="A91" s="302">
        <f>'A) Base RI'!A92</f>
        <v>5539</v>
      </c>
      <c r="B91" s="225" t="str">
        <f>'A) Base RI'!B92</f>
        <v>Vuarrens</v>
      </c>
      <c r="C91" s="240">
        <v>0</v>
      </c>
      <c r="D91" s="214">
        <f>'B) D RI'!AA92</f>
        <v>1097</v>
      </c>
      <c r="E91" s="215">
        <f>'B) D RI'!S92</f>
        <v>73.5</v>
      </c>
      <c r="F91" s="10">
        <f>'B) D RI'!R92</f>
        <v>2540016.4899999988</v>
      </c>
      <c r="G91" s="10">
        <f>'B) D RI'!U92</f>
        <v>34558.047482993185</v>
      </c>
      <c r="H91" s="41">
        <f>'B) D RI'!T92</f>
        <v>2340269.939999999</v>
      </c>
      <c r="I91" s="10">
        <f t="shared" si="10"/>
        <v>63680.814693877524</v>
      </c>
      <c r="J91" s="31">
        <f t="shared" si="7"/>
        <v>98120.396194323912</v>
      </c>
      <c r="K91" s="10">
        <f t="shared" si="8"/>
        <v>63680.814693877524</v>
      </c>
      <c r="L91" s="10">
        <f>'D) Ecrêtage'!C91</f>
        <v>34558.047482993185</v>
      </c>
      <c r="M91" s="10">
        <f t="shared" si="9"/>
        <v>40324.469244242478</v>
      </c>
      <c r="N91" s="55">
        <f t="shared" si="11"/>
        <v>104005.28393812</v>
      </c>
      <c r="O91" s="216"/>
      <c r="P91" s="217"/>
      <c r="Q91" s="213"/>
      <c r="R91" s="213"/>
      <c r="S91" s="218"/>
    </row>
    <row r="92" spans="1:19" s="212" customFormat="1" x14ac:dyDescent="0.25">
      <c r="A92" s="302">
        <f>'A) Base RI'!A93</f>
        <v>5540</v>
      </c>
      <c r="B92" s="225" t="str">
        <f>'A) Base RI'!B93</f>
        <v>Montilliez</v>
      </c>
      <c r="C92" s="240">
        <v>0</v>
      </c>
      <c r="D92" s="214">
        <f>'B) D RI'!AA93</f>
        <v>1883</v>
      </c>
      <c r="E92" s="215">
        <f>'B) D RI'!S93</f>
        <v>72.5</v>
      </c>
      <c r="F92" s="10">
        <f>'B) D RI'!R93</f>
        <v>4590409.3224999998</v>
      </c>
      <c r="G92" s="10">
        <f>'B) D RI'!U93</f>
        <v>63315.990655172413</v>
      </c>
      <c r="H92" s="41">
        <f>'B) D RI'!T93</f>
        <v>4225821.76</v>
      </c>
      <c r="I92" s="10">
        <f t="shared" si="10"/>
        <v>116574.39337931034</v>
      </c>
      <c r="J92" s="31">
        <f t="shared" si="7"/>
        <v>168423.61534540739</v>
      </c>
      <c r="K92" s="10">
        <f t="shared" si="8"/>
        <v>116574.39337931034</v>
      </c>
      <c r="L92" s="10">
        <f>'D) Ecrêtage'!C92</f>
        <v>63315.990655172413</v>
      </c>
      <c r="M92" s="10">
        <f t="shared" si="9"/>
        <v>73881.017702164012</v>
      </c>
      <c r="N92" s="55">
        <f t="shared" si="11"/>
        <v>190455.41108147433</v>
      </c>
      <c r="O92" s="216"/>
      <c r="P92" s="217"/>
      <c r="Q92" s="213"/>
      <c r="R92" s="213"/>
      <c r="S92" s="218"/>
    </row>
    <row r="93" spans="1:19" s="212" customFormat="1" x14ac:dyDescent="0.25">
      <c r="A93" s="302">
        <f>'A) Base RI'!A94</f>
        <v>5541</v>
      </c>
      <c r="B93" s="225" t="str">
        <f>'A) Base RI'!B94</f>
        <v>Goumoëns</v>
      </c>
      <c r="C93" s="240">
        <v>0</v>
      </c>
      <c r="D93" s="214">
        <f>'B) D RI'!AA94</f>
        <v>1166</v>
      </c>
      <c r="E93" s="215">
        <f>'B) D RI'!S94</f>
        <v>75.5</v>
      </c>
      <c r="F93" s="10">
        <f>'B) D RI'!R94</f>
        <v>3116566.9699999997</v>
      </c>
      <c r="G93" s="10">
        <f>'B) D RI'!U94</f>
        <v>41279.032715231784</v>
      </c>
      <c r="H93" s="41">
        <f>'B) D RI'!T94</f>
        <v>2894701.9699999997</v>
      </c>
      <c r="I93" s="10">
        <f t="shared" si="10"/>
        <v>76680.84688741721</v>
      </c>
      <c r="J93" s="31">
        <f t="shared" si="7"/>
        <v>104292.05283735796</v>
      </c>
      <c r="K93" s="10">
        <f t="shared" si="8"/>
        <v>76680.84688741721</v>
      </c>
      <c r="L93" s="10">
        <f>'D) Ecrêtage'!C93</f>
        <v>41279.032715231784</v>
      </c>
      <c r="M93" s="10">
        <f t="shared" si="9"/>
        <v>48166.930900150226</v>
      </c>
      <c r="N93" s="55">
        <f t="shared" si="11"/>
        <v>124847.77778756744</v>
      </c>
      <c r="O93" s="216"/>
      <c r="P93" s="217"/>
      <c r="Q93" s="213"/>
      <c r="R93" s="213"/>
      <c r="S93" s="218"/>
    </row>
    <row r="94" spans="1:19" s="212" customFormat="1" x14ac:dyDescent="0.25">
      <c r="A94" s="302">
        <f>'A) Base RI'!A95</f>
        <v>5551</v>
      </c>
      <c r="B94" s="225" t="str">
        <f>'A) Base RI'!B95</f>
        <v>Bonvillars</v>
      </c>
      <c r="C94" s="240">
        <v>0</v>
      </c>
      <c r="D94" s="214">
        <f>'B) D RI'!AA95</f>
        <v>481</v>
      </c>
      <c r="E94" s="215">
        <f>'B) D RI'!S95</f>
        <v>55</v>
      </c>
      <c r="F94" s="10">
        <f>'B) D RI'!R95</f>
        <v>1028907.6599999999</v>
      </c>
      <c r="G94" s="10">
        <f>'B) D RI'!U95</f>
        <v>18707.412</v>
      </c>
      <c r="H94" s="41">
        <f>'B) D RI'!T95</f>
        <v>902303.90999999992</v>
      </c>
      <c r="I94" s="10">
        <f t="shared" si="10"/>
        <v>32811.051272727273</v>
      </c>
      <c r="J94" s="31">
        <f t="shared" si="7"/>
        <v>43022.707902889517</v>
      </c>
      <c r="K94" s="10">
        <f t="shared" si="8"/>
        <v>32811.051272727273</v>
      </c>
      <c r="L94" s="10">
        <f>'D) Ecrêtage'!C94</f>
        <v>18707.412</v>
      </c>
      <c r="M94" s="10">
        <f t="shared" si="9"/>
        <v>21828.966471691256</v>
      </c>
      <c r="N94" s="55">
        <f t="shared" si="11"/>
        <v>54640.017744418525</v>
      </c>
      <c r="O94" s="216"/>
      <c r="P94" s="217"/>
      <c r="Q94" s="213"/>
      <c r="R94" s="213"/>
      <c r="S94" s="218"/>
    </row>
    <row r="95" spans="1:19" s="212" customFormat="1" x14ac:dyDescent="0.25">
      <c r="A95" s="302">
        <f>'A) Base RI'!A96</f>
        <v>5552</v>
      </c>
      <c r="B95" s="225" t="str">
        <f>'A) Base RI'!B96</f>
        <v>Bullet</v>
      </c>
      <c r="C95" s="240">
        <v>0</v>
      </c>
      <c r="D95" s="214">
        <f>'B) D RI'!AA96</f>
        <v>657</v>
      </c>
      <c r="E95" s="215">
        <f>'B) D RI'!S96</f>
        <v>71.5</v>
      </c>
      <c r="F95" s="10">
        <f>'B) D RI'!R96</f>
        <v>1401370.85</v>
      </c>
      <c r="G95" s="10">
        <f>'B) D RI'!U96</f>
        <v>19599.59230769231</v>
      </c>
      <c r="H95" s="41">
        <f>'B) D RI'!T96</f>
        <v>1266476.95</v>
      </c>
      <c r="I95" s="10">
        <f t="shared" si="10"/>
        <v>35425.928671328671</v>
      </c>
      <c r="J95" s="31">
        <f t="shared" si="7"/>
        <v>58764.904557585061</v>
      </c>
      <c r="K95" s="10">
        <f t="shared" si="8"/>
        <v>35425.928671328671</v>
      </c>
      <c r="L95" s="10">
        <f>'D) Ecrêtage'!C95</f>
        <v>19599.59230769231</v>
      </c>
      <c r="M95" s="10">
        <f t="shared" si="9"/>
        <v>22870.017688359741</v>
      </c>
      <c r="N95" s="55">
        <f t="shared" si="11"/>
        <v>58295.946359688416</v>
      </c>
      <c r="O95" s="216"/>
      <c r="P95" s="217"/>
      <c r="Q95" s="213"/>
      <c r="R95" s="213"/>
      <c r="S95" s="218"/>
    </row>
    <row r="96" spans="1:19" s="212" customFormat="1" x14ac:dyDescent="0.25">
      <c r="A96" s="302">
        <f>'A) Base RI'!A97</f>
        <v>5553</v>
      </c>
      <c r="B96" s="225" t="str">
        <f>'A) Base RI'!B97</f>
        <v>Champagne</v>
      </c>
      <c r="C96" s="240">
        <v>0</v>
      </c>
      <c r="D96" s="214">
        <f>'B) D RI'!AA97</f>
        <v>1085</v>
      </c>
      <c r="E96" s="215">
        <f>'B) D RI'!S97</f>
        <v>65</v>
      </c>
      <c r="F96" s="10">
        <f>'B) D RI'!R97</f>
        <v>2605689.16</v>
      </c>
      <c r="G96" s="10">
        <f>'B) D RI'!U97</f>
        <v>40087.525538461538</v>
      </c>
      <c r="H96" s="41">
        <f>'B) D RI'!T97</f>
        <v>2350750.66</v>
      </c>
      <c r="I96" s="10">
        <f t="shared" si="10"/>
        <v>72330.78953846154</v>
      </c>
      <c r="J96" s="31">
        <f t="shared" si="7"/>
        <v>97047.064604231025</v>
      </c>
      <c r="K96" s="10">
        <f t="shared" si="8"/>
        <v>72330.78953846154</v>
      </c>
      <c r="L96" s="10">
        <f>'D) Ecrêtage'!C96</f>
        <v>40087.525538461538</v>
      </c>
      <c r="M96" s="10">
        <f t="shared" si="9"/>
        <v>46776.60656172772</v>
      </c>
      <c r="N96" s="55">
        <f t="shared" si="11"/>
        <v>119107.39610018926</v>
      </c>
      <c r="O96" s="216"/>
      <c r="P96" s="217"/>
      <c r="Q96" s="213"/>
      <c r="R96" s="213"/>
      <c r="S96" s="218"/>
    </row>
    <row r="97" spans="1:19" s="212" customFormat="1" x14ac:dyDescent="0.25">
      <c r="A97" s="302">
        <f>'A) Base RI'!A98</f>
        <v>5554</v>
      </c>
      <c r="B97" s="225" t="str">
        <f>'A) Base RI'!B98</f>
        <v>Concise</v>
      </c>
      <c r="C97" s="240">
        <v>0</v>
      </c>
      <c r="D97" s="214">
        <f>'B) D RI'!AA98</f>
        <v>1004</v>
      </c>
      <c r="E97" s="215">
        <f>'B) D RI'!S98</f>
        <v>75</v>
      </c>
      <c r="F97" s="10">
        <f>'B) D RI'!R98</f>
        <v>2362633.7799999998</v>
      </c>
      <c r="G97" s="10">
        <f>'B) D RI'!U98</f>
        <v>31501.78373333333</v>
      </c>
      <c r="H97" s="41">
        <f>'B) D RI'!T98</f>
        <v>2174973.73</v>
      </c>
      <c r="I97" s="10">
        <f t="shared" si="10"/>
        <v>57999.299466666664</v>
      </c>
      <c r="J97" s="31">
        <f t="shared" si="7"/>
        <v>89802.076371104107</v>
      </c>
      <c r="K97" s="10">
        <f t="shared" si="8"/>
        <v>57999.299466666664</v>
      </c>
      <c r="L97" s="10">
        <f>'D) Ecrêtage'!C97</f>
        <v>31501.78373333333</v>
      </c>
      <c r="M97" s="10">
        <f t="shared" si="9"/>
        <v>36758.231492063271</v>
      </c>
      <c r="N97" s="55">
        <f t="shared" si="11"/>
        <v>94757.530958729942</v>
      </c>
      <c r="O97" s="216"/>
      <c r="P97" s="217"/>
      <c r="Q97" s="213"/>
      <c r="R97" s="213"/>
      <c r="S97" s="218"/>
    </row>
    <row r="98" spans="1:19" s="212" customFormat="1" x14ac:dyDescent="0.25">
      <c r="A98" s="302">
        <f>'A) Base RI'!A99</f>
        <v>5555</v>
      </c>
      <c r="B98" s="225" t="str">
        <f>'A) Base RI'!B99</f>
        <v>Corcelles-près-Concise</v>
      </c>
      <c r="C98" s="240">
        <v>0</v>
      </c>
      <c r="D98" s="214">
        <f>'B) D RI'!AA99</f>
        <v>417</v>
      </c>
      <c r="E98" s="215">
        <f>'B) D RI'!S99</f>
        <v>69</v>
      </c>
      <c r="F98" s="10">
        <f>'B) D RI'!R99</f>
        <v>957599.03999999992</v>
      </c>
      <c r="G98" s="10">
        <f>'B) D RI'!U99</f>
        <v>13878.246956521738</v>
      </c>
      <c r="H98" s="41">
        <f>'B) D RI'!T99</f>
        <v>862997.19</v>
      </c>
      <c r="I98" s="10">
        <f t="shared" si="10"/>
        <v>25014.411304347825</v>
      </c>
      <c r="J98" s="31">
        <f t="shared" si="7"/>
        <v>37298.272755727499</v>
      </c>
      <c r="K98" s="10">
        <f t="shared" si="8"/>
        <v>25014.411304347825</v>
      </c>
      <c r="L98" s="10">
        <f>'D) Ecrêtage'!C98</f>
        <v>13878.246956521738</v>
      </c>
      <c r="M98" s="10">
        <f t="shared" si="9"/>
        <v>16193.997732009337</v>
      </c>
      <c r="N98" s="55">
        <f t="shared" si="11"/>
        <v>41208.409036357159</v>
      </c>
      <c r="O98" s="216"/>
      <c r="P98" s="217"/>
      <c r="Q98" s="213"/>
      <c r="R98" s="213"/>
      <c r="S98" s="218"/>
    </row>
    <row r="99" spans="1:19" s="212" customFormat="1" x14ac:dyDescent="0.25">
      <c r="A99" s="302">
        <f>'A) Base RI'!A100</f>
        <v>5556</v>
      </c>
      <c r="B99" s="225" t="str">
        <f>'A) Base RI'!B100</f>
        <v>Fiez</v>
      </c>
      <c r="C99" s="240">
        <v>0</v>
      </c>
      <c r="D99" s="214">
        <f>'B) D RI'!AA100</f>
        <v>442</v>
      </c>
      <c r="E99" s="215">
        <f>'B) D RI'!S100</f>
        <v>69</v>
      </c>
      <c r="F99" s="10">
        <f>'B) D RI'!R100</f>
        <v>1005859.0783333335</v>
      </c>
      <c r="G99" s="10">
        <f>'B) D RI'!U100</f>
        <v>14577.66780193237</v>
      </c>
      <c r="H99" s="41">
        <f>'B) D RI'!T100</f>
        <v>927386.22000000009</v>
      </c>
      <c r="I99" s="10">
        <f t="shared" si="10"/>
        <v>26880.760000000002</v>
      </c>
      <c r="J99" s="31">
        <f t="shared" si="7"/>
        <v>39534.380235087665</v>
      </c>
      <c r="K99" s="10">
        <f t="shared" si="8"/>
        <v>26880.760000000002</v>
      </c>
      <c r="L99" s="10">
        <f>'D) Ecrêtage'!C99</f>
        <v>14577.66780193237</v>
      </c>
      <c r="M99" s="10">
        <f t="shared" si="9"/>
        <v>17010.125274614944</v>
      </c>
      <c r="N99" s="55">
        <f t="shared" si="11"/>
        <v>43890.88527461495</v>
      </c>
      <c r="O99" s="216"/>
      <c r="P99" s="217"/>
      <c r="Q99" s="213"/>
      <c r="R99" s="213"/>
      <c r="S99" s="218"/>
    </row>
    <row r="100" spans="1:19" s="212" customFormat="1" x14ac:dyDescent="0.25">
      <c r="A100" s="302">
        <f>'A) Base RI'!A101</f>
        <v>5557</v>
      </c>
      <c r="B100" s="225" t="str">
        <f>'A) Base RI'!B101</f>
        <v>Fontaines-sur-Grandson</v>
      </c>
      <c r="C100" s="240">
        <v>0</v>
      </c>
      <c r="D100" s="214">
        <f>'B) D RI'!AA101</f>
        <v>220</v>
      </c>
      <c r="E100" s="215">
        <f>'B) D RI'!S101</f>
        <v>69</v>
      </c>
      <c r="F100" s="10">
        <f>'B) D RI'!R101</f>
        <v>292059.40999999997</v>
      </c>
      <c r="G100" s="10">
        <f>'B) D RI'!U101</f>
        <v>4232.7450724637674</v>
      </c>
      <c r="H100" s="41">
        <f>'B) D RI'!T101</f>
        <v>255695.00999999995</v>
      </c>
      <c r="I100" s="10">
        <f t="shared" si="10"/>
        <v>7411.44956521739</v>
      </c>
      <c r="J100" s="31">
        <f t="shared" si="7"/>
        <v>19677.745818369425</v>
      </c>
      <c r="K100" s="10">
        <f t="shared" si="8"/>
        <v>7411.44956521739</v>
      </c>
      <c r="L100" s="10">
        <f>'D) Ecrêtage'!C100</f>
        <v>4232.7450724637674</v>
      </c>
      <c r="M100" s="10">
        <f t="shared" si="9"/>
        <v>4939.0289939638878</v>
      </c>
      <c r="N100" s="55">
        <f t="shared" si="11"/>
        <v>12350.478559181278</v>
      </c>
      <c r="O100" s="216"/>
      <c r="P100" s="217"/>
      <c r="Q100" s="213"/>
      <c r="R100" s="213"/>
      <c r="S100" s="218"/>
    </row>
    <row r="101" spans="1:19" s="212" customFormat="1" x14ac:dyDescent="0.25">
      <c r="A101" s="302">
        <f>'A) Base RI'!A102</f>
        <v>5559</v>
      </c>
      <c r="B101" s="225" t="str">
        <f>'A) Base RI'!B102</f>
        <v>Giez</v>
      </c>
      <c r="C101" s="240">
        <v>0</v>
      </c>
      <c r="D101" s="214">
        <f>'B) D RI'!AA102</f>
        <v>443</v>
      </c>
      <c r="E101" s="215">
        <f>'B) D RI'!S102</f>
        <v>66</v>
      </c>
      <c r="F101" s="10">
        <f>'B) D RI'!R102</f>
        <v>1546841.36</v>
      </c>
      <c r="G101" s="10">
        <f>'B) D RI'!U102</f>
        <v>23436.990303030303</v>
      </c>
      <c r="H101" s="41">
        <f>'B) D RI'!T102</f>
        <v>1451021.76</v>
      </c>
      <c r="I101" s="10">
        <f t="shared" si="10"/>
        <v>43970.356363636361</v>
      </c>
      <c r="J101" s="31">
        <f t="shared" ref="J101:J132" si="12">+$I$314/$D$314*D101</f>
        <v>39623.824534262072</v>
      </c>
      <c r="K101" s="10">
        <f t="shared" si="8"/>
        <v>39623.824534262072</v>
      </c>
      <c r="L101" s="10">
        <f>'D) Ecrêtage'!C101</f>
        <v>23436.990303030303</v>
      </c>
      <c r="M101" s="10">
        <f t="shared" si="9"/>
        <v>27347.731237340664</v>
      </c>
      <c r="N101" s="55">
        <f t="shared" si="11"/>
        <v>66971.55577160274</v>
      </c>
      <c r="O101" s="216"/>
      <c r="P101" s="217"/>
      <c r="Q101" s="213"/>
      <c r="R101" s="213"/>
      <c r="S101" s="218"/>
    </row>
    <row r="102" spans="1:19" s="212" customFormat="1" x14ac:dyDescent="0.25">
      <c r="A102" s="302">
        <f>'A) Base RI'!A103</f>
        <v>5560</v>
      </c>
      <c r="B102" s="225" t="str">
        <f>'A) Base RI'!B103</f>
        <v>Grandevent</v>
      </c>
      <c r="C102" s="240">
        <v>0</v>
      </c>
      <c r="D102" s="214">
        <f>'B) D RI'!AA103</f>
        <v>238</v>
      </c>
      <c r="E102" s="215">
        <f>'B) D RI'!S103</f>
        <v>68</v>
      </c>
      <c r="F102" s="10">
        <f>'B) D RI'!R103</f>
        <v>476254.77</v>
      </c>
      <c r="G102" s="10">
        <f>'B) D RI'!U103</f>
        <v>7003.7466176470589</v>
      </c>
      <c r="H102" s="41">
        <f>'B) D RI'!T103</f>
        <v>432902.82</v>
      </c>
      <c r="I102" s="10">
        <f t="shared" si="10"/>
        <v>12732.435882352942</v>
      </c>
      <c r="J102" s="31">
        <f t="shared" si="12"/>
        <v>21287.743203508744</v>
      </c>
      <c r="K102" s="10">
        <f t="shared" si="8"/>
        <v>12732.435882352942</v>
      </c>
      <c r="L102" s="10">
        <f>'D) Ecrêtage'!C102</f>
        <v>7003.7466176470589</v>
      </c>
      <c r="M102" s="10">
        <f t="shared" si="9"/>
        <v>8172.4051457699597</v>
      </c>
      <c r="N102" s="55">
        <f t="shared" si="11"/>
        <v>20904.841028122901</v>
      </c>
      <c r="O102" s="216"/>
      <c r="P102" s="217"/>
      <c r="Q102" s="213"/>
      <c r="R102" s="213"/>
      <c r="S102" s="218"/>
    </row>
    <row r="103" spans="1:19" s="212" customFormat="1" x14ac:dyDescent="0.25">
      <c r="A103" s="302">
        <f>'A) Base RI'!A104</f>
        <v>5561</v>
      </c>
      <c r="B103" s="225" t="str">
        <f>'A) Base RI'!B104</f>
        <v>Grandson</v>
      </c>
      <c r="C103" s="240">
        <v>0</v>
      </c>
      <c r="D103" s="214">
        <f>'B) D RI'!AA104</f>
        <v>3366</v>
      </c>
      <c r="E103" s="215">
        <f>'B) D RI'!S104</f>
        <v>69</v>
      </c>
      <c r="F103" s="10">
        <f>'B) D RI'!R104</f>
        <v>7900917.4799999995</v>
      </c>
      <c r="G103" s="10">
        <f>'B) D RI'!U104</f>
        <v>114506.05043478261</v>
      </c>
      <c r="H103" s="41">
        <f>'B) D RI'!T104</f>
        <v>7220862.4299999997</v>
      </c>
      <c r="I103" s="10">
        <f t="shared" si="10"/>
        <v>209300.36028985507</v>
      </c>
      <c r="J103" s="31">
        <f t="shared" si="12"/>
        <v>301069.5110210522</v>
      </c>
      <c r="K103" s="10">
        <f t="shared" si="8"/>
        <v>209300.36028985507</v>
      </c>
      <c r="L103" s="10">
        <f>'D) Ecrêtage'!C103</f>
        <v>114506.05043478261</v>
      </c>
      <c r="M103" s="10">
        <f t="shared" si="9"/>
        <v>133612.7485590555</v>
      </c>
      <c r="N103" s="55">
        <f t="shared" si="11"/>
        <v>342913.10884891055</v>
      </c>
      <c r="O103" s="216"/>
      <c r="P103" s="217"/>
      <c r="Q103" s="213"/>
      <c r="R103" s="213"/>
      <c r="S103" s="218"/>
    </row>
    <row r="104" spans="1:19" s="212" customFormat="1" x14ac:dyDescent="0.25">
      <c r="A104" s="302">
        <f>'A) Base RI'!A105</f>
        <v>5562</v>
      </c>
      <c r="B104" s="225" t="str">
        <f>'A) Base RI'!B105</f>
        <v>Mauborget</v>
      </c>
      <c r="C104" s="240">
        <v>0</v>
      </c>
      <c r="D104" s="214">
        <f>'B) D RI'!AA105</f>
        <v>137</v>
      </c>
      <c r="E104" s="215">
        <f>'B) D RI'!S105</f>
        <v>70</v>
      </c>
      <c r="F104" s="10">
        <f>'B) D RI'!R105</f>
        <v>426964.41833333328</v>
      </c>
      <c r="G104" s="10">
        <f>'B) D RI'!U105</f>
        <v>6099.4916904761894</v>
      </c>
      <c r="H104" s="41">
        <f>'B) D RI'!T105</f>
        <v>393662.20999999996</v>
      </c>
      <c r="I104" s="10">
        <f t="shared" si="10"/>
        <v>11247.491714285714</v>
      </c>
      <c r="J104" s="31">
        <f t="shared" si="12"/>
        <v>12253.868986893687</v>
      </c>
      <c r="K104" s="10">
        <f t="shared" si="8"/>
        <v>11247.491714285714</v>
      </c>
      <c r="L104" s="10">
        <f>'D) Ecrêtage'!C104</f>
        <v>6099.4916904761894</v>
      </c>
      <c r="M104" s="10">
        <f t="shared" si="9"/>
        <v>7117.2645155708424</v>
      </c>
      <c r="N104" s="55">
        <f t="shared" si="11"/>
        <v>18364.756229856557</v>
      </c>
      <c r="O104" s="216"/>
      <c r="P104" s="217"/>
      <c r="Q104" s="213"/>
      <c r="R104" s="213"/>
      <c r="S104" s="218"/>
    </row>
    <row r="105" spans="1:19" s="212" customFormat="1" x14ac:dyDescent="0.25">
      <c r="A105" s="302">
        <f>'A) Base RI'!A106</f>
        <v>5563</v>
      </c>
      <c r="B105" s="225" t="str">
        <f>'A) Base RI'!B106</f>
        <v>Mutrux</v>
      </c>
      <c r="C105" s="240">
        <v>0</v>
      </c>
      <c r="D105" s="214">
        <f>'B) D RI'!AA106</f>
        <v>151</v>
      </c>
      <c r="E105" s="215">
        <f>'B) D RI'!S106</f>
        <v>80</v>
      </c>
      <c r="F105" s="10">
        <f>'B) D RI'!R106</f>
        <v>342578.52</v>
      </c>
      <c r="G105" s="10">
        <f>'B) D RI'!U106</f>
        <v>4282.2314999999999</v>
      </c>
      <c r="H105" s="41">
        <f>'B) D RI'!T106</f>
        <v>320164.77</v>
      </c>
      <c r="I105" s="10">
        <f t="shared" si="10"/>
        <v>8004.1192500000006</v>
      </c>
      <c r="J105" s="31">
        <f t="shared" si="12"/>
        <v>13506.089175335379</v>
      </c>
      <c r="K105" s="10">
        <f t="shared" si="8"/>
        <v>8004.1192500000006</v>
      </c>
      <c r="L105" s="10">
        <f>'D) Ecrêtage'!C105</f>
        <v>4282.2314999999999</v>
      </c>
      <c r="M105" s="10">
        <f t="shared" si="9"/>
        <v>4996.7728212496822</v>
      </c>
      <c r="N105" s="55">
        <f t="shared" si="11"/>
        <v>13000.892071249684</v>
      </c>
      <c r="O105" s="216"/>
      <c r="P105" s="217"/>
      <c r="Q105" s="213"/>
      <c r="R105" s="213"/>
      <c r="S105" s="218"/>
    </row>
    <row r="106" spans="1:19" s="212" customFormat="1" x14ac:dyDescent="0.25">
      <c r="A106" s="302">
        <f>'A) Base RI'!A107</f>
        <v>5564</v>
      </c>
      <c r="B106" s="225" t="str">
        <f>'A) Base RI'!B107</f>
        <v>Novalles</v>
      </c>
      <c r="C106" s="240">
        <v>0</v>
      </c>
      <c r="D106" s="214">
        <f>'B) D RI'!AA107</f>
        <v>103</v>
      </c>
      <c r="E106" s="215">
        <f>'B) D RI'!S107</f>
        <v>76</v>
      </c>
      <c r="F106" s="10">
        <f>'B) D RI'!R107</f>
        <v>159565.6525</v>
      </c>
      <c r="G106" s="10">
        <f>'B) D RI'!U107</f>
        <v>2099.5480592105264</v>
      </c>
      <c r="H106" s="41">
        <f>'B) D RI'!T107</f>
        <v>145297.59</v>
      </c>
      <c r="I106" s="10">
        <f t="shared" si="10"/>
        <v>3823.620789473684</v>
      </c>
      <c r="J106" s="31">
        <f t="shared" si="12"/>
        <v>9212.7628149638676</v>
      </c>
      <c r="K106" s="10">
        <f t="shared" si="8"/>
        <v>3823.620789473684</v>
      </c>
      <c r="L106" s="10">
        <f>'D) Ecrêtage'!C106</f>
        <v>2099.5480592105264</v>
      </c>
      <c r="M106" s="10">
        <f t="shared" si="9"/>
        <v>2449.8826556132422</v>
      </c>
      <c r="N106" s="55">
        <f t="shared" si="11"/>
        <v>6273.5034450869261</v>
      </c>
      <c r="O106" s="216"/>
      <c r="P106" s="217"/>
      <c r="Q106" s="213"/>
      <c r="R106" s="213"/>
      <c r="S106" s="218"/>
    </row>
    <row r="107" spans="1:19" s="212" customFormat="1" x14ac:dyDescent="0.25">
      <c r="A107" s="302">
        <f>'A) Base RI'!A108</f>
        <v>5565</v>
      </c>
      <c r="B107" s="225" t="str">
        <f>'A) Base RI'!B108</f>
        <v>Onnens</v>
      </c>
      <c r="C107" s="240">
        <v>0</v>
      </c>
      <c r="D107" s="214">
        <f>'B) D RI'!AA108</f>
        <v>495</v>
      </c>
      <c r="E107" s="215">
        <f>'B) D RI'!S108</f>
        <v>63.5</v>
      </c>
      <c r="F107" s="10">
        <f>'B) D RI'!R108</f>
        <v>1441667.6599999997</v>
      </c>
      <c r="G107" s="10">
        <f>'B) D RI'!U108</f>
        <v>22703.427716535429</v>
      </c>
      <c r="H107" s="41">
        <f>'B) D RI'!T108</f>
        <v>1287330.0599999998</v>
      </c>
      <c r="I107" s="10">
        <f t="shared" si="10"/>
        <v>40545.828661417319</v>
      </c>
      <c r="J107" s="31">
        <f t="shared" si="12"/>
        <v>44274.92809133121</v>
      </c>
      <c r="K107" s="10">
        <f t="shared" si="8"/>
        <v>40545.828661417319</v>
      </c>
      <c r="L107" s="10">
        <f>'D) Ecrêtage'!C107</f>
        <v>22703.427716535429</v>
      </c>
      <c r="M107" s="10">
        <f t="shared" si="9"/>
        <v>26491.764997569833</v>
      </c>
      <c r="N107" s="55">
        <f t="shared" si="11"/>
        <v>67037.593658987156</v>
      </c>
      <c r="O107" s="216"/>
      <c r="P107" s="217"/>
      <c r="Q107" s="213"/>
      <c r="R107" s="213"/>
      <c r="S107" s="218"/>
    </row>
    <row r="108" spans="1:19" s="212" customFormat="1" x14ac:dyDescent="0.25">
      <c r="A108" s="302">
        <f>'A) Base RI'!A109</f>
        <v>5566</v>
      </c>
      <c r="B108" s="225" t="str">
        <f>'A) Base RI'!B109</f>
        <v>Provence</v>
      </c>
      <c r="C108" s="240">
        <v>0</v>
      </c>
      <c r="D108" s="214">
        <f>'B) D RI'!AA109</f>
        <v>403</v>
      </c>
      <c r="E108" s="215">
        <f>'B) D RI'!S109</f>
        <v>81</v>
      </c>
      <c r="F108" s="10">
        <f>'B) D RI'!R109</f>
        <v>759605.15</v>
      </c>
      <c r="G108" s="10">
        <f>'B) D RI'!U109</f>
        <v>9377.8413580246925</v>
      </c>
      <c r="H108" s="41">
        <f>'B) D RI'!T109</f>
        <v>702774.7</v>
      </c>
      <c r="I108" s="10">
        <f t="shared" si="10"/>
        <v>17352.461728395061</v>
      </c>
      <c r="J108" s="31">
        <f t="shared" si="12"/>
        <v>36046.052567285813</v>
      </c>
      <c r="K108" s="10">
        <f t="shared" si="8"/>
        <v>17352.461728395061</v>
      </c>
      <c r="L108" s="10">
        <f>'D) Ecrêtage'!C108</f>
        <v>9377.8413580246925</v>
      </c>
      <c r="M108" s="10">
        <f t="shared" si="9"/>
        <v>10942.645865775587</v>
      </c>
      <c r="N108" s="55">
        <f t="shared" si="11"/>
        <v>28295.107594170648</v>
      </c>
      <c r="O108" s="216"/>
      <c r="P108" s="217"/>
      <c r="Q108" s="213"/>
      <c r="R108" s="213"/>
      <c r="S108" s="218"/>
    </row>
    <row r="109" spans="1:19" s="212" customFormat="1" x14ac:dyDescent="0.25">
      <c r="A109" s="302">
        <f>'A) Base RI'!A110</f>
        <v>5568</v>
      </c>
      <c r="B109" s="225" t="str">
        <f>'A) Base RI'!B110</f>
        <v>Sainte-Croix</v>
      </c>
      <c r="C109" s="240">
        <v>0</v>
      </c>
      <c r="D109" s="214">
        <f>'B) D RI'!AA110</f>
        <v>4948</v>
      </c>
      <c r="E109" s="215">
        <f>'B) D RI'!S110</f>
        <v>70</v>
      </c>
      <c r="F109" s="10">
        <f>'B) D RI'!R110</f>
        <v>7642031.0399999991</v>
      </c>
      <c r="G109" s="10">
        <f>'B) D RI'!U110</f>
        <v>109171.87199999999</v>
      </c>
      <c r="H109" s="41">
        <f>'B) D RI'!T110</f>
        <v>6942030.5899999989</v>
      </c>
      <c r="I109" s="10">
        <f t="shared" si="10"/>
        <v>198343.73114285711</v>
      </c>
      <c r="J109" s="31">
        <f t="shared" si="12"/>
        <v>442570.39231496328</v>
      </c>
      <c r="K109" s="10">
        <f t="shared" si="8"/>
        <v>198343.73114285711</v>
      </c>
      <c r="L109" s="10">
        <f>'D) Ecrêtage'!C109</f>
        <v>109171.87199999999</v>
      </c>
      <c r="M109" s="10">
        <f t="shared" si="9"/>
        <v>127388.49892971669</v>
      </c>
      <c r="N109" s="55">
        <f t="shared" si="11"/>
        <v>325732.23007257382</v>
      </c>
      <c r="O109" s="216"/>
      <c r="P109" s="217"/>
      <c r="Q109" s="213"/>
      <c r="R109" s="213"/>
      <c r="S109" s="218"/>
    </row>
    <row r="110" spans="1:19" s="212" customFormat="1" x14ac:dyDescent="0.25">
      <c r="A110" s="302">
        <f>'A) Base RI'!A111</f>
        <v>5571</v>
      </c>
      <c r="B110" s="225" t="str">
        <f>'A) Base RI'!B111</f>
        <v>Tévenon</v>
      </c>
      <c r="C110" s="240">
        <v>0</v>
      </c>
      <c r="D110" s="214">
        <f>'B) D RI'!AA111</f>
        <v>883</v>
      </c>
      <c r="E110" s="215">
        <f>'B) D RI'!S111</f>
        <v>71.5</v>
      </c>
      <c r="F110" s="10">
        <f>'B) D RI'!R111</f>
        <v>1810754.645</v>
      </c>
      <c r="G110" s="10">
        <f>'B) D RI'!U111</f>
        <v>25325.239790209791</v>
      </c>
      <c r="H110" s="41">
        <f>'B) D RI'!T111</f>
        <v>1635499.82</v>
      </c>
      <c r="I110" s="10">
        <f t="shared" si="10"/>
        <v>45748.246713286717</v>
      </c>
      <c r="J110" s="31">
        <f t="shared" si="12"/>
        <v>78979.31617100093</v>
      </c>
      <c r="K110" s="10">
        <f t="shared" si="8"/>
        <v>45748.246713286717</v>
      </c>
      <c r="L110" s="10">
        <f>'D) Ecrêtage'!C110</f>
        <v>25325.239790209791</v>
      </c>
      <c r="M110" s="10">
        <f t="shared" si="9"/>
        <v>29551.057637904742</v>
      </c>
      <c r="N110" s="55">
        <f t="shared" si="11"/>
        <v>75299.304351191458</v>
      </c>
      <c r="O110" s="216"/>
      <c r="P110" s="217"/>
      <c r="Q110" s="213"/>
      <c r="R110" s="213"/>
      <c r="S110" s="218"/>
    </row>
    <row r="111" spans="1:19" s="212" customFormat="1" x14ac:dyDescent="0.25">
      <c r="A111" s="302">
        <f>'A) Base RI'!A112</f>
        <v>5581</v>
      </c>
      <c r="B111" s="225" t="str">
        <f>'A) Base RI'!B112</f>
        <v>Belmont-sur-Lausanne</v>
      </c>
      <c r="C111" s="240">
        <v>1</v>
      </c>
      <c r="D111" s="214">
        <f>'B) D RI'!AA112</f>
        <v>3871</v>
      </c>
      <c r="E111" s="215">
        <f>'B) D RI'!S112</f>
        <v>72</v>
      </c>
      <c r="F111" s="10">
        <f>'B) D RI'!R112</f>
        <v>15511387.893333334</v>
      </c>
      <c r="G111" s="10">
        <f>'B) D RI'!U112</f>
        <v>215435.94296296299</v>
      </c>
      <c r="H111" s="41">
        <f>'B) D RI'!T112</f>
        <v>14505543.710000001</v>
      </c>
      <c r="I111" s="10">
        <f t="shared" si="10"/>
        <v>402931.76972222223</v>
      </c>
      <c r="J111" s="31">
        <f t="shared" si="12"/>
        <v>346238.88210412749</v>
      </c>
      <c r="K111" s="10">
        <f t="shared" si="8"/>
        <v>0</v>
      </c>
      <c r="L111" s="10">
        <f>'D) Ecrêtage'!C111</f>
        <v>215435.94296296299</v>
      </c>
      <c r="M111" s="10">
        <f t="shared" si="9"/>
        <v>251383.99559146445</v>
      </c>
      <c r="N111" s="55">
        <f t="shared" si="11"/>
        <v>251383.99559146445</v>
      </c>
      <c r="O111" s="216"/>
      <c r="P111" s="217"/>
      <c r="Q111" s="213"/>
      <c r="R111" s="213"/>
      <c r="S111" s="218"/>
    </row>
    <row r="112" spans="1:19" s="212" customFormat="1" x14ac:dyDescent="0.25">
      <c r="A112" s="302">
        <f>'A) Base RI'!A113</f>
        <v>5582</v>
      </c>
      <c r="B112" s="225" t="str">
        <f>'A) Base RI'!B113</f>
        <v>Cheseaux-sur-Lausanne</v>
      </c>
      <c r="C112" s="240">
        <v>0</v>
      </c>
      <c r="D112" s="214">
        <f>'B) D RI'!AA113</f>
        <v>4449</v>
      </c>
      <c r="E112" s="215">
        <f>'B) D RI'!S113</f>
        <v>73</v>
      </c>
      <c r="F112" s="10">
        <f>'B) D RI'!R113</f>
        <v>12227999.829999998</v>
      </c>
      <c r="G112" s="10">
        <f>'B) D RI'!U113</f>
        <v>167506.84698630136</v>
      </c>
      <c r="H112" s="41">
        <f>'B) D RI'!T113</f>
        <v>11193448.979999999</v>
      </c>
      <c r="I112" s="10">
        <f t="shared" si="10"/>
        <v>306669.83506849309</v>
      </c>
      <c r="J112" s="31">
        <f t="shared" si="12"/>
        <v>397937.68702693441</v>
      </c>
      <c r="K112" s="10">
        <f t="shared" si="8"/>
        <v>306669.83506849309</v>
      </c>
      <c r="L112" s="10">
        <f>'D) Ecrêtage'!C112</f>
        <v>167506.84698630136</v>
      </c>
      <c r="M112" s="10">
        <f t="shared" si="9"/>
        <v>195457.35918162757</v>
      </c>
      <c r="N112" s="55">
        <f t="shared" si="11"/>
        <v>502127.19425012066</v>
      </c>
      <c r="O112" s="216"/>
      <c r="P112" s="217"/>
      <c r="Q112" s="213"/>
      <c r="R112" s="213"/>
      <c r="S112" s="218"/>
    </row>
    <row r="113" spans="1:19" s="212" customFormat="1" x14ac:dyDescent="0.25">
      <c r="A113" s="302">
        <f>'A) Base RI'!A114</f>
        <v>5583</v>
      </c>
      <c r="B113" s="225" t="str">
        <f>'A) Base RI'!B114</f>
        <v>Crissier</v>
      </c>
      <c r="C113" s="240">
        <v>1</v>
      </c>
      <c r="D113" s="214">
        <f>'B) D RI'!AA114</f>
        <v>8974</v>
      </c>
      <c r="E113" s="215">
        <f>'B) D RI'!S114</f>
        <v>63.5</v>
      </c>
      <c r="F113" s="10">
        <f>'B) D RI'!R114</f>
        <v>21434447.969999999</v>
      </c>
      <c r="G113" s="10">
        <f>'B) D RI'!U114</f>
        <v>337550.36173228343</v>
      </c>
      <c r="H113" s="41">
        <f>'B) D RI'!T114</f>
        <v>18542040.52</v>
      </c>
      <c r="I113" s="10">
        <f t="shared" si="10"/>
        <v>584001.27622047241</v>
      </c>
      <c r="J113" s="31">
        <f t="shared" si="12"/>
        <v>802673.14079112373</v>
      </c>
      <c r="K113" s="10">
        <f t="shared" si="8"/>
        <v>0</v>
      </c>
      <c r="L113" s="10">
        <f>'D) Ecrêtage'!C113</f>
        <v>337550.36173228343</v>
      </c>
      <c r="M113" s="10">
        <f t="shared" si="9"/>
        <v>393874.65934685519</v>
      </c>
      <c r="N113" s="55">
        <f t="shared" si="11"/>
        <v>393874.65934685519</v>
      </c>
      <c r="O113" s="216"/>
      <c r="P113" s="217"/>
      <c r="Q113" s="213"/>
      <c r="R113" s="213"/>
      <c r="S113" s="218"/>
    </row>
    <row r="114" spans="1:19" s="212" customFormat="1" x14ac:dyDescent="0.25">
      <c r="A114" s="302">
        <f>'A) Base RI'!A115</f>
        <v>5584</v>
      </c>
      <c r="B114" s="225" t="str">
        <f>'A) Base RI'!B115</f>
        <v>Epalinges</v>
      </c>
      <c r="C114" s="240">
        <v>0</v>
      </c>
      <c r="D114" s="214">
        <f>'B) D RI'!AA115</f>
        <v>9813</v>
      </c>
      <c r="E114" s="215">
        <f>'B) D RI'!S115</f>
        <v>64.5</v>
      </c>
      <c r="F114" s="10">
        <f>'B) D RI'!R115</f>
        <v>33331461.309999999</v>
      </c>
      <c r="G114" s="10">
        <f>'B) D RI'!U115</f>
        <v>516766.84201550385</v>
      </c>
      <c r="H114" s="41">
        <f>'B) D RI'!T115</f>
        <v>30816751.809999999</v>
      </c>
      <c r="I114" s="10">
        <f t="shared" si="10"/>
        <v>955558.19565891474</v>
      </c>
      <c r="J114" s="31">
        <f t="shared" si="12"/>
        <v>877716.90779845079</v>
      </c>
      <c r="K114" s="10">
        <f t="shared" si="8"/>
        <v>877716.90779845079</v>
      </c>
      <c r="L114" s="10">
        <f>'D) Ecrêtage'!C114</f>
        <v>516766.84201550385</v>
      </c>
      <c r="M114" s="10">
        <f t="shared" si="9"/>
        <v>602995.54358658521</v>
      </c>
      <c r="N114" s="55">
        <f t="shared" si="11"/>
        <v>1480712.4513850361</v>
      </c>
      <c r="O114" s="216"/>
      <c r="P114" s="217"/>
      <c r="Q114" s="213"/>
      <c r="R114" s="213"/>
      <c r="S114" s="218"/>
    </row>
    <row r="115" spans="1:19" s="212" customFormat="1" x14ac:dyDescent="0.25">
      <c r="A115" s="302">
        <f>'A) Base RI'!A116</f>
        <v>5585</v>
      </c>
      <c r="B115" s="225" t="str">
        <f>'A) Base RI'!B116</f>
        <v>Jouxtens-Mézery</v>
      </c>
      <c r="C115" s="240">
        <v>0</v>
      </c>
      <c r="D115" s="214">
        <f>'B) D RI'!AA116</f>
        <v>1460</v>
      </c>
      <c r="E115" s="215">
        <f>'B) D RI'!S116</f>
        <v>59</v>
      </c>
      <c r="F115" s="10">
        <f>'B) D RI'!R116</f>
        <v>11312947.359999999</v>
      </c>
      <c r="G115" s="10">
        <f>'B) D RI'!U116</f>
        <v>191744.87050847456</v>
      </c>
      <c r="H115" s="41">
        <f>'B) D RI'!T116</f>
        <v>10729369.51</v>
      </c>
      <c r="I115" s="10">
        <f t="shared" si="10"/>
        <v>363707.44101694913</v>
      </c>
      <c r="J115" s="31">
        <f t="shared" si="12"/>
        <v>130588.67679463346</v>
      </c>
      <c r="K115" s="10">
        <f t="shared" si="8"/>
        <v>130588.67679463346</v>
      </c>
      <c r="L115" s="10">
        <f>'D) Ecrêtage'!C115</f>
        <v>191744.87050847456</v>
      </c>
      <c r="M115" s="10">
        <f t="shared" si="9"/>
        <v>223739.78556992667</v>
      </c>
      <c r="N115" s="55">
        <f t="shared" si="11"/>
        <v>354328.46236456011</v>
      </c>
      <c r="O115" s="216"/>
      <c r="P115" s="217"/>
      <c r="Q115" s="213"/>
      <c r="R115" s="213"/>
      <c r="S115" s="218"/>
    </row>
    <row r="116" spans="1:19" s="212" customFormat="1" x14ac:dyDescent="0.25">
      <c r="A116" s="302">
        <f>'A) Base RI'!A117</f>
        <v>5586</v>
      </c>
      <c r="B116" s="225" t="str">
        <f>'A) Base RI'!B117</f>
        <v>Lausanne</v>
      </c>
      <c r="C116" s="240">
        <v>1</v>
      </c>
      <c r="D116" s="214">
        <f>'B) D RI'!AA117</f>
        <v>140824</v>
      </c>
      <c r="E116" s="215">
        <f>'B) D RI'!S117</f>
        <v>78.5</v>
      </c>
      <c r="F116" s="10">
        <f>'B) D RI'!R117</f>
        <v>507227099.5266667</v>
      </c>
      <c r="G116" s="10">
        <f>'B) D RI'!U117</f>
        <v>6461491.7137154993</v>
      </c>
      <c r="H116" s="41">
        <f>'B) D RI'!T117</f>
        <v>470955870.36000007</v>
      </c>
      <c r="I116" s="10">
        <f t="shared" si="10"/>
        <v>11998875.677961785</v>
      </c>
      <c r="J116" s="31">
        <f t="shared" si="12"/>
        <v>12595903.986936618</v>
      </c>
      <c r="K116" s="10">
        <f t="shared" si="8"/>
        <v>0</v>
      </c>
      <c r="L116" s="10">
        <f>'D) Ecrêtage'!C116</f>
        <v>6461491.7137154993</v>
      </c>
      <c r="M116" s="10">
        <f t="shared" si="9"/>
        <v>7539668.5536089391</v>
      </c>
      <c r="N116" s="55">
        <f t="shared" si="11"/>
        <v>7539668.5536089391</v>
      </c>
      <c r="O116" s="216"/>
      <c r="P116" s="217"/>
      <c r="Q116" s="213"/>
      <c r="R116" s="213"/>
      <c r="S116" s="218"/>
    </row>
    <row r="117" spans="1:19" s="212" customFormat="1" x14ac:dyDescent="0.25">
      <c r="A117" s="302">
        <f>'A) Base RI'!A118</f>
        <v>5587</v>
      </c>
      <c r="B117" s="225" t="str">
        <f>'A) Base RI'!B118</f>
        <v>Le Mont-sur-Lausanne</v>
      </c>
      <c r="C117" s="240">
        <v>0</v>
      </c>
      <c r="D117" s="214">
        <f>'B) D RI'!AA118</f>
        <v>9217</v>
      </c>
      <c r="E117" s="215">
        <f>'B) D RI'!S118</f>
        <v>73.5</v>
      </c>
      <c r="F117" s="10">
        <f>'B) D RI'!R118</f>
        <v>36386766.953333333</v>
      </c>
      <c r="G117" s="10">
        <f>'B) D RI'!U118</f>
        <v>495058.05378684809</v>
      </c>
      <c r="H117" s="41">
        <f>'B) D RI'!T118</f>
        <v>33317855.269999996</v>
      </c>
      <c r="I117" s="10">
        <f t="shared" si="10"/>
        <v>906608.30666666653</v>
      </c>
      <c r="J117" s="31">
        <f t="shared" si="12"/>
        <v>824408.10549050453</v>
      </c>
      <c r="K117" s="10">
        <f t="shared" si="8"/>
        <v>824408.10549050453</v>
      </c>
      <c r="L117" s="10">
        <f>'D) Ecrêtage'!C117</f>
        <v>495058.05378684809</v>
      </c>
      <c r="M117" s="10">
        <f t="shared" si="9"/>
        <v>577664.38552023307</v>
      </c>
      <c r="N117" s="55">
        <f t="shared" si="11"/>
        <v>1402072.4910107376</v>
      </c>
      <c r="O117" s="216"/>
      <c r="P117" s="217"/>
      <c r="Q117" s="213"/>
      <c r="R117" s="213"/>
      <c r="S117" s="218"/>
    </row>
    <row r="118" spans="1:19" s="212" customFormat="1" x14ac:dyDescent="0.25">
      <c r="A118" s="302">
        <f>'A) Base RI'!A119</f>
        <v>5588</v>
      </c>
      <c r="B118" s="225" t="str">
        <f>'A) Base RI'!B119</f>
        <v>Paudex</v>
      </c>
      <c r="C118" s="240">
        <v>1</v>
      </c>
      <c r="D118" s="214">
        <f>'B) D RI'!AA119</f>
        <v>1545</v>
      </c>
      <c r="E118" s="215">
        <f>'B) D RI'!S119</f>
        <v>66.5</v>
      </c>
      <c r="F118" s="10">
        <f>'B) D RI'!R119</f>
        <v>14347793.807142861</v>
      </c>
      <c r="G118" s="10">
        <f>'B) D RI'!U119</f>
        <v>215756.29785177234</v>
      </c>
      <c r="H118" s="41">
        <f>'B) D RI'!T119</f>
        <v>13743550.400000004</v>
      </c>
      <c r="I118" s="10">
        <f t="shared" si="10"/>
        <v>413339.86165413546</v>
      </c>
      <c r="J118" s="31">
        <f t="shared" si="12"/>
        <v>138191.44222445801</v>
      </c>
      <c r="K118" s="10">
        <f t="shared" si="8"/>
        <v>0</v>
      </c>
      <c r="L118" s="10">
        <f>'D) Ecrêtage'!C118</f>
        <v>215756.29785177234</v>
      </c>
      <c r="M118" s="10">
        <f t="shared" si="9"/>
        <v>251757.8055084568</v>
      </c>
      <c r="N118" s="55">
        <f t="shared" si="11"/>
        <v>251757.8055084568</v>
      </c>
      <c r="O118" s="216"/>
      <c r="P118" s="217"/>
      <c r="Q118" s="213"/>
      <c r="R118" s="213"/>
      <c r="S118" s="218"/>
    </row>
    <row r="119" spans="1:19" s="212" customFormat="1" x14ac:dyDescent="0.25">
      <c r="A119" s="302">
        <f>'A) Base RI'!A120</f>
        <v>5589</v>
      </c>
      <c r="B119" s="225" t="str">
        <f>'A) Base RI'!B120</f>
        <v>Prilly</v>
      </c>
      <c r="C119" s="240">
        <v>1</v>
      </c>
      <c r="D119" s="214">
        <f>'B) D RI'!AA120</f>
        <v>12341</v>
      </c>
      <c r="E119" s="215">
        <f>'B) D RI'!S120</f>
        <v>72.5</v>
      </c>
      <c r="F119" s="10">
        <f>'B) D RI'!R120</f>
        <v>30417361.690769233</v>
      </c>
      <c r="G119" s="10">
        <f>'B) D RI'!U120</f>
        <v>419549.81642440322</v>
      </c>
      <c r="H119" s="41">
        <f>'B) D RI'!T120</f>
        <v>27630237.710000001</v>
      </c>
      <c r="I119" s="10">
        <f t="shared" si="10"/>
        <v>762213.45406896551</v>
      </c>
      <c r="J119" s="31">
        <f t="shared" si="12"/>
        <v>1103832.0961113505</v>
      </c>
      <c r="K119" s="10">
        <f t="shared" si="8"/>
        <v>0</v>
      </c>
      <c r="L119" s="10">
        <f>'D) Ecrêtage'!C119</f>
        <v>419549.81642440322</v>
      </c>
      <c r="M119" s="10">
        <f t="shared" si="9"/>
        <v>489556.69955483527</v>
      </c>
      <c r="N119" s="55">
        <f t="shared" si="11"/>
        <v>489556.69955483527</v>
      </c>
      <c r="O119" s="216"/>
      <c r="P119" s="217"/>
      <c r="Q119" s="213"/>
      <c r="R119" s="213"/>
      <c r="S119" s="218"/>
    </row>
    <row r="120" spans="1:19" s="212" customFormat="1" x14ac:dyDescent="0.25">
      <c r="A120" s="302">
        <f>'A) Base RI'!A121</f>
        <v>5590</v>
      </c>
      <c r="B120" s="225" t="str">
        <f>'A) Base RI'!B121</f>
        <v>Pully</v>
      </c>
      <c r="C120" s="240">
        <v>1</v>
      </c>
      <c r="D120" s="214">
        <f>'B) D RI'!AA121</f>
        <v>18946</v>
      </c>
      <c r="E120" s="215">
        <f>'B) D RI'!S121</f>
        <v>61</v>
      </c>
      <c r="F120" s="10">
        <f>'B) D RI'!R121</f>
        <v>97784889.125714272</v>
      </c>
      <c r="G120" s="10">
        <f>'B) D RI'!U121</f>
        <v>1603030.9692740045</v>
      </c>
      <c r="H120" s="41">
        <f>'B) D RI'!T121</f>
        <v>92016523.089999989</v>
      </c>
      <c r="I120" s="10">
        <f t="shared" si="10"/>
        <v>3016935.1832786882</v>
      </c>
      <c r="J120" s="31">
        <f t="shared" si="12"/>
        <v>1694611.6921583051</v>
      </c>
      <c r="K120" s="10">
        <f t="shared" si="8"/>
        <v>0</v>
      </c>
      <c r="L120" s="10">
        <f>'D) Ecrêtage'!C120</f>
        <v>1603030.9692740045</v>
      </c>
      <c r="M120" s="10">
        <f t="shared" si="9"/>
        <v>1870515.7763866526</v>
      </c>
      <c r="N120" s="55">
        <f t="shared" si="11"/>
        <v>1870515.7763866526</v>
      </c>
      <c r="O120" s="216"/>
      <c r="P120" s="217"/>
      <c r="Q120" s="213"/>
      <c r="R120" s="213"/>
      <c r="S120" s="218"/>
    </row>
    <row r="121" spans="1:19" s="212" customFormat="1" x14ac:dyDescent="0.25">
      <c r="A121" s="302">
        <f>'A) Base RI'!A122</f>
        <v>5591</v>
      </c>
      <c r="B121" s="225" t="str">
        <f>'A) Base RI'!B122</f>
        <v>Renens</v>
      </c>
      <c r="C121" s="240">
        <v>1</v>
      </c>
      <c r="D121" s="214">
        <f>'B) D RI'!AA122</f>
        <v>20917</v>
      </c>
      <c r="E121" s="215">
        <f>'B) D RI'!S122</f>
        <v>77</v>
      </c>
      <c r="F121" s="10">
        <f>'B) D RI'!R122</f>
        <v>43873404.278571427</v>
      </c>
      <c r="G121" s="10">
        <f>'B) D RI'!U122</f>
        <v>569784.47115027823</v>
      </c>
      <c r="H121" s="41">
        <f>'B) D RI'!T122</f>
        <v>39376630.550000004</v>
      </c>
      <c r="I121" s="10">
        <f t="shared" si="10"/>
        <v>1022769.6246753248</v>
      </c>
      <c r="J121" s="31">
        <f t="shared" si="12"/>
        <v>1870906.4058310604</v>
      </c>
      <c r="K121" s="10">
        <f t="shared" si="8"/>
        <v>0</v>
      </c>
      <c r="L121" s="10">
        <f>'D) Ecrêtage'!C121</f>
        <v>569784.47115027823</v>
      </c>
      <c r="M121" s="10">
        <f t="shared" si="9"/>
        <v>664859.79550938192</v>
      </c>
      <c r="N121" s="55">
        <f t="shared" si="11"/>
        <v>664859.79550938192</v>
      </c>
      <c r="O121" s="216"/>
      <c r="P121" s="217"/>
      <c r="Q121" s="213"/>
      <c r="R121" s="213"/>
      <c r="S121" s="218"/>
    </row>
    <row r="122" spans="1:19" s="212" customFormat="1" x14ac:dyDescent="0.25">
      <c r="A122" s="302">
        <f>'A) Base RI'!A123</f>
        <v>5592</v>
      </c>
      <c r="B122" s="225" t="str">
        <f>'A) Base RI'!B123</f>
        <v>Romanel-sur-Lausanne</v>
      </c>
      <c r="C122" s="240">
        <v>0</v>
      </c>
      <c r="D122" s="214">
        <f>'B) D RI'!AA123</f>
        <v>3482</v>
      </c>
      <c r="E122" s="215">
        <f>'B) D RI'!S123</f>
        <v>70.5</v>
      </c>
      <c r="F122" s="10">
        <f>'B) D RI'!R123</f>
        <v>8536602.7400000002</v>
      </c>
      <c r="G122" s="10">
        <f>'B) D RI'!U123</f>
        <v>121086.56368794327</v>
      </c>
      <c r="H122" s="41">
        <f>'B) D RI'!T123</f>
        <v>7745342.6199999992</v>
      </c>
      <c r="I122" s="10">
        <f t="shared" si="10"/>
        <v>219726.03177304962</v>
      </c>
      <c r="J122" s="31">
        <f t="shared" si="12"/>
        <v>311445.04972528334</v>
      </c>
      <c r="K122" s="10">
        <f t="shared" si="8"/>
        <v>219726.03177304962</v>
      </c>
      <c r="L122" s="10">
        <f>'D) Ecrêtage'!C122</f>
        <v>121086.56368794327</v>
      </c>
      <c r="M122" s="10">
        <f t="shared" si="9"/>
        <v>141291.29881334852</v>
      </c>
      <c r="N122" s="55">
        <f t="shared" si="11"/>
        <v>361017.33058639814</v>
      </c>
      <c r="O122" s="216"/>
      <c r="P122" s="217"/>
      <c r="Q122" s="213"/>
      <c r="R122" s="213"/>
      <c r="S122" s="218"/>
    </row>
    <row r="123" spans="1:19" s="212" customFormat="1" x14ac:dyDescent="0.25">
      <c r="A123" s="302">
        <f>'A) Base RI'!A124</f>
        <v>5601</v>
      </c>
      <c r="B123" s="225" t="str">
        <f>'A) Base RI'!B124</f>
        <v>Chexbres</v>
      </c>
      <c r="C123" s="240">
        <v>1</v>
      </c>
      <c r="D123" s="214">
        <f>'B) D RI'!AA124</f>
        <v>2229</v>
      </c>
      <c r="E123" s="215">
        <f>'B) D RI'!S124</f>
        <v>67.5</v>
      </c>
      <c r="F123" s="10">
        <f>'B) D RI'!R124</f>
        <v>7153181.5800000001</v>
      </c>
      <c r="G123" s="10">
        <f>'B) D RI'!U124</f>
        <v>105973.06044444445</v>
      </c>
      <c r="H123" s="41">
        <f>'B) D RI'!T124</f>
        <v>6636296.8799999999</v>
      </c>
      <c r="I123" s="10">
        <f t="shared" si="10"/>
        <v>196631.01866666667</v>
      </c>
      <c r="J123" s="31">
        <f t="shared" si="12"/>
        <v>199371.34285975204</v>
      </c>
      <c r="K123" s="10">
        <f t="shared" si="8"/>
        <v>0</v>
      </c>
      <c r="L123" s="10">
        <f>'D) Ecrêtage'!C123</f>
        <v>105973.06044444445</v>
      </c>
      <c r="M123" s="10">
        <f t="shared" si="9"/>
        <v>123655.92757268022</v>
      </c>
      <c r="N123" s="55">
        <f t="shared" si="11"/>
        <v>123655.92757268022</v>
      </c>
      <c r="O123" s="216"/>
      <c r="P123" s="217"/>
      <c r="Q123" s="213"/>
      <c r="R123" s="213"/>
      <c r="S123" s="218"/>
    </row>
    <row r="124" spans="1:19" s="212" customFormat="1" x14ac:dyDescent="0.25">
      <c r="A124" s="302">
        <f>'A) Base RI'!A125</f>
        <v>5604</v>
      </c>
      <c r="B124" s="225" t="str">
        <f>'A) Base RI'!B125</f>
        <v>Forel (Lavaux)</v>
      </c>
      <c r="C124" s="240">
        <v>0</v>
      </c>
      <c r="D124" s="214">
        <f>'B) D RI'!AA125</f>
        <v>2110</v>
      </c>
      <c r="E124" s="215">
        <f>'B) D RI'!S125</f>
        <v>69</v>
      </c>
      <c r="F124" s="10">
        <f>'B) D RI'!R125</f>
        <v>5231505.42</v>
      </c>
      <c r="G124" s="10">
        <f>'B) D RI'!U125</f>
        <v>75818.919130434777</v>
      </c>
      <c r="H124" s="41">
        <f>'B) D RI'!T125</f>
        <v>4786865.42</v>
      </c>
      <c r="I124" s="10">
        <f t="shared" si="10"/>
        <v>138749.72231884059</v>
      </c>
      <c r="J124" s="31">
        <f t="shared" si="12"/>
        <v>188727.47125799768</v>
      </c>
      <c r="K124" s="10">
        <f t="shared" si="8"/>
        <v>138749.72231884059</v>
      </c>
      <c r="L124" s="10">
        <f>'D) Ecrêtage'!C124</f>
        <v>75818.919130434777</v>
      </c>
      <c r="M124" s="10">
        <f t="shared" si="9"/>
        <v>88470.208686168437</v>
      </c>
      <c r="N124" s="55">
        <f t="shared" si="11"/>
        <v>227219.93100500904</v>
      </c>
      <c r="O124" s="216"/>
      <c r="P124" s="217"/>
      <c r="Q124" s="213"/>
      <c r="R124" s="213"/>
      <c r="S124" s="218"/>
    </row>
    <row r="125" spans="1:19" s="212" customFormat="1" x14ac:dyDescent="0.25">
      <c r="A125" s="302">
        <f>'A) Base RI'!A126</f>
        <v>5606</v>
      </c>
      <c r="B125" s="225" t="str">
        <f>'A) Base RI'!B126</f>
        <v>Lutry</v>
      </c>
      <c r="C125" s="240">
        <v>1</v>
      </c>
      <c r="D125" s="214">
        <f>'B) D RI'!AA126</f>
        <v>10704</v>
      </c>
      <c r="E125" s="215">
        <f>'B) D RI'!S126</f>
        <v>54</v>
      </c>
      <c r="F125" s="10">
        <f>'B) D RI'!R126</f>
        <v>50821408.545714281</v>
      </c>
      <c r="G125" s="10">
        <f>'B) D RI'!U126</f>
        <v>941137.19529100519</v>
      </c>
      <c r="H125" s="41">
        <f>'B) D RI'!T126</f>
        <v>47447350.809999995</v>
      </c>
      <c r="I125" s="10">
        <f t="shared" si="10"/>
        <v>1757309.2892592591</v>
      </c>
      <c r="J125" s="31">
        <f t="shared" si="12"/>
        <v>957411.77836284693</v>
      </c>
      <c r="K125" s="10">
        <f t="shared" si="8"/>
        <v>0</v>
      </c>
      <c r="L125" s="10">
        <f>'D) Ecrêtage'!C125</f>
        <v>941137.19529100519</v>
      </c>
      <c r="M125" s="10">
        <f t="shared" si="9"/>
        <v>1098177.1439720737</v>
      </c>
      <c r="N125" s="55">
        <f t="shared" si="11"/>
        <v>1098177.1439720737</v>
      </c>
      <c r="O125" s="216"/>
      <c r="P125" s="217"/>
      <c r="Q125" s="213"/>
      <c r="R125" s="213"/>
      <c r="S125" s="218"/>
    </row>
    <row r="126" spans="1:19" s="212" customFormat="1" x14ac:dyDescent="0.25">
      <c r="A126" s="302">
        <f>'A) Base RI'!A127</f>
        <v>5607</v>
      </c>
      <c r="B126" s="225" t="str">
        <f>'A) Base RI'!B127</f>
        <v>Puidoux</v>
      </c>
      <c r="C126" s="240">
        <v>1</v>
      </c>
      <c r="D126" s="214">
        <f>'B) D RI'!AA127</f>
        <v>2924</v>
      </c>
      <c r="E126" s="215">
        <f>'B) D RI'!S127</f>
        <v>68.5</v>
      </c>
      <c r="F126" s="10">
        <f>'B) D RI'!R127</f>
        <v>7643256.1234782618</v>
      </c>
      <c r="G126" s="10">
        <f>'B) D RI'!U127</f>
        <v>111580.38136464616</v>
      </c>
      <c r="H126" s="41">
        <f>'B) D RI'!T127</f>
        <v>6825856.6800000006</v>
      </c>
      <c r="I126" s="10">
        <f t="shared" si="10"/>
        <v>199295.08554744528</v>
      </c>
      <c r="J126" s="31">
        <f t="shared" si="12"/>
        <v>261535.13078596455</v>
      </c>
      <c r="K126" s="10">
        <f t="shared" si="8"/>
        <v>0</v>
      </c>
      <c r="L126" s="10">
        <f>'D) Ecrêtage'!C126</f>
        <v>111580.38136464616</v>
      </c>
      <c r="M126" s="10">
        <f t="shared" si="9"/>
        <v>130198.89676388081</v>
      </c>
      <c r="N126" s="55">
        <f t="shared" si="11"/>
        <v>130198.89676388081</v>
      </c>
      <c r="O126" s="216"/>
      <c r="P126" s="217"/>
      <c r="Q126" s="213"/>
      <c r="R126" s="213"/>
      <c r="S126" s="218"/>
    </row>
    <row r="127" spans="1:19" s="212" customFormat="1" x14ac:dyDescent="0.25">
      <c r="A127" s="302">
        <f>'A) Base RI'!A128</f>
        <v>5609</v>
      </c>
      <c r="B127" s="225" t="str">
        <f>'A) Base RI'!B128</f>
        <v>Rivaz</v>
      </c>
      <c r="C127" s="240">
        <v>1</v>
      </c>
      <c r="D127" s="214">
        <f>'B) D RI'!AA128</f>
        <v>331</v>
      </c>
      <c r="E127" s="215">
        <f>'B) D RI'!S128</f>
        <v>62</v>
      </c>
      <c r="F127" s="10">
        <f>'B) D RI'!R128</f>
        <v>923583.63000000012</v>
      </c>
      <c r="G127" s="10">
        <f>'B) D RI'!U128</f>
        <v>14896.510161290325</v>
      </c>
      <c r="H127" s="41">
        <f>'B) D RI'!T128</f>
        <v>860639.58000000007</v>
      </c>
      <c r="I127" s="10">
        <f t="shared" si="10"/>
        <v>27762.567096774197</v>
      </c>
      <c r="J127" s="31">
        <f t="shared" si="12"/>
        <v>29606.063026728545</v>
      </c>
      <c r="K127" s="10">
        <f t="shared" si="8"/>
        <v>0</v>
      </c>
      <c r="L127" s="10">
        <f>'D) Ecrêtage'!C127</f>
        <v>14896.510161290325</v>
      </c>
      <c r="M127" s="10">
        <f t="shared" si="9"/>
        <v>17382.170278604794</v>
      </c>
      <c r="N127" s="55">
        <f t="shared" si="11"/>
        <v>17382.170278604794</v>
      </c>
      <c r="O127" s="216"/>
      <c r="P127" s="217"/>
      <c r="Q127" s="213"/>
      <c r="R127" s="213"/>
      <c r="S127" s="218"/>
    </row>
    <row r="128" spans="1:19" s="212" customFormat="1" x14ac:dyDescent="0.25">
      <c r="A128" s="302">
        <f>'A) Base RI'!A129</f>
        <v>5610</v>
      </c>
      <c r="B128" s="225" t="str">
        <f>'A) Base RI'!B129</f>
        <v>St-Saphorin (Lavaux)</v>
      </c>
      <c r="C128" s="240">
        <v>1</v>
      </c>
      <c r="D128" s="214">
        <f>'B) D RI'!AA129</f>
        <v>396</v>
      </c>
      <c r="E128" s="215">
        <f>'B) D RI'!S129</f>
        <v>72</v>
      </c>
      <c r="F128" s="10">
        <f>'B) D RI'!R129</f>
        <v>1688289.2749999999</v>
      </c>
      <c r="G128" s="10">
        <f>'B) D RI'!U129</f>
        <v>23448.462152777778</v>
      </c>
      <c r="H128" s="41">
        <f>'B) D RI'!T129</f>
        <v>1574517.45</v>
      </c>
      <c r="I128" s="10">
        <f t="shared" si="10"/>
        <v>43736.595833333333</v>
      </c>
      <c r="J128" s="31">
        <f t="shared" si="12"/>
        <v>35419.94247306497</v>
      </c>
      <c r="K128" s="10">
        <f t="shared" si="8"/>
        <v>0</v>
      </c>
      <c r="L128" s="10">
        <f>'D) Ecrêtage'!C128</f>
        <v>23448.462152777778</v>
      </c>
      <c r="M128" s="10">
        <f t="shared" si="9"/>
        <v>27361.117301832423</v>
      </c>
      <c r="N128" s="55">
        <f t="shared" si="11"/>
        <v>27361.117301832423</v>
      </c>
      <c r="O128" s="216"/>
      <c r="P128" s="217"/>
      <c r="Q128" s="213"/>
      <c r="R128" s="213"/>
      <c r="S128" s="218"/>
    </row>
    <row r="129" spans="1:19" s="212" customFormat="1" x14ac:dyDescent="0.25">
      <c r="A129" s="302">
        <f>'A) Base RI'!A130</f>
        <v>5611</v>
      </c>
      <c r="B129" s="225" t="str">
        <f>'A) Base RI'!B130</f>
        <v>Savigny</v>
      </c>
      <c r="C129" s="240">
        <v>1</v>
      </c>
      <c r="D129" s="214">
        <f>'B) D RI'!AA130</f>
        <v>3370</v>
      </c>
      <c r="E129" s="215">
        <f>'B) D RI'!S130</f>
        <v>69</v>
      </c>
      <c r="F129" s="10">
        <f>'B) D RI'!R130</f>
        <v>9727836.1983333305</v>
      </c>
      <c r="G129" s="10">
        <f>'B) D RI'!U130</f>
        <v>140983.13330917869</v>
      </c>
      <c r="H129" s="41">
        <f>'B) D RI'!T130</f>
        <v>9037769.3899999969</v>
      </c>
      <c r="I129" s="10">
        <f t="shared" si="10"/>
        <v>261964.33014492746</v>
      </c>
      <c r="J129" s="31">
        <f t="shared" si="12"/>
        <v>301427.28821774985</v>
      </c>
      <c r="K129" s="10">
        <f t="shared" si="8"/>
        <v>0</v>
      </c>
      <c r="L129" s="10">
        <f>'D) Ecrêtage'!C129</f>
        <v>140983.13330917869</v>
      </c>
      <c r="M129" s="10">
        <f t="shared" si="9"/>
        <v>164507.8480166065</v>
      </c>
      <c r="N129" s="55">
        <f t="shared" si="11"/>
        <v>164507.8480166065</v>
      </c>
      <c r="O129" s="216"/>
      <c r="P129" s="217"/>
      <c r="Q129" s="213"/>
      <c r="R129" s="213"/>
      <c r="S129" s="218"/>
    </row>
    <row r="130" spans="1:19" s="212" customFormat="1" x14ac:dyDescent="0.25">
      <c r="A130" s="302">
        <f>'A) Base RI'!A131</f>
        <v>5613</v>
      </c>
      <c r="B130" s="225" t="str">
        <f>'A) Base RI'!B131</f>
        <v>Bourg-en-Lavaux</v>
      </c>
      <c r="C130" s="240">
        <v>1</v>
      </c>
      <c r="D130" s="214">
        <f>'B) D RI'!AA131</f>
        <v>5367</v>
      </c>
      <c r="E130" s="215">
        <f>'B) D RI'!S131</f>
        <v>62.5</v>
      </c>
      <c r="F130" s="10">
        <f>'B) D RI'!R131</f>
        <v>22325660.713333338</v>
      </c>
      <c r="G130" s="10">
        <f>'B) D RI'!U131</f>
        <v>357210.57141333341</v>
      </c>
      <c r="H130" s="41">
        <f>'B) D RI'!T131</f>
        <v>20794890.430000003</v>
      </c>
      <c r="I130" s="10">
        <f t="shared" si="10"/>
        <v>665436.4937600001</v>
      </c>
      <c r="J130" s="31">
        <f t="shared" si="12"/>
        <v>480047.55366903957</v>
      </c>
      <c r="K130" s="10">
        <f t="shared" si="8"/>
        <v>0</v>
      </c>
      <c r="L130" s="10">
        <f>'D) Ecrêtage'!C130</f>
        <v>357210.57141333341</v>
      </c>
      <c r="M130" s="10">
        <f t="shared" si="9"/>
        <v>416815.40913918667</v>
      </c>
      <c r="N130" s="55">
        <f t="shared" si="11"/>
        <v>416815.40913918667</v>
      </c>
      <c r="O130" s="216"/>
      <c r="P130" s="217"/>
      <c r="Q130" s="213"/>
      <c r="R130" s="213"/>
      <c r="S130" s="218"/>
    </row>
    <row r="131" spans="1:19" s="212" customFormat="1" x14ac:dyDescent="0.25">
      <c r="A131" s="302">
        <f>'A) Base RI'!A132</f>
        <v>5621</v>
      </c>
      <c r="B131" s="225" t="str">
        <f>'A) Base RI'!B132</f>
        <v>Aclens</v>
      </c>
      <c r="C131" s="240">
        <v>0</v>
      </c>
      <c r="D131" s="214">
        <f>'B) D RI'!AA132</f>
        <v>517</v>
      </c>
      <c r="E131" s="215">
        <f>'B) D RI'!S132</f>
        <v>62</v>
      </c>
      <c r="F131" s="10">
        <f>'B) D RI'!R132</f>
        <v>2000820.2145454546</v>
      </c>
      <c r="G131" s="10">
        <f>'B) D RI'!U132</f>
        <v>32271.293782991204</v>
      </c>
      <c r="H131" s="41">
        <f>'B) D RI'!T132</f>
        <v>1700944.51</v>
      </c>
      <c r="I131" s="10">
        <f t="shared" si="10"/>
        <v>54869.177741935484</v>
      </c>
      <c r="J131" s="31">
        <f t="shared" si="12"/>
        <v>46242.702673168154</v>
      </c>
      <c r="K131" s="10">
        <f t="shared" si="8"/>
        <v>46242.702673168154</v>
      </c>
      <c r="L131" s="10">
        <f>'D) Ecrêtage'!C131</f>
        <v>32271.293782991204</v>
      </c>
      <c r="M131" s="10">
        <f t="shared" si="9"/>
        <v>37656.143457310587</v>
      </c>
      <c r="N131" s="55">
        <f t="shared" si="11"/>
        <v>83898.846130478749</v>
      </c>
      <c r="O131" s="216"/>
      <c r="P131" s="217"/>
      <c r="Q131" s="213"/>
      <c r="R131" s="213"/>
      <c r="S131" s="218"/>
    </row>
    <row r="132" spans="1:19" s="212" customFormat="1" x14ac:dyDescent="0.25">
      <c r="A132" s="302">
        <f>'A) Base RI'!A133</f>
        <v>5622</v>
      </c>
      <c r="B132" s="225" t="str">
        <f>'A) Base RI'!B133</f>
        <v>Bremblens</v>
      </c>
      <c r="C132" s="240">
        <v>0</v>
      </c>
      <c r="D132" s="214">
        <f>'B) D RI'!AA133</f>
        <v>607</v>
      </c>
      <c r="E132" s="215">
        <f>'B) D RI'!S133</f>
        <v>68</v>
      </c>
      <c r="F132" s="10">
        <f>'B) D RI'!R133</f>
        <v>1947787.83</v>
      </c>
      <c r="G132" s="10">
        <f>'B) D RI'!U133</f>
        <v>28643.938676470589</v>
      </c>
      <c r="H132" s="41">
        <f>'B) D RI'!T133</f>
        <v>1788998.83</v>
      </c>
      <c r="I132" s="10">
        <f t="shared" si="10"/>
        <v>52617.612647058828</v>
      </c>
      <c r="J132" s="31">
        <f t="shared" si="12"/>
        <v>54292.689598864737</v>
      </c>
      <c r="K132" s="10">
        <f t="shared" si="8"/>
        <v>52617.612647058828</v>
      </c>
      <c r="L132" s="10">
        <f>'D) Ecrêtage'!C132</f>
        <v>28643.938676470589</v>
      </c>
      <c r="M132" s="10">
        <f t="shared" si="9"/>
        <v>33423.520954467509</v>
      </c>
      <c r="N132" s="55">
        <f t="shared" si="11"/>
        <v>86041.133601526337</v>
      </c>
      <c r="O132" s="216"/>
      <c r="P132" s="217"/>
      <c r="Q132" s="213"/>
      <c r="R132" s="213"/>
      <c r="S132" s="218"/>
    </row>
    <row r="133" spans="1:19" s="212" customFormat="1" x14ac:dyDescent="0.25">
      <c r="A133" s="302">
        <f>'A) Base RI'!A134</f>
        <v>5623</v>
      </c>
      <c r="B133" s="225" t="str">
        <f>'A) Base RI'!B134</f>
        <v>Buchillon</v>
      </c>
      <c r="C133" s="240">
        <v>1</v>
      </c>
      <c r="D133" s="214">
        <f>'B) D RI'!AA134</f>
        <v>669</v>
      </c>
      <c r="E133" s="215">
        <f>'B) D RI'!S134</f>
        <v>52</v>
      </c>
      <c r="F133" s="10">
        <f>'B) D RI'!R134</f>
        <v>4640061.46</v>
      </c>
      <c r="G133" s="10">
        <f>'B) D RI'!U134</f>
        <v>89231.951153846152</v>
      </c>
      <c r="H133" s="41">
        <f>'B) D RI'!T134</f>
        <v>4280130.8600000003</v>
      </c>
      <c r="I133" s="10">
        <f t="shared" si="10"/>
        <v>164620.4176923077</v>
      </c>
      <c r="J133" s="31">
        <f t="shared" ref="J133:J168" si="13">+$I$314/$D$314*D133</f>
        <v>59838.236147677933</v>
      </c>
      <c r="K133" s="10">
        <f t="shared" ref="K133:K191" si="14">IF(C133=1,0,IF(J133&gt;I133,I133,J133))</f>
        <v>0</v>
      </c>
      <c r="L133" s="10">
        <f>'D) Ecrêtage'!C133</f>
        <v>89231.951153846152</v>
      </c>
      <c r="M133" s="10">
        <f t="shared" ref="M133:M191" si="15">+$M$5*L133</f>
        <v>104121.36483340933</v>
      </c>
      <c r="N133" s="55">
        <f t="shared" si="11"/>
        <v>104121.36483340933</v>
      </c>
      <c r="O133" s="216"/>
      <c r="P133" s="217"/>
      <c r="Q133" s="213"/>
      <c r="R133" s="213"/>
      <c r="S133" s="218"/>
    </row>
    <row r="134" spans="1:19" s="212" customFormat="1" x14ac:dyDescent="0.25">
      <c r="A134" s="302">
        <f>'A) Base RI'!A135</f>
        <v>5624</v>
      </c>
      <c r="B134" s="225" t="str">
        <f>'A) Base RI'!B135</f>
        <v>Bussigny</v>
      </c>
      <c r="C134" s="240">
        <v>1</v>
      </c>
      <c r="D134" s="214">
        <f>'B) D RI'!AA135</f>
        <v>10253</v>
      </c>
      <c r="E134" s="215">
        <f>'B) D RI'!S135</f>
        <v>62.5</v>
      </c>
      <c r="F134" s="10">
        <f>'B) D RI'!R135</f>
        <v>27621249.380000003</v>
      </c>
      <c r="G134" s="10">
        <f>'B) D RI'!U135</f>
        <v>441939.99008000002</v>
      </c>
      <c r="H134" s="41">
        <f>'B) D RI'!T135</f>
        <v>24966872.450000003</v>
      </c>
      <c r="I134" s="10">
        <f t="shared" ref="I134:I192" si="16">+H134/E134*$I$5</f>
        <v>798939.91840000008</v>
      </c>
      <c r="J134" s="31">
        <f t="shared" si="13"/>
        <v>917072.39943518967</v>
      </c>
      <c r="K134" s="10">
        <f t="shared" si="14"/>
        <v>0</v>
      </c>
      <c r="L134" s="10">
        <f>'D) Ecrêtage'!C134</f>
        <v>441939.99008000002</v>
      </c>
      <c r="M134" s="10">
        <f t="shared" si="15"/>
        <v>515682.94032097474</v>
      </c>
      <c r="N134" s="55">
        <f t="shared" ref="N134:N197" si="17">+M134+K134</f>
        <v>515682.94032097474</v>
      </c>
      <c r="O134" s="216"/>
      <c r="P134" s="217"/>
      <c r="Q134" s="213"/>
      <c r="R134" s="213"/>
      <c r="S134" s="218"/>
    </row>
    <row r="135" spans="1:19" s="212" customFormat="1" x14ac:dyDescent="0.25">
      <c r="A135" s="302">
        <f>'A) Base RI'!A136</f>
        <v>5625</v>
      </c>
      <c r="B135" s="225" t="str">
        <f>'A) Base RI'!B136</f>
        <v>Bussy-Chardonney</v>
      </c>
      <c r="C135" s="240">
        <v>0</v>
      </c>
      <c r="D135" s="214">
        <f>'B) D RI'!AA136</f>
        <v>412</v>
      </c>
      <c r="E135" s="215">
        <f>'B) D RI'!S136</f>
        <v>72</v>
      </c>
      <c r="F135" s="10">
        <f>'B) D RI'!R136</f>
        <v>1519811.6933333331</v>
      </c>
      <c r="G135" s="10">
        <f>'B) D RI'!U136</f>
        <v>21108.495740740738</v>
      </c>
      <c r="H135" s="41">
        <f>'B) D RI'!T136</f>
        <v>1410752.1099999999</v>
      </c>
      <c r="I135" s="10">
        <f t="shared" si="16"/>
        <v>39187.558611111104</v>
      </c>
      <c r="J135" s="31">
        <f t="shared" si="13"/>
        <v>36851.051259855471</v>
      </c>
      <c r="K135" s="10">
        <f t="shared" si="14"/>
        <v>36851.051259855471</v>
      </c>
      <c r="L135" s="10">
        <f>'D) Ecrêtage'!C135</f>
        <v>21108.495740740738</v>
      </c>
      <c r="M135" s="10">
        <f t="shared" si="15"/>
        <v>24630.699628172366</v>
      </c>
      <c r="N135" s="55">
        <f t="shared" si="17"/>
        <v>61481.750888027833</v>
      </c>
      <c r="O135" s="216"/>
      <c r="P135" s="217"/>
      <c r="Q135" s="213"/>
      <c r="R135" s="213"/>
      <c r="S135" s="218"/>
    </row>
    <row r="136" spans="1:19" s="212" customFormat="1" x14ac:dyDescent="0.25">
      <c r="A136" s="302">
        <f>'A) Base RI'!A137</f>
        <v>5627</v>
      </c>
      <c r="B136" s="225" t="str">
        <f>'A) Base RI'!B137</f>
        <v>Chavannes-près-Renens</v>
      </c>
      <c r="C136" s="240">
        <v>1</v>
      </c>
      <c r="D136" s="214">
        <f>'B) D RI'!AA137</f>
        <v>8767</v>
      </c>
      <c r="E136" s="215">
        <f>'B) D RI'!S137</f>
        <v>77.5</v>
      </c>
      <c r="F136" s="10">
        <f>'B) D RI'!R137</f>
        <v>15040650.879999999</v>
      </c>
      <c r="G136" s="10">
        <f>'B) D RI'!U137</f>
        <v>194072.91458064516</v>
      </c>
      <c r="H136" s="41">
        <f>'B) D RI'!T137</f>
        <v>13476749.279999999</v>
      </c>
      <c r="I136" s="10">
        <f t="shared" si="16"/>
        <v>347787.07819354837</v>
      </c>
      <c r="J136" s="31">
        <f t="shared" si="13"/>
        <v>784158.17086202162</v>
      </c>
      <c r="K136" s="10">
        <f t="shared" si="14"/>
        <v>0</v>
      </c>
      <c r="L136" s="10">
        <f>'D) Ecrêtage'!C136</f>
        <v>194072.91458064516</v>
      </c>
      <c r="M136" s="10">
        <f t="shared" si="15"/>
        <v>226456.29151933492</v>
      </c>
      <c r="N136" s="55">
        <f t="shared" si="17"/>
        <v>226456.29151933492</v>
      </c>
      <c r="O136" s="216"/>
      <c r="P136" s="217"/>
      <c r="Q136" s="213"/>
      <c r="R136" s="213"/>
      <c r="S136" s="218"/>
    </row>
    <row r="137" spans="1:19" s="212" customFormat="1" x14ac:dyDescent="0.25">
      <c r="A137" s="302">
        <f>'A) Base RI'!A138</f>
        <v>5628</v>
      </c>
      <c r="B137" s="225" t="str">
        <f>'A) Base RI'!B138</f>
        <v>Chigny</v>
      </c>
      <c r="C137" s="240">
        <v>0</v>
      </c>
      <c r="D137" s="214">
        <f>'B) D RI'!AA138</f>
        <v>405</v>
      </c>
      <c r="E137" s="215">
        <f>'B) D RI'!S138</f>
        <v>62</v>
      </c>
      <c r="F137" s="10">
        <f>'B) D RI'!R138</f>
        <v>1599035.8699999999</v>
      </c>
      <c r="G137" s="10">
        <f>'B) D RI'!U138</f>
        <v>25790.901129032256</v>
      </c>
      <c r="H137" s="41">
        <f>'B) D RI'!T138</f>
        <v>1491849.0699999998</v>
      </c>
      <c r="I137" s="10">
        <f t="shared" si="16"/>
        <v>48124.163548387092</v>
      </c>
      <c r="J137" s="31">
        <f t="shared" si="13"/>
        <v>36224.941165634627</v>
      </c>
      <c r="K137" s="10">
        <f t="shared" si="14"/>
        <v>36224.941165634627</v>
      </c>
      <c r="L137" s="10">
        <f>'D) Ecrêtage'!C137</f>
        <v>25790.901129032256</v>
      </c>
      <c r="M137" s="10">
        <f t="shared" si="15"/>
        <v>30094.420116494432</v>
      </c>
      <c r="N137" s="55">
        <f t="shared" si="17"/>
        <v>66319.361282129059</v>
      </c>
      <c r="O137" s="216"/>
      <c r="P137" s="217"/>
      <c r="Q137" s="213"/>
      <c r="R137" s="213"/>
      <c r="S137" s="218"/>
    </row>
    <row r="138" spans="1:19" s="212" customFormat="1" x14ac:dyDescent="0.25">
      <c r="A138" s="302">
        <f>'A) Base RI'!A139</f>
        <v>5629</v>
      </c>
      <c r="B138" s="225" t="str">
        <f>'A) Base RI'!B139</f>
        <v>Clarmont</v>
      </c>
      <c r="C138" s="240">
        <v>0</v>
      </c>
      <c r="D138" s="214">
        <f>'B) D RI'!AA139</f>
        <v>211</v>
      </c>
      <c r="E138" s="215">
        <f>'B) D RI'!S139</f>
        <v>73.5</v>
      </c>
      <c r="F138" s="10">
        <f>'B) D RI'!R139</f>
        <v>731182.52000000014</v>
      </c>
      <c r="G138" s="10">
        <f>'B) D RI'!U139</f>
        <v>9948.0614965986406</v>
      </c>
      <c r="H138" s="41">
        <f>'B) D RI'!T139</f>
        <v>693918.22000000009</v>
      </c>
      <c r="I138" s="10">
        <f t="shared" si="16"/>
        <v>18882.12843537415</v>
      </c>
      <c r="J138" s="31">
        <f t="shared" si="13"/>
        <v>18872.747125799768</v>
      </c>
      <c r="K138" s="10">
        <f t="shared" si="14"/>
        <v>18872.747125799768</v>
      </c>
      <c r="L138" s="10">
        <f>'D) Ecrêtage'!C138</f>
        <v>9948.0614965986406</v>
      </c>
      <c r="M138" s="10">
        <f t="shared" si="15"/>
        <v>11608.014025006478</v>
      </c>
      <c r="N138" s="55">
        <f t="shared" si="17"/>
        <v>30480.761150806247</v>
      </c>
      <c r="O138" s="216"/>
      <c r="P138" s="217"/>
      <c r="Q138" s="213"/>
      <c r="R138" s="213"/>
      <c r="S138" s="218"/>
    </row>
    <row r="139" spans="1:19" s="212" customFormat="1" x14ac:dyDescent="0.25">
      <c r="A139" s="302">
        <f>'A) Base RI'!A140</f>
        <v>5631</v>
      </c>
      <c r="B139" s="225" t="str">
        <f>'A) Base RI'!B140</f>
        <v>Denens</v>
      </c>
      <c r="C139" s="240">
        <v>0</v>
      </c>
      <c r="D139" s="214">
        <f>'B) D RI'!AA140</f>
        <v>733</v>
      </c>
      <c r="E139" s="215">
        <f>'B) D RI'!S140</f>
        <v>68</v>
      </c>
      <c r="F139" s="10">
        <f>'B) D RI'!R140</f>
        <v>2943735.5899999994</v>
      </c>
      <c r="G139" s="10">
        <f>'B) D RI'!U140</f>
        <v>43290.229264705871</v>
      </c>
      <c r="H139" s="41">
        <f>'B) D RI'!T140</f>
        <v>2728344.1899999995</v>
      </c>
      <c r="I139" s="10">
        <f t="shared" si="16"/>
        <v>80245.417352941164</v>
      </c>
      <c r="J139" s="31">
        <f t="shared" si="13"/>
        <v>65562.671294839951</v>
      </c>
      <c r="K139" s="10">
        <f t="shared" si="14"/>
        <v>65562.671294839951</v>
      </c>
      <c r="L139" s="10">
        <f>'D) Ecrêtage'!C139</f>
        <v>43290.229264705871</v>
      </c>
      <c r="M139" s="10">
        <f t="shared" si="15"/>
        <v>50513.719544482803</v>
      </c>
      <c r="N139" s="55">
        <f t="shared" si="17"/>
        <v>116076.39083932276</v>
      </c>
      <c r="O139" s="216"/>
      <c r="P139" s="217"/>
      <c r="Q139" s="213"/>
      <c r="R139" s="213"/>
      <c r="S139" s="218"/>
    </row>
    <row r="140" spans="1:19" s="212" customFormat="1" x14ac:dyDescent="0.25">
      <c r="A140" s="302">
        <f>'A) Base RI'!A141</f>
        <v>5632</v>
      </c>
      <c r="B140" s="225" t="str">
        <f>'A) Base RI'!B141</f>
        <v>Denges</v>
      </c>
      <c r="C140" s="240">
        <v>0</v>
      </c>
      <c r="D140" s="214">
        <f>'B) D RI'!AA141</f>
        <v>1744</v>
      </c>
      <c r="E140" s="215">
        <f>'B) D RI'!S141</f>
        <v>62</v>
      </c>
      <c r="F140" s="10">
        <f>'B) D RI'!R141</f>
        <v>4992315.29</v>
      </c>
      <c r="G140" s="10">
        <f>'B) D RI'!U141</f>
        <v>80521.21435483871</v>
      </c>
      <c r="H140" s="41">
        <f>'B) D RI'!T141</f>
        <v>4570397.79</v>
      </c>
      <c r="I140" s="10">
        <f t="shared" si="16"/>
        <v>147432.18677419354</v>
      </c>
      <c r="J140" s="31">
        <f t="shared" si="13"/>
        <v>155990.85776016492</v>
      </c>
      <c r="K140" s="10">
        <f t="shared" si="14"/>
        <v>147432.18677419354</v>
      </c>
      <c r="L140" s="10">
        <f>'D) Ecrêtage'!C140</f>
        <v>80521.21435483871</v>
      </c>
      <c r="M140" s="10">
        <f t="shared" si="15"/>
        <v>93957.137866618796</v>
      </c>
      <c r="N140" s="55">
        <f t="shared" si="17"/>
        <v>241389.32464081235</v>
      </c>
      <c r="O140" s="216"/>
      <c r="P140" s="217"/>
      <c r="Q140" s="213"/>
      <c r="R140" s="213"/>
      <c r="S140" s="218"/>
    </row>
    <row r="141" spans="1:19" s="212" customFormat="1" x14ac:dyDescent="0.25">
      <c r="A141" s="302">
        <f>'A) Base RI'!A142</f>
        <v>5633</v>
      </c>
      <c r="B141" s="225" t="str">
        <f>'A) Base RI'!B142</f>
        <v>Echandens</v>
      </c>
      <c r="C141" s="240">
        <v>0</v>
      </c>
      <c r="D141" s="214">
        <f>'B) D RI'!AA142</f>
        <v>2775</v>
      </c>
      <c r="E141" s="215">
        <f>'B) D RI'!S142</f>
        <v>60.5</v>
      </c>
      <c r="F141" s="10">
        <f>'B) D RI'!R142</f>
        <v>10302373.699999999</v>
      </c>
      <c r="G141" s="10">
        <f>'B) D RI'!U142</f>
        <v>170287.16859504132</v>
      </c>
      <c r="H141" s="41">
        <f>'B) D RI'!T142</f>
        <v>9594751.1499999985</v>
      </c>
      <c r="I141" s="10">
        <f t="shared" si="16"/>
        <v>317181.85619834706</v>
      </c>
      <c r="J141" s="31">
        <f t="shared" si="13"/>
        <v>248207.93020897798</v>
      </c>
      <c r="K141" s="10">
        <f t="shared" si="14"/>
        <v>248207.93020897798</v>
      </c>
      <c r="L141" s="10">
        <f>'D) Ecrêtage'!C141</f>
        <v>170287.16859504132</v>
      </c>
      <c r="M141" s="10">
        <f t="shared" si="15"/>
        <v>198701.61056058385</v>
      </c>
      <c r="N141" s="55">
        <f t="shared" si="17"/>
        <v>446909.54076956183</v>
      </c>
      <c r="O141" s="216"/>
      <c r="P141" s="217"/>
      <c r="Q141" s="213"/>
      <c r="R141" s="213"/>
      <c r="S141" s="218"/>
    </row>
    <row r="142" spans="1:19" s="212" customFormat="1" x14ac:dyDescent="0.25">
      <c r="A142" s="302">
        <f>'A) Base RI'!A143</f>
        <v>5634</v>
      </c>
      <c r="B142" s="225" t="str">
        <f>'A) Base RI'!B143</f>
        <v>Echichens</v>
      </c>
      <c r="C142" s="240">
        <v>0</v>
      </c>
      <c r="D142" s="214">
        <f>'B) D RI'!AA143</f>
        <v>3142</v>
      </c>
      <c r="E142" s="215">
        <f>'B) D RI'!S143</f>
        <v>66</v>
      </c>
      <c r="F142" s="10">
        <f>'B) D RI'!R143</f>
        <v>10069546.890000001</v>
      </c>
      <c r="G142" s="10">
        <f>'B) D RI'!U143</f>
        <v>152568.89227272727</v>
      </c>
      <c r="H142" s="41">
        <f>'B) D RI'!T143</f>
        <v>9309280.9900000002</v>
      </c>
      <c r="I142" s="10">
        <f t="shared" si="16"/>
        <v>282099.42393939395</v>
      </c>
      <c r="J142" s="31">
        <f t="shared" si="13"/>
        <v>281033.98800598516</v>
      </c>
      <c r="K142" s="10">
        <f t="shared" si="14"/>
        <v>281033.98800598516</v>
      </c>
      <c r="L142" s="10">
        <f>'D) Ecrêtage'!C142</f>
        <v>152568.89227272727</v>
      </c>
      <c r="M142" s="10">
        <f t="shared" si="15"/>
        <v>178026.828833643</v>
      </c>
      <c r="N142" s="55">
        <f t="shared" si="17"/>
        <v>459060.81683962815</v>
      </c>
      <c r="O142" s="216"/>
      <c r="P142" s="217"/>
      <c r="Q142" s="213"/>
      <c r="R142" s="213"/>
      <c r="S142" s="218"/>
    </row>
    <row r="143" spans="1:19" s="212" customFormat="1" x14ac:dyDescent="0.25">
      <c r="A143" s="302">
        <f>'A) Base RI'!A144</f>
        <v>5635</v>
      </c>
      <c r="B143" s="225" t="str">
        <f>'A) Base RI'!B144</f>
        <v>Ecublens</v>
      </c>
      <c r="C143" s="240">
        <v>1</v>
      </c>
      <c r="D143" s="214">
        <f>'B) D RI'!AA144</f>
        <v>13214</v>
      </c>
      <c r="E143" s="215">
        <f>'B) D RI'!S144</f>
        <v>62.5</v>
      </c>
      <c r="F143" s="10">
        <f>'B) D RI'!R144</f>
        <v>54522942.498333342</v>
      </c>
      <c r="G143" s="10">
        <f>'B) D RI'!U144</f>
        <v>872367.07997333352</v>
      </c>
      <c r="H143" s="41">
        <f>'B) D RI'!T144</f>
        <v>51475491.940000005</v>
      </c>
      <c r="I143" s="10">
        <f t="shared" si="16"/>
        <v>1647215.7420800002</v>
      </c>
      <c r="J143" s="31">
        <f t="shared" si="13"/>
        <v>1181916.9692906071</v>
      </c>
      <c r="K143" s="10">
        <f t="shared" si="14"/>
        <v>0</v>
      </c>
      <c r="L143" s="10">
        <f>'D) Ecrêtage'!C143</f>
        <v>872367.07997333352</v>
      </c>
      <c r="M143" s="10">
        <f t="shared" si="15"/>
        <v>1017931.9159563654</v>
      </c>
      <c r="N143" s="55">
        <f t="shared" si="17"/>
        <v>1017931.9159563654</v>
      </c>
      <c r="O143" s="216"/>
      <c r="P143" s="217"/>
      <c r="Q143" s="213"/>
      <c r="R143" s="213"/>
      <c r="S143" s="218"/>
    </row>
    <row r="144" spans="1:19" s="212" customFormat="1" x14ac:dyDescent="0.25">
      <c r="A144" s="302">
        <f>'A) Base RI'!A145</f>
        <v>5636</v>
      </c>
      <c r="B144" s="225" t="str">
        <f>'A) Base RI'!B145</f>
        <v>Etoy</v>
      </c>
      <c r="C144" s="240">
        <v>0</v>
      </c>
      <c r="D144" s="214">
        <f>'B) D RI'!AA145</f>
        <v>2918</v>
      </c>
      <c r="E144" s="215">
        <f>'B) D RI'!S145</f>
        <v>60</v>
      </c>
      <c r="F144" s="10">
        <f>'B) D RI'!R145</f>
        <v>11223812.400000002</v>
      </c>
      <c r="G144" s="10">
        <f>'B) D RI'!U145</f>
        <v>187063.54000000004</v>
      </c>
      <c r="H144" s="41">
        <f>'B) D RI'!T145</f>
        <v>9776910.6000000015</v>
      </c>
      <c r="I144" s="10">
        <f t="shared" si="16"/>
        <v>325897.02000000008</v>
      </c>
      <c r="J144" s="31">
        <f t="shared" si="13"/>
        <v>260998.46499091812</v>
      </c>
      <c r="K144" s="10">
        <f t="shared" si="14"/>
        <v>260998.46499091812</v>
      </c>
      <c r="L144" s="10">
        <f>'D) Ecrêtage'!C144</f>
        <v>187063.54000000004</v>
      </c>
      <c r="M144" s="10">
        <f t="shared" si="15"/>
        <v>218277.31931791941</v>
      </c>
      <c r="N144" s="55">
        <f t="shared" si="17"/>
        <v>479275.78430883749</v>
      </c>
      <c r="O144" s="216"/>
      <c r="P144" s="217"/>
      <c r="Q144" s="213"/>
      <c r="R144" s="213"/>
      <c r="S144" s="218"/>
    </row>
    <row r="145" spans="1:19" s="212" customFormat="1" x14ac:dyDescent="0.25">
      <c r="A145" s="302">
        <f>'A) Base RI'!A146</f>
        <v>5637</v>
      </c>
      <c r="B145" s="225" t="str">
        <f>'A) Base RI'!B146</f>
        <v>Lavigny</v>
      </c>
      <c r="C145" s="240">
        <v>0</v>
      </c>
      <c r="D145" s="214">
        <f>'B) D RI'!AA146</f>
        <v>1026</v>
      </c>
      <c r="E145" s="215">
        <f>'B) D RI'!S146</f>
        <v>73</v>
      </c>
      <c r="F145" s="10">
        <f>'B) D RI'!R146</f>
        <v>2766772.81</v>
      </c>
      <c r="G145" s="10">
        <f>'B) D RI'!U146</f>
        <v>37900.997397260275</v>
      </c>
      <c r="H145" s="41">
        <f>'B) D RI'!T146</f>
        <v>2561878.46</v>
      </c>
      <c r="I145" s="10">
        <f t="shared" si="16"/>
        <v>70188.450958904112</v>
      </c>
      <c r="J145" s="31">
        <f t="shared" si="13"/>
        <v>91769.850952941051</v>
      </c>
      <c r="K145" s="10">
        <f t="shared" si="14"/>
        <v>70188.450958904112</v>
      </c>
      <c r="L145" s="10">
        <f>'D) Ecrêtage'!C145</f>
        <v>37900.997397260275</v>
      </c>
      <c r="M145" s="10">
        <f t="shared" si="15"/>
        <v>44225.230161630701</v>
      </c>
      <c r="N145" s="55">
        <f t="shared" si="17"/>
        <v>114413.68112053481</v>
      </c>
      <c r="O145" s="216"/>
      <c r="P145" s="217"/>
      <c r="Q145" s="213"/>
      <c r="R145" s="213"/>
      <c r="S145" s="218"/>
    </row>
    <row r="146" spans="1:19" s="212" customFormat="1" x14ac:dyDescent="0.25">
      <c r="A146" s="302">
        <f>'A) Base RI'!A147</f>
        <v>5638</v>
      </c>
      <c r="B146" s="225" t="str">
        <f>'A) Base RI'!B147</f>
        <v>Lonay</v>
      </c>
      <c r="C146" s="240">
        <v>0</v>
      </c>
      <c r="D146" s="214">
        <f>'B) D RI'!AA147</f>
        <v>2751</v>
      </c>
      <c r="E146" s="215">
        <f>'B) D RI'!S147</f>
        <v>55</v>
      </c>
      <c r="F146" s="10">
        <f>'B) D RI'!R147</f>
        <v>9578521.6299999971</v>
      </c>
      <c r="G146" s="10">
        <f>'B) D RI'!U147</f>
        <v>174154.93872727267</v>
      </c>
      <c r="H146" s="41">
        <f>'B) D RI'!T147</f>
        <v>8837948.9299999978</v>
      </c>
      <c r="I146" s="10">
        <f t="shared" si="16"/>
        <v>321379.96109090903</v>
      </c>
      <c r="J146" s="31">
        <f t="shared" si="13"/>
        <v>246061.26702879224</v>
      </c>
      <c r="K146" s="10">
        <f t="shared" si="14"/>
        <v>246061.26702879224</v>
      </c>
      <c r="L146" s="10">
        <f>'D) Ecrêtage'!C146</f>
        <v>174154.93872727267</v>
      </c>
      <c r="M146" s="10">
        <f t="shared" si="15"/>
        <v>203214.76419918909</v>
      </c>
      <c r="N146" s="55">
        <f t="shared" si="17"/>
        <v>449276.03122798132</v>
      </c>
      <c r="O146" s="216"/>
      <c r="P146" s="217"/>
      <c r="Q146" s="213"/>
      <c r="R146" s="213"/>
      <c r="S146" s="218"/>
    </row>
    <row r="147" spans="1:19" s="212" customFormat="1" x14ac:dyDescent="0.25">
      <c r="A147" s="302">
        <f>'A) Base RI'!A148</f>
        <v>5639</v>
      </c>
      <c r="B147" s="225" t="str">
        <f>'A) Base RI'!B148</f>
        <v>Lully</v>
      </c>
      <c r="C147" s="240">
        <v>0</v>
      </c>
      <c r="D147" s="214">
        <f>'B) D RI'!AA148</f>
        <v>828</v>
      </c>
      <c r="E147" s="215">
        <f>'B) D RI'!S148</f>
        <v>61</v>
      </c>
      <c r="F147" s="10">
        <f>'B) D RI'!R148</f>
        <v>3276387.43</v>
      </c>
      <c r="G147" s="10">
        <f>'B) D RI'!U148</f>
        <v>53711.269344262299</v>
      </c>
      <c r="H147" s="41">
        <f>'B) D RI'!T148</f>
        <v>3069374.56</v>
      </c>
      <c r="I147" s="10">
        <f t="shared" si="16"/>
        <v>100635.23147540983</v>
      </c>
      <c r="J147" s="31">
        <f t="shared" si="13"/>
        <v>74059.87971640857</v>
      </c>
      <c r="K147" s="10">
        <f t="shared" si="14"/>
        <v>74059.87971640857</v>
      </c>
      <c r="L147" s="10">
        <f>'D) Ecrêtage'!C147</f>
        <v>53711.269344262299</v>
      </c>
      <c r="M147" s="10">
        <f t="shared" si="15"/>
        <v>62673.634261536557</v>
      </c>
      <c r="N147" s="55">
        <f t="shared" si="17"/>
        <v>136733.51397794514</v>
      </c>
      <c r="O147" s="216"/>
      <c r="P147" s="217"/>
      <c r="Q147" s="213"/>
      <c r="R147" s="213"/>
      <c r="S147" s="218"/>
    </row>
    <row r="148" spans="1:19" s="212" customFormat="1" x14ac:dyDescent="0.25">
      <c r="A148" s="302">
        <f>'A) Base RI'!A149</f>
        <v>5640</v>
      </c>
      <c r="B148" s="225" t="str">
        <f>'A) Base RI'!B149</f>
        <v>Lussy-sur-Morges</v>
      </c>
      <c r="C148" s="240">
        <v>1</v>
      </c>
      <c r="D148" s="214">
        <f>'B) D RI'!AA149</f>
        <v>740</v>
      </c>
      <c r="E148" s="215">
        <f>'B) D RI'!S149</f>
        <v>64.5</v>
      </c>
      <c r="F148" s="10">
        <f>'B) D RI'!R149</f>
        <v>4549044.0100000007</v>
      </c>
      <c r="G148" s="10">
        <f>'B) D RI'!U149</f>
        <v>70527.814108527149</v>
      </c>
      <c r="H148" s="41">
        <f>'B) D RI'!T149</f>
        <v>4322957.6100000003</v>
      </c>
      <c r="I148" s="10">
        <f t="shared" si="16"/>
        <v>134045.19720930234</v>
      </c>
      <c r="J148" s="31">
        <f t="shared" si="13"/>
        <v>66188.781389060794</v>
      </c>
      <c r="K148" s="10">
        <f t="shared" si="14"/>
        <v>0</v>
      </c>
      <c r="L148" s="10">
        <f>'D) Ecrêtage'!C148</f>
        <v>70527.814108527149</v>
      </c>
      <c r="M148" s="10">
        <f t="shared" si="15"/>
        <v>82296.219781587788</v>
      </c>
      <c r="N148" s="55">
        <f t="shared" si="17"/>
        <v>82296.219781587788</v>
      </c>
      <c r="O148" s="216"/>
      <c r="P148" s="217"/>
      <c r="Q148" s="213"/>
      <c r="R148" s="213"/>
      <c r="S148" s="218"/>
    </row>
    <row r="149" spans="1:19" s="212" customFormat="1" x14ac:dyDescent="0.25">
      <c r="A149" s="302">
        <f>'A) Base RI'!A150</f>
        <v>5642</v>
      </c>
      <c r="B149" s="225" t="str">
        <f>'A) Base RI'!B150</f>
        <v>Morges</v>
      </c>
      <c r="C149" s="240">
        <v>1</v>
      </c>
      <c r="D149" s="214">
        <f>'B) D RI'!AA150</f>
        <v>16885</v>
      </c>
      <c r="E149" s="215">
        <f>'B) D RI'!S150</f>
        <v>67</v>
      </c>
      <c r="F149" s="10">
        <f>'B) D RI'!R150</f>
        <v>66981697.020000003</v>
      </c>
      <c r="G149" s="10">
        <f>'B) D RI'!U150</f>
        <v>999726.82119402988</v>
      </c>
      <c r="H149" s="41">
        <f>'B) D RI'!T150</f>
        <v>63076799.420000002</v>
      </c>
      <c r="I149" s="10">
        <f t="shared" si="16"/>
        <v>1882889.5349253733</v>
      </c>
      <c r="J149" s="31">
        <f t="shared" si="13"/>
        <v>1510266.9915598535</v>
      </c>
      <c r="K149" s="10">
        <f t="shared" si="14"/>
        <v>0</v>
      </c>
      <c r="L149" s="10">
        <f>'D) Ecrêtage'!C149</f>
        <v>999726.82119402988</v>
      </c>
      <c r="M149" s="10">
        <f t="shared" si="15"/>
        <v>1166543.1466787045</v>
      </c>
      <c r="N149" s="55">
        <f t="shared" si="17"/>
        <v>1166543.1466787045</v>
      </c>
      <c r="O149" s="216"/>
      <c r="P149" s="217"/>
      <c r="Q149" s="213"/>
      <c r="R149" s="213"/>
      <c r="S149" s="218"/>
    </row>
    <row r="150" spans="1:19" s="212" customFormat="1" x14ac:dyDescent="0.25">
      <c r="A150" s="302">
        <f>'A) Base RI'!A151</f>
        <v>5643</v>
      </c>
      <c r="B150" s="225" t="str">
        <f>'A) Base RI'!B151</f>
        <v>Préverenges</v>
      </c>
      <c r="C150" s="240">
        <v>1</v>
      </c>
      <c r="D150" s="214">
        <f>'B) D RI'!AA151</f>
        <v>5208</v>
      </c>
      <c r="E150" s="215">
        <f>'B) D RI'!S151</f>
        <v>62.5</v>
      </c>
      <c r="F150" s="10">
        <f>'B) D RI'!R151</f>
        <v>16109551.32</v>
      </c>
      <c r="G150" s="10">
        <f>'B) D RI'!U151</f>
        <v>257752.82112000001</v>
      </c>
      <c r="H150" s="41">
        <f>'B) D RI'!T151</f>
        <v>14840285.5</v>
      </c>
      <c r="I150" s="10">
        <f t="shared" si="16"/>
        <v>474889.136</v>
      </c>
      <c r="J150" s="31">
        <f t="shared" si="13"/>
        <v>465825.91010030895</v>
      </c>
      <c r="K150" s="10">
        <f t="shared" si="14"/>
        <v>0</v>
      </c>
      <c r="L150" s="10">
        <f>'D) Ecrêtage'!C150</f>
        <v>257752.82112000001</v>
      </c>
      <c r="M150" s="10">
        <f t="shared" si="15"/>
        <v>300761.94880469376</v>
      </c>
      <c r="N150" s="55">
        <f t="shared" si="17"/>
        <v>300761.94880469376</v>
      </c>
      <c r="O150" s="216"/>
      <c r="P150" s="217"/>
      <c r="Q150" s="213"/>
      <c r="R150" s="213"/>
      <c r="S150" s="218"/>
    </row>
    <row r="151" spans="1:19" s="212" customFormat="1" x14ac:dyDescent="0.25">
      <c r="A151" s="302">
        <f>'A) Base RI'!A152</f>
        <v>5644</v>
      </c>
      <c r="B151" s="225" t="str">
        <f>'A) Base RI'!B152</f>
        <v>Reverolle</v>
      </c>
      <c r="C151" s="240">
        <v>0</v>
      </c>
      <c r="D151" s="214">
        <f>'B) D RI'!AA152</f>
        <v>403</v>
      </c>
      <c r="E151" s="215">
        <f>'B) D RI'!S152</f>
        <v>74</v>
      </c>
      <c r="F151" s="10">
        <f>'B) D RI'!R152</f>
        <v>1210895.8899999997</v>
      </c>
      <c r="G151" s="10">
        <f>'B) D RI'!U152</f>
        <v>16363.457972972968</v>
      </c>
      <c r="H151" s="41">
        <f>'B) D RI'!T152</f>
        <v>1125145.2399999998</v>
      </c>
      <c r="I151" s="10">
        <f t="shared" si="16"/>
        <v>30409.330810810803</v>
      </c>
      <c r="J151" s="31">
        <f t="shared" si="13"/>
        <v>36046.052567285813</v>
      </c>
      <c r="K151" s="10">
        <f t="shared" si="14"/>
        <v>30409.330810810803</v>
      </c>
      <c r="L151" s="10">
        <f>'D) Ecrêtage'!C151</f>
        <v>16363.457972972968</v>
      </c>
      <c r="M151" s="10">
        <f t="shared" si="15"/>
        <v>19093.895801993131</v>
      </c>
      <c r="N151" s="55">
        <f t="shared" si="17"/>
        <v>49503.226612803934</v>
      </c>
      <c r="O151" s="216"/>
      <c r="P151" s="217"/>
      <c r="Q151" s="213"/>
      <c r="R151" s="213"/>
      <c r="S151" s="218"/>
    </row>
    <row r="152" spans="1:19" s="212" customFormat="1" x14ac:dyDescent="0.25">
      <c r="A152" s="302">
        <f>'A) Base RI'!A153</f>
        <v>5645</v>
      </c>
      <c r="B152" s="225" t="str">
        <f>'A) Base RI'!B153</f>
        <v>Romanel-sur-Morges</v>
      </c>
      <c r="C152" s="240">
        <v>0</v>
      </c>
      <c r="D152" s="214">
        <f>'B) D RI'!AA153</f>
        <v>466</v>
      </c>
      <c r="E152" s="215">
        <f>'B) D RI'!S153</f>
        <v>56</v>
      </c>
      <c r="F152" s="10">
        <f>'B) D RI'!R153</f>
        <v>1488817.22</v>
      </c>
      <c r="G152" s="10">
        <f>'B) D RI'!U153</f>
        <v>26586.021785714285</v>
      </c>
      <c r="H152" s="41">
        <f>'B) D RI'!T153</f>
        <v>1304692.22</v>
      </c>
      <c r="I152" s="10">
        <f t="shared" si="16"/>
        <v>46596.150714285715</v>
      </c>
      <c r="J152" s="31">
        <f t="shared" si="13"/>
        <v>41681.043415273423</v>
      </c>
      <c r="K152" s="10">
        <f t="shared" si="14"/>
        <v>41681.043415273423</v>
      </c>
      <c r="L152" s="10">
        <f>'D) Ecrêtage'!C152</f>
        <v>26586.021785714285</v>
      </c>
      <c r="M152" s="10">
        <f t="shared" si="15"/>
        <v>31022.216123534909</v>
      </c>
      <c r="N152" s="55">
        <f t="shared" si="17"/>
        <v>72703.259538808328</v>
      </c>
      <c r="O152" s="216"/>
      <c r="P152" s="217"/>
      <c r="Q152" s="213"/>
      <c r="R152" s="213"/>
      <c r="S152" s="218"/>
    </row>
    <row r="153" spans="1:19" s="212" customFormat="1" x14ac:dyDescent="0.25">
      <c r="A153" s="302">
        <f>'A) Base RI'!A154</f>
        <v>5646</v>
      </c>
      <c r="B153" s="225" t="str">
        <f>'A) Base RI'!B154</f>
        <v>Saint-Prex</v>
      </c>
      <c r="C153" s="240">
        <v>1</v>
      </c>
      <c r="D153" s="214">
        <f>'B) D RI'!AA154</f>
        <v>5866</v>
      </c>
      <c r="E153" s="215">
        <f>'B) D RI'!S154</f>
        <v>59</v>
      </c>
      <c r="F153" s="10">
        <f>'B) D RI'!R154</f>
        <v>31150982.240000002</v>
      </c>
      <c r="G153" s="10">
        <f>'B) D RI'!U154</f>
        <v>527982.74983050849</v>
      </c>
      <c r="H153" s="41">
        <f>'B) D RI'!T154</f>
        <v>29308853.140000001</v>
      </c>
      <c r="I153" s="10">
        <f t="shared" si="16"/>
        <v>993520.44542372879</v>
      </c>
      <c r="J153" s="31">
        <f t="shared" si="13"/>
        <v>524680.25895706844</v>
      </c>
      <c r="K153" s="10">
        <f t="shared" si="14"/>
        <v>0</v>
      </c>
      <c r="L153" s="10">
        <f>'D) Ecrêtage'!C153</f>
        <v>527982.74983050849</v>
      </c>
      <c r="M153" s="10">
        <f t="shared" si="15"/>
        <v>616082.95918652578</v>
      </c>
      <c r="N153" s="55">
        <f t="shared" si="17"/>
        <v>616082.95918652578</v>
      </c>
      <c r="O153" s="216"/>
      <c r="P153" s="217"/>
      <c r="Q153" s="213"/>
      <c r="R153" s="213"/>
      <c r="S153" s="218"/>
    </row>
    <row r="154" spans="1:19" s="212" customFormat="1" x14ac:dyDescent="0.25">
      <c r="A154" s="302">
        <f>'A) Base RI'!A155</f>
        <v>5648</v>
      </c>
      <c r="B154" s="225" t="str">
        <f>'A) Base RI'!B155</f>
        <v>Saint-Sulpice</v>
      </c>
      <c r="C154" s="240">
        <v>1</v>
      </c>
      <c r="D154" s="214">
        <f>'B) D RI'!AA155</f>
        <v>4932</v>
      </c>
      <c r="E154" s="215">
        <f>'B) D RI'!S155</f>
        <v>55</v>
      </c>
      <c r="F154" s="10">
        <f>'B) D RI'!R155</f>
        <v>21693467.887499996</v>
      </c>
      <c r="G154" s="10">
        <f>'B) D RI'!U155</f>
        <v>394426.68886363629</v>
      </c>
      <c r="H154" s="41">
        <f>'B) D RI'!T155</f>
        <v>19751660.399999995</v>
      </c>
      <c r="I154" s="10">
        <f t="shared" si="16"/>
        <v>718242.19636363618</v>
      </c>
      <c r="J154" s="31">
        <f t="shared" si="13"/>
        <v>441139.28352817276</v>
      </c>
      <c r="K154" s="10">
        <f t="shared" si="14"/>
        <v>0</v>
      </c>
      <c r="L154" s="10">
        <f>'D) Ecrêtage'!C154</f>
        <v>394426.68886363629</v>
      </c>
      <c r="M154" s="10">
        <f t="shared" si="15"/>
        <v>460241.478978734</v>
      </c>
      <c r="N154" s="55">
        <f t="shared" si="17"/>
        <v>460241.478978734</v>
      </c>
      <c r="O154" s="216"/>
      <c r="P154" s="217"/>
      <c r="Q154" s="213"/>
      <c r="R154" s="213"/>
      <c r="S154" s="218"/>
    </row>
    <row r="155" spans="1:19" s="212" customFormat="1" x14ac:dyDescent="0.25">
      <c r="A155" s="302">
        <f>'A) Base RI'!A156</f>
        <v>5649</v>
      </c>
      <c r="B155" s="225" t="str">
        <f>'A) Base RI'!B156</f>
        <v>Tolochenaz</v>
      </c>
      <c r="C155" s="240">
        <v>1</v>
      </c>
      <c r="D155" s="214">
        <f>'B) D RI'!AA156</f>
        <v>1886</v>
      </c>
      <c r="E155" s="215">
        <f>'B) D RI'!S156</f>
        <v>64</v>
      </c>
      <c r="F155" s="10">
        <f>'B) D RI'!R156</f>
        <v>9969818.9899999984</v>
      </c>
      <c r="G155" s="10">
        <f>'B) D RI'!U156</f>
        <v>155778.42171874997</v>
      </c>
      <c r="H155" s="41">
        <f>'B) D RI'!T156</f>
        <v>9344357.4399999995</v>
      </c>
      <c r="I155" s="10">
        <f t="shared" si="16"/>
        <v>292011.17</v>
      </c>
      <c r="J155" s="31">
        <f t="shared" si="13"/>
        <v>168691.94824293064</v>
      </c>
      <c r="K155" s="10">
        <f t="shared" si="14"/>
        <v>0</v>
      </c>
      <c r="L155" s="10">
        <f>'D) Ecrêtage'!C155</f>
        <v>155778.42171874997</v>
      </c>
      <c r="M155" s="10">
        <f t="shared" si="15"/>
        <v>181771.90648880639</v>
      </c>
      <c r="N155" s="55">
        <f t="shared" si="17"/>
        <v>181771.90648880639</v>
      </c>
      <c r="O155" s="216"/>
      <c r="P155" s="217"/>
      <c r="Q155" s="213"/>
      <c r="R155" s="213"/>
      <c r="S155" s="218"/>
    </row>
    <row r="156" spans="1:19" s="212" customFormat="1" x14ac:dyDescent="0.25">
      <c r="A156" s="302">
        <f>'A) Base RI'!A157</f>
        <v>5650</v>
      </c>
      <c r="B156" s="225" t="str">
        <f>'A) Base RI'!B157</f>
        <v>Vaux-sur-Morges</v>
      </c>
      <c r="C156" s="240">
        <v>0</v>
      </c>
      <c r="D156" s="214">
        <f>'B) D RI'!AA157</f>
        <v>196</v>
      </c>
      <c r="E156" s="215">
        <f>'B) D RI'!S157</f>
        <v>56</v>
      </c>
      <c r="F156" s="10">
        <f>'B) D RI'!R157</f>
        <v>4655040.1199999992</v>
      </c>
      <c r="G156" s="10">
        <f>'B) D RI'!U157</f>
        <v>83125.71642857141</v>
      </c>
      <c r="H156" s="41">
        <f>'B) D RI'!T157</f>
        <v>4609188.1199999992</v>
      </c>
      <c r="I156" s="10">
        <f t="shared" si="16"/>
        <v>164613.8614285714</v>
      </c>
      <c r="J156" s="31">
        <f t="shared" si="13"/>
        <v>17531.08263818367</v>
      </c>
      <c r="K156" s="10">
        <f t="shared" si="14"/>
        <v>17531.08263818367</v>
      </c>
      <c r="L156" s="10">
        <f>'D) Ecrêtage'!C156</f>
        <v>83125.71642857141</v>
      </c>
      <c r="M156" s="10">
        <f t="shared" si="15"/>
        <v>96996.232127383541</v>
      </c>
      <c r="N156" s="55">
        <f t="shared" si="17"/>
        <v>114527.31476556721</v>
      </c>
      <c r="O156" s="216"/>
      <c r="P156" s="217"/>
      <c r="Q156" s="213"/>
      <c r="R156" s="213"/>
      <c r="S156" s="218"/>
    </row>
    <row r="157" spans="1:19" s="212" customFormat="1" x14ac:dyDescent="0.25">
      <c r="A157" s="302">
        <f>'A) Base RI'!A158</f>
        <v>5651</v>
      </c>
      <c r="B157" s="225" t="str">
        <f>'A) Base RI'!B158</f>
        <v>Villars-Sainte-Croix</v>
      </c>
      <c r="C157" s="240">
        <v>1</v>
      </c>
      <c r="D157" s="214">
        <f>'B) D RI'!AA158</f>
        <v>958</v>
      </c>
      <c r="E157" s="215">
        <f>'B) D RI'!S158</f>
        <v>60.5</v>
      </c>
      <c r="F157" s="10">
        <f>'B) D RI'!R158</f>
        <v>3490670.42</v>
      </c>
      <c r="G157" s="10">
        <f>'B) D RI'!U158</f>
        <v>57697.031735537188</v>
      </c>
      <c r="H157" s="41">
        <f>'B) D RI'!T158</f>
        <v>3080413.82</v>
      </c>
      <c r="I157" s="10">
        <f t="shared" si="16"/>
        <v>101831.86181818182</v>
      </c>
      <c r="J157" s="31">
        <f t="shared" si="13"/>
        <v>85687.638609081405</v>
      </c>
      <c r="K157" s="10">
        <f t="shared" si="14"/>
        <v>0</v>
      </c>
      <c r="L157" s="10">
        <f>'D) Ecrêtage'!C157</f>
        <v>57697.031735537188</v>
      </c>
      <c r="M157" s="10">
        <f t="shared" si="15"/>
        <v>67324.468572731901</v>
      </c>
      <c r="N157" s="55">
        <f t="shared" si="17"/>
        <v>67324.468572731901</v>
      </c>
      <c r="O157" s="216"/>
      <c r="P157" s="217"/>
      <c r="Q157" s="213"/>
      <c r="R157" s="213"/>
      <c r="S157" s="218"/>
    </row>
    <row r="158" spans="1:19" s="212" customFormat="1" x14ac:dyDescent="0.25">
      <c r="A158" s="302">
        <f>'A) Base RI'!A159</f>
        <v>5652</v>
      </c>
      <c r="B158" s="225" t="str">
        <f>'A) Base RI'!B159</f>
        <v>Villars-sous-Yens</v>
      </c>
      <c r="C158" s="240">
        <v>0</v>
      </c>
      <c r="D158" s="214">
        <f>'B) D RI'!AA159</f>
        <v>626</v>
      </c>
      <c r="E158" s="215">
        <f>'B) D RI'!S159</f>
        <v>76</v>
      </c>
      <c r="F158" s="10">
        <f>'B) D RI'!R159</f>
        <v>1968599.9433333329</v>
      </c>
      <c r="G158" s="10">
        <f>'B) D RI'!U159</f>
        <v>25902.630833333329</v>
      </c>
      <c r="H158" s="41">
        <f>'B) D RI'!T159</f>
        <v>1851029.7099999997</v>
      </c>
      <c r="I158" s="10">
        <f t="shared" si="16"/>
        <v>48711.308157894731</v>
      </c>
      <c r="J158" s="31">
        <f t="shared" si="13"/>
        <v>55992.13128317846</v>
      </c>
      <c r="K158" s="10">
        <f t="shared" si="14"/>
        <v>48711.308157894731</v>
      </c>
      <c r="L158" s="10">
        <f>'D) Ecrêtage'!C158</f>
        <v>25902.630833333329</v>
      </c>
      <c r="M158" s="10">
        <f t="shared" si="15"/>
        <v>30224.793252504911</v>
      </c>
      <c r="N158" s="55">
        <f t="shared" si="17"/>
        <v>78936.101410399642</v>
      </c>
      <c r="O158" s="216"/>
      <c r="P158" s="217"/>
      <c r="Q158" s="213"/>
      <c r="R158" s="213"/>
      <c r="S158" s="218"/>
    </row>
    <row r="159" spans="1:19" s="212" customFormat="1" x14ac:dyDescent="0.25">
      <c r="A159" s="302">
        <f>'A) Base RI'!A160</f>
        <v>5653</v>
      </c>
      <c r="B159" s="225" t="str">
        <f>'A) Base RI'!B160</f>
        <v>Vufflens-le-Château</v>
      </c>
      <c r="C159" s="240">
        <v>0</v>
      </c>
      <c r="D159" s="214">
        <f>'B) D RI'!AA160</f>
        <v>894</v>
      </c>
      <c r="E159" s="215">
        <f>'B) D RI'!S160</f>
        <v>58.5</v>
      </c>
      <c r="F159" s="10">
        <f>'B) D RI'!R160</f>
        <v>3948524.7399999993</v>
      </c>
      <c r="G159" s="10">
        <f>'B) D RI'!U160</f>
        <v>67496.149401709394</v>
      </c>
      <c r="H159" s="41">
        <f>'B) D RI'!T160</f>
        <v>3679495.7399999993</v>
      </c>
      <c r="I159" s="10">
        <f t="shared" si="16"/>
        <v>125794.72615384613</v>
      </c>
      <c r="J159" s="31">
        <f t="shared" si="13"/>
        <v>79963.203461919387</v>
      </c>
      <c r="K159" s="10">
        <f t="shared" si="14"/>
        <v>79963.203461919387</v>
      </c>
      <c r="L159" s="10">
        <f>'D) Ecrêtage'!C159</f>
        <v>67496.149401709394</v>
      </c>
      <c r="M159" s="10">
        <f t="shared" si="15"/>
        <v>78758.68571548957</v>
      </c>
      <c r="N159" s="55">
        <f t="shared" si="17"/>
        <v>158721.88917740894</v>
      </c>
      <c r="O159" s="216"/>
      <c r="P159" s="217"/>
      <c r="Q159" s="213"/>
      <c r="R159" s="213"/>
      <c r="S159" s="218"/>
    </row>
    <row r="160" spans="1:19" s="212" customFormat="1" x14ac:dyDescent="0.25">
      <c r="A160" s="302">
        <f>'A) Base RI'!A161</f>
        <v>5654</v>
      </c>
      <c r="B160" s="225" t="str">
        <f>'A) Base RI'!B161</f>
        <v>Vullierens</v>
      </c>
      <c r="C160" s="240">
        <v>0</v>
      </c>
      <c r="D160" s="214">
        <f>'B) D RI'!AA161</f>
        <v>560</v>
      </c>
      <c r="E160" s="215">
        <f>'B) D RI'!S161</f>
        <v>76</v>
      </c>
      <c r="F160" s="10">
        <f>'B) D RI'!R161</f>
        <v>1570592.6300000001</v>
      </c>
      <c r="G160" s="10">
        <f>'B) D RI'!U161</f>
        <v>20665.692500000001</v>
      </c>
      <c r="H160" s="41">
        <f>'B) D RI'!T161</f>
        <v>1456637.78</v>
      </c>
      <c r="I160" s="10">
        <f t="shared" si="16"/>
        <v>38332.573157894738</v>
      </c>
      <c r="J160" s="31">
        <f t="shared" si="13"/>
        <v>50088.807537667628</v>
      </c>
      <c r="K160" s="10">
        <f t="shared" si="14"/>
        <v>38332.573157894738</v>
      </c>
      <c r="L160" s="10">
        <f>'D) Ecrêtage'!C160</f>
        <v>20665.692500000001</v>
      </c>
      <c r="M160" s="10">
        <f t="shared" si="15"/>
        <v>24114.009393537784</v>
      </c>
      <c r="N160" s="55">
        <f t="shared" si="17"/>
        <v>62446.582551432526</v>
      </c>
      <c r="O160" s="216"/>
      <c r="P160" s="217"/>
      <c r="Q160" s="213"/>
      <c r="R160" s="213"/>
      <c r="S160" s="218"/>
    </row>
    <row r="161" spans="1:19" s="212" customFormat="1" x14ac:dyDescent="0.25">
      <c r="A161" s="302">
        <f>'A) Base RI'!A162</f>
        <v>5655</v>
      </c>
      <c r="B161" s="225" t="str">
        <f>'A) Base RI'!B162</f>
        <v>Yens</v>
      </c>
      <c r="C161" s="240">
        <v>0</v>
      </c>
      <c r="D161" s="214">
        <f>'B) D RI'!AA162</f>
        <v>1499</v>
      </c>
      <c r="E161" s="215">
        <f>'B) D RI'!S162</f>
        <v>71.5</v>
      </c>
      <c r="F161" s="10">
        <f>'B) D RI'!R162</f>
        <v>5252022.21</v>
      </c>
      <c r="G161" s="10">
        <f>'B) D RI'!U162</f>
        <v>73454.856083916078</v>
      </c>
      <c r="H161" s="41">
        <f>'B) D RI'!T162</f>
        <v>4810290.41</v>
      </c>
      <c r="I161" s="10">
        <f t="shared" si="16"/>
        <v>134553.5779020979</v>
      </c>
      <c r="J161" s="31">
        <f t="shared" si="13"/>
        <v>134077.00446243532</v>
      </c>
      <c r="K161" s="10">
        <f t="shared" si="14"/>
        <v>134077.00446243532</v>
      </c>
      <c r="L161" s="10">
        <f>'D) Ecrêtage'!C161</f>
        <v>73454.856083916078</v>
      </c>
      <c r="M161" s="10">
        <f t="shared" si="15"/>
        <v>85711.673567605743</v>
      </c>
      <c r="N161" s="55">
        <f t="shared" si="17"/>
        <v>219788.67803004105</v>
      </c>
      <c r="O161" s="216"/>
      <c r="P161" s="217"/>
      <c r="Q161" s="213"/>
      <c r="R161" s="213"/>
      <c r="S161" s="218"/>
    </row>
    <row r="162" spans="1:19" s="212" customFormat="1" x14ac:dyDescent="0.25">
      <c r="A162" s="302">
        <f>'A) Base RI'!A163</f>
        <v>5661</v>
      </c>
      <c r="B162" s="225" t="str">
        <f>'A) Base RI'!B163</f>
        <v>Boulens</v>
      </c>
      <c r="C162" s="240">
        <v>0</v>
      </c>
      <c r="D162" s="214">
        <f>'B) D RI'!AA163</f>
        <v>371</v>
      </c>
      <c r="E162" s="215">
        <f>'B) D RI'!S163</f>
        <v>71.5</v>
      </c>
      <c r="F162" s="10">
        <f>'B) D RI'!R163</f>
        <v>802701.11</v>
      </c>
      <c r="G162" s="10">
        <f>'B) D RI'!U163</f>
        <v>11226.588951048951</v>
      </c>
      <c r="H162" s="41">
        <f>'B) D RI'!T163</f>
        <v>741481.36</v>
      </c>
      <c r="I162" s="10">
        <f t="shared" si="16"/>
        <v>20740.737342657343</v>
      </c>
      <c r="J162" s="31">
        <f t="shared" si="13"/>
        <v>33183.834993704804</v>
      </c>
      <c r="K162" s="10">
        <f t="shared" si="14"/>
        <v>20740.737342657343</v>
      </c>
      <c r="L162" s="10">
        <f>'D) Ecrêtage'!C162</f>
        <v>11226.588951048951</v>
      </c>
      <c r="M162" s="10">
        <f t="shared" si="15"/>
        <v>13099.879010731525</v>
      </c>
      <c r="N162" s="55">
        <f t="shared" si="17"/>
        <v>33840.616353388868</v>
      </c>
      <c r="O162" s="216"/>
      <c r="P162" s="217"/>
      <c r="Q162" s="213"/>
      <c r="R162" s="213"/>
      <c r="S162" s="218"/>
    </row>
    <row r="163" spans="1:19" s="212" customFormat="1" x14ac:dyDescent="0.25">
      <c r="A163" s="302">
        <f>'A) Base RI'!A164</f>
        <v>5663</v>
      </c>
      <c r="B163" s="225" t="str">
        <f>'A) Base RI'!B164</f>
        <v>Bussy-sur-Moudon</v>
      </c>
      <c r="C163" s="240">
        <v>0</v>
      </c>
      <c r="D163" s="214">
        <f>'B) D RI'!AA164</f>
        <v>236</v>
      </c>
      <c r="E163" s="215">
        <f>'B) D RI'!S164</f>
        <v>78.5</v>
      </c>
      <c r="F163" s="10">
        <f>'B) D RI'!R164</f>
        <v>413198.52</v>
      </c>
      <c r="G163" s="10">
        <f>'B) D RI'!U164</f>
        <v>5263.6754140127387</v>
      </c>
      <c r="H163" s="41">
        <f>'B) D RI'!T164</f>
        <v>378922.27</v>
      </c>
      <c r="I163" s="10">
        <f t="shared" si="16"/>
        <v>9654.0705732484075</v>
      </c>
      <c r="J163" s="31">
        <f t="shared" si="13"/>
        <v>21108.85460515993</v>
      </c>
      <c r="K163" s="10">
        <f t="shared" si="14"/>
        <v>9654.0705732484075</v>
      </c>
      <c r="L163" s="10">
        <f>'D) Ecrêtage'!C163</f>
        <v>5263.6754140127387</v>
      </c>
      <c r="M163" s="10">
        <f t="shared" si="15"/>
        <v>6141.9823399596726</v>
      </c>
      <c r="N163" s="55">
        <f t="shared" si="17"/>
        <v>15796.052913208081</v>
      </c>
      <c r="O163" s="216"/>
      <c r="P163" s="217"/>
      <c r="Q163" s="213"/>
      <c r="R163" s="213"/>
      <c r="S163" s="218"/>
    </row>
    <row r="164" spans="1:19" s="212" customFormat="1" x14ac:dyDescent="0.25">
      <c r="A164" s="302">
        <f>'A) Base RI'!A165</f>
        <v>5665</v>
      </c>
      <c r="B164" s="225" t="str">
        <f>'A) Base RI'!B165</f>
        <v>Chavannes-sur-Moudon</v>
      </c>
      <c r="C164" s="240">
        <v>0</v>
      </c>
      <c r="D164" s="214">
        <f>'B) D RI'!AA165</f>
        <v>222</v>
      </c>
      <c r="E164" s="215">
        <f>'B) D RI'!S165</f>
        <v>70</v>
      </c>
      <c r="F164" s="10">
        <f>'B) D RI'!R165</f>
        <v>344460.8600000001</v>
      </c>
      <c r="G164" s="10">
        <f>'B) D RI'!U165</f>
        <v>4920.86942857143</v>
      </c>
      <c r="H164" s="41">
        <f>'B) D RI'!T165</f>
        <v>315850.96000000008</v>
      </c>
      <c r="I164" s="10">
        <f t="shared" si="16"/>
        <v>9024.3131428571451</v>
      </c>
      <c r="J164" s="31">
        <f t="shared" si="13"/>
        <v>19856.63441671824</v>
      </c>
      <c r="K164" s="10">
        <f t="shared" si="14"/>
        <v>9024.3131428571451</v>
      </c>
      <c r="L164" s="10">
        <f>'D) Ecrêtage'!C164</f>
        <v>4920.86942857143</v>
      </c>
      <c r="M164" s="10">
        <f t="shared" si="15"/>
        <v>5741.9750935007078</v>
      </c>
      <c r="N164" s="55">
        <f t="shared" si="17"/>
        <v>14766.288236357854</v>
      </c>
      <c r="O164" s="216"/>
      <c r="P164" s="217"/>
      <c r="Q164" s="213"/>
      <c r="R164" s="213"/>
      <c r="S164" s="218"/>
    </row>
    <row r="165" spans="1:19" s="212" customFormat="1" x14ac:dyDescent="0.25">
      <c r="A165" s="302">
        <f>'A) Base RI'!A166</f>
        <v>5669</v>
      </c>
      <c r="B165" s="225" t="str">
        <f>'A) Base RI'!B166</f>
        <v>Curtilles</v>
      </c>
      <c r="C165" s="240">
        <v>0</v>
      </c>
      <c r="D165" s="214">
        <f>'B) D RI'!AA166</f>
        <v>296</v>
      </c>
      <c r="E165" s="215">
        <f>'B) D RI'!S166</f>
        <v>73</v>
      </c>
      <c r="F165" s="10">
        <f>'B) D RI'!R166</f>
        <v>681701.55</v>
      </c>
      <c r="G165" s="10">
        <f>'B) D RI'!U166</f>
        <v>9338.3773972602739</v>
      </c>
      <c r="H165" s="41">
        <f>'B) D RI'!T166</f>
        <v>634497.25000000012</v>
      </c>
      <c r="I165" s="10">
        <f t="shared" si="16"/>
        <v>17383.486301369867</v>
      </c>
      <c r="J165" s="31">
        <f t="shared" si="13"/>
        <v>26475.512555624318</v>
      </c>
      <c r="K165" s="10">
        <f t="shared" si="14"/>
        <v>17383.486301369867</v>
      </c>
      <c r="L165" s="10">
        <f>'D) Ecrêtage'!C165</f>
        <v>9338.3773972602739</v>
      </c>
      <c r="M165" s="10">
        <f t="shared" si="15"/>
        <v>10896.596873196249</v>
      </c>
      <c r="N165" s="55">
        <f t="shared" si="17"/>
        <v>28280.083174566116</v>
      </c>
      <c r="O165" s="216"/>
      <c r="P165" s="217"/>
      <c r="Q165" s="213"/>
      <c r="R165" s="213"/>
      <c r="S165" s="218"/>
    </row>
    <row r="166" spans="1:19" s="212" customFormat="1" x14ac:dyDescent="0.25">
      <c r="A166" s="302">
        <f>'A) Base RI'!A167</f>
        <v>5671</v>
      </c>
      <c r="B166" s="225" t="str">
        <f>'A) Base RI'!B167</f>
        <v>Dompierre</v>
      </c>
      <c r="C166" s="240">
        <v>0</v>
      </c>
      <c r="D166" s="214">
        <f>'B) D RI'!AA167</f>
        <v>246</v>
      </c>
      <c r="E166" s="215">
        <f>'B) D RI'!S167</f>
        <v>78</v>
      </c>
      <c r="F166" s="10">
        <f>'B) D RI'!R167</f>
        <v>504190.31999999995</v>
      </c>
      <c r="G166" s="10">
        <f>'B) D RI'!U167</f>
        <v>6463.9784615384606</v>
      </c>
      <c r="H166" s="41">
        <f>'B) D RI'!T167</f>
        <v>467248.97</v>
      </c>
      <c r="I166" s="10">
        <f t="shared" si="16"/>
        <v>11980.74282051282</v>
      </c>
      <c r="J166" s="31">
        <f t="shared" si="13"/>
        <v>22003.297596903994</v>
      </c>
      <c r="K166" s="10">
        <f t="shared" si="14"/>
        <v>11980.74282051282</v>
      </c>
      <c r="L166" s="10">
        <f>'D) Ecrêtage'!C166</f>
        <v>6463.9784615384606</v>
      </c>
      <c r="M166" s="10">
        <f t="shared" si="15"/>
        <v>7542.5702449199007</v>
      </c>
      <c r="N166" s="55">
        <f t="shared" si="17"/>
        <v>19523.313065432721</v>
      </c>
      <c r="O166" s="216"/>
      <c r="P166" s="217"/>
      <c r="Q166" s="213"/>
      <c r="R166" s="213"/>
      <c r="S166" s="218"/>
    </row>
    <row r="167" spans="1:19" s="212" customFormat="1" x14ac:dyDescent="0.25">
      <c r="A167" s="302">
        <f>'A) Base RI'!A168</f>
        <v>5673</v>
      </c>
      <c r="B167" s="225" t="str">
        <f>'A) Base RI'!B168</f>
        <v>Hermenches</v>
      </c>
      <c r="C167" s="240">
        <v>0</v>
      </c>
      <c r="D167" s="214">
        <f>'B) D RI'!AA168</f>
        <v>371</v>
      </c>
      <c r="E167" s="215">
        <f>'B) D RI'!S168</f>
        <v>73.5</v>
      </c>
      <c r="F167" s="10">
        <f>'B) D RI'!R168</f>
        <v>751716.2</v>
      </c>
      <c r="G167" s="10">
        <f>'B) D RI'!U168</f>
        <v>10227.431292517007</v>
      </c>
      <c r="H167" s="41">
        <f>'B) D RI'!T168</f>
        <v>701359.95</v>
      </c>
      <c r="I167" s="10">
        <f t="shared" si="16"/>
        <v>19084.624489795919</v>
      </c>
      <c r="J167" s="31">
        <f t="shared" si="13"/>
        <v>33183.834993704804</v>
      </c>
      <c r="K167" s="10">
        <f t="shared" si="14"/>
        <v>19084.624489795919</v>
      </c>
      <c r="L167" s="10">
        <f>'D) Ecrêtage'!C167</f>
        <v>10227.431292517007</v>
      </c>
      <c r="M167" s="10">
        <f t="shared" si="15"/>
        <v>11933.999998283018</v>
      </c>
      <c r="N167" s="55">
        <f t="shared" si="17"/>
        <v>31018.624488078938</v>
      </c>
      <c r="O167" s="216"/>
      <c r="P167" s="217"/>
      <c r="Q167" s="213"/>
      <c r="R167" s="213"/>
      <c r="S167" s="218"/>
    </row>
    <row r="168" spans="1:19" s="212" customFormat="1" x14ac:dyDescent="0.25">
      <c r="A168" s="302">
        <f>'A) Base RI'!A169</f>
        <v>5674</v>
      </c>
      <c r="B168" s="225" t="str">
        <f>'A) Base RI'!B169</f>
        <v>Lovatens</v>
      </c>
      <c r="C168" s="240">
        <v>0</v>
      </c>
      <c r="D168" s="214">
        <f>'B) D RI'!AA169</f>
        <v>146</v>
      </c>
      <c r="E168" s="215">
        <f>'B) D RI'!S169</f>
        <v>75</v>
      </c>
      <c r="F168" s="10">
        <f>'B) D RI'!R169</f>
        <v>316295.36</v>
      </c>
      <c r="G168" s="10">
        <f>'B) D RI'!U169</f>
        <v>4217.2714666666661</v>
      </c>
      <c r="H168" s="41">
        <f>'B) D RI'!T169</f>
        <v>290622.76</v>
      </c>
      <c r="I168" s="10">
        <f t="shared" si="16"/>
        <v>7749.9402666666665</v>
      </c>
      <c r="J168" s="31">
        <f t="shared" si="13"/>
        <v>13058.867679463347</v>
      </c>
      <c r="K168" s="10">
        <f t="shared" si="14"/>
        <v>7749.9402666666665</v>
      </c>
      <c r="L168" s="10">
        <f>'D) Ecrêtage'!C168</f>
        <v>4217.2714666666661</v>
      </c>
      <c r="M168" s="10">
        <f t="shared" si="15"/>
        <v>4920.9734327702236</v>
      </c>
      <c r="N168" s="55">
        <f t="shared" si="17"/>
        <v>12670.913699436889</v>
      </c>
      <c r="O168" s="216"/>
      <c r="P168" s="217"/>
      <c r="Q168" s="213"/>
      <c r="R168" s="213"/>
      <c r="S168" s="218"/>
    </row>
    <row r="169" spans="1:19" s="212" customFormat="1" x14ac:dyDescent="0.25">
      <c r="A169" s="302">
        <f>'A) Base RI'!A170</f>
        <v>5675</v>
      </c>
      <c r="B169" s="225" t="str">
        <f>'A) Base RI'!B170</f>
        <v>Lucens</v>
      </c>
      <c r="C169" s="240">
        <v>0</v>
      </c>
      <c r="D169" s="214">
        <f>'B) D RI'!AA170</f>
        <v>4373</v>
      </c>
      <c r="E169" s="215">
        <f>'B) D RI'!S170</f>
        <v>67.5</v>
      </c>
      <c r="F169" s="10">
        <f>'B) D RI'!R170</f>
        <v>7099014.2963636369</v>
      </c>
      <c r="G169" s="10">
        <f>'B) D RI'!U170</f>
        <v>105170.58216835017</v>
      </c>
      <c r="H169" s="41">
        <f>'B) D RI'!T170</f>
        <v>6364295.1100000003</v>
      </c>
      <c r="I169" s="10">
        <f t="shared" ref="I169" si="18">+H169/E169*$I$5</f>
        <v>188571.70696296298</v>
      </c>
      <c r="J169" s="31">
        <f t="shared" ref="J169" si="19">+$I$314/$D$314*D169</f>
        <v>391139.92028967955</v>
      </c>
      <c r="K169" s="10">
        <f t="shared" ref="K169" si="20">IF(C169=1,0,IF(J169&gt;I169,I169,J169))</f>
        <v>188571.70696296298</v>
      </c>
      <c r="L169" s="10">
        <f>'D) Ecrêtage'!C169</f>
        <v>105170.58216835017</v>
      </c>
      <c r="M169" s="10">
        <f t="shared" ref="M169" si="21">+$M$5*L169</f>
        <v>122719.54623980945</v>
      </c>
      <c r="N169" s="55">
        <f t="shared" si="17"/>
        <v>311291.25320277247</v>
      </c>
      <c r="O169" s="216"/>
      <c r="P169" s="217"/>
      <c r="Q169" s="213"/>
      <c r="R169" s="213"/>
      <c r="S169" s="218"/>
    </row>
    <row r="170" spans="1:19" s="212" customFormat="1" x14ac:dyDescent="0.25">
      <c r="A170" s="302">
        <f>'A) Base RI'!A171</f>
        <v>5678</v>
      </c>
      <c r="B170" s="225" t="str">
        <f>'A) Base RI'!B171</f>
        <v>Moudon</v>
      </c>
      <c r="C170" s="240">
        <v>0</v>
      </c>
      <c r="D170" s="214">
        <f>'B) D RI'!AA171</f>
        <v>6120</v>
      </c>
      <c r="E170" s="215">
        <f>'B) D RI'!S171</f>
        <v>72.5</v>
      </c>
      <c r="F170" s="10">
        <f>'B) D RI'!R171</f>
        <v>9050671.7699999996</v>
      </c>
      <c r="G170" s="10">
        <f>'B) D RI'!U171</f>
        <v>124836.852</v>
      </c>
      <c r="H170" s="41">
        <f>'B) D RI'!T171</f>
        <v>8099444.8200000003</v>
      </c>
      <c r="I170" s="10">
        <f t="shared" si="16"/>
        <v>223432.96055172416</v>
      </c>
      <c r="J170" s="31">
        <f t="shared" ref="J170:J217" si="22">+$I$314/$D$314*D170</f>
        <v>547399.11094736762</v>
      </c>
      <c r="K170" s="10">
        <f t="shared" si="14"/>
        <v>223432.96055172416</v>
      </c>
      <c r="L170" s="10">
        <f>'D) Ecrêtage'!C170</f>
        <v>124836.852</v>
      </c>
      <c r="M170" s="10">
        <f t="shared" si="15"/>
        <v>145667.36739103642</v>
      </c>
      <c r="N170" s="55">
        <f t="shared" si="17"/>
        <v>369100.32794276054</v>
      </c>
      <c r="O170" s="216"/>
      <c r="P170" s="217"/>
      <c r="Q170" s="213"/>
      <c r="R170" s="213"/>
      <c r="S170" s="218"/>
    </row>
    <row r="171" spans="1:19" s="212" customFormat="1" x14ac:dyDescent="0.25">
      <c r="A171" s="302">
        <f>'A) Base RI'!A172</f>
        <v>5680</v>
      </c>
      <c r="B171" s="225" t="str">
        <f>'A) Base RI'!B172</f>
        <v>Ogens</v>
      </c>
      <c r="C171" s="240">
        <v>0</v>
      </c>
      <c r="D171" s="214">
        <f>'B) D RI'!AA172</f>
        <v>321</v>
      </c>
      <c r="E171" s="215">
        <f>'B) D RI'!S172</f>
        <v>78</v>
      </c>
      <c r="F171" s="10">
        <f>'B) D RI'!R172</f>
        <v>663120.05666666676</v>
      </c>
      <c r="G171" s="10">
        <f>'B) D RI'!U172</f>
        <v>8501.5391880341886</v>
      </c>
      <c r="H171" s="41">
        <f>'B) D RI'!T172</f>
        <v>611476.69000000006</v>
      </c>
      <c r="I171" s="10">
        <f t="shared" si="16"/>
        <v>15678.889487179489</v>
      </c>
      <c r="J171" s="31">
        <f t="shared" si="22"/>
        <v>28711.62003498448</v>
      </c>
      <c r="K171" s="10">
        <f t="shared" si="14"/>
        <v>15678.889487179489</v>
      </c>
      <c r="L171" s="10">
        <f>'D) Ecrêtage'!C171</f>
        <v>8501.5391880341886</v>
      </c>
      <c r="M171" s="10">
        <f t="shared" si="15"/>
        <v>9920.1222431711885</v>
      </c>
      <c r="N171" s="55">
        <f t="shared" si="17"/>
        <v>25599.011730350678</v>
      </c>
      <c r="O171" s="216"/>
      <c r="P171" s="217"/>
      <c r="Q171" s="213"/>
      <c r="R171" s="213"/>
      <c r="S171" s="218"/>
    </row>
    <row r="172" spans="1:19" s="212" customFormat="1" x14ac:dyDescent="0.25">
      <c r="A172" s="302">
        <f>'A) Base RI'!A173</f>
        <v>5683</v>
      </c>
      <c r="B172" s="225" t="str">
        <f>'A) Base RI'!B173</f>
        <v>Prévonloup</v>
      </c>
      <c r="C172" s="240">
        <v>0</v>
      </c>
      <c r="D172" s="214">
        <f>'B) D RI'!AA173</f>
        <v>215</v>
      </c>
      <c r="E172" s="215">
        <f>'B) D RI'!S173</f>
        <v>72.5</v>
      </c>
      <c r="F172" s="10">
        <f>'B) D RI'!R173</f>
        <v>390516.89999999997</v>
      </c>
      <c r="G172" s="10">
        <f>'B) D RI'!U173</f>
        <v>5386.44</v>
      </c>
      <c r="H172" s="41">
        <f>'B) D RI'!T173</f>
        <v>359191.64999999997</v>
      </c>
      <c r="I172" s="10">
        <f t="shared" si="16"/>
        <v>9908.7351724137916</v>
      </c>
      <c r="J172" s="31">
        <f t="shared" si="22"/>
        <v>19230.524322497393</v>
      </c>
      <c r="K172" s="10">
        <f t="shared" si="14"/>
        <v>9908.7351724137916</v>
      </c>
      <c r="L172" s="10">
        <f>'D) Ecrêtage'!C172</f>
        <v>5386.44</v>
      </c>
      <c r="M172" s="10">
        <f t="shared" si="15"/>
        <v>6285.2316590759128</v>
      </c>
      <c r="N172" s="55">
        <f t="shared" si="17"/>
        <v>16193.966831489704</v>
      </c>
      <c r="O172" s="216"/>
      <c r="P172" s="217"/>
      <c r="Q172" s="213"/>
      <c r="R172" s="213"/>
      <c r="S172" s="218"/>
    </row>
    <row r="173" spans="1:19" s="212" customFormat="1" x14ac:dyDescent="0.25">
      <c r="A173" s="302">
        <f>'A) Base RI'!A174</f>
        <v>5684</v>
      </c>
      <c r="B173" s="225" t="str">
        <f>'A) Base RI'!B174</f>
        <v>Rossenges</v>
      </c>
      <c r="C173" s="240">
        <v>0</v>
      </c>
      <c r="D173" s="214">
        <f>'B) D RI'!AA174</f>
        <v>93</v>
      </c>
      <c r="E173" s="215">
        <f>'B) D RI'!S174</f>
        <v>75</v>
      </c>
      <c r="F173" s="10">
        <f>'B) D RI'!R174</f>
        <v>244011.125</v>
      </c>
      <c r="G173" s="10">
        <f>'B) D RI'!U174</f>
        <v>3253.4816666666666</v>
      </c>
      <c r="H173" s="41">
        <f>'B) D RI'!T174</f>
        <v>235933.75</v>
      </c>
      <c r="I173" s="10">
        <f t="shared" si="16"/>
        <v>6291.5666666666666</v>
      </c>
      <c r="J173" s="31">
        <f t="shared" si="22"/>
        <v>8318.3198232198029</v>
      </c>
      <c r="K173" s="10">
        <f t="shared" si="14"/>
        <v>6291.5666666666666</v>
      </c>
      <c r="L173" s="10">
        <f>'D) Ecrêtage'!C173</f>
        <v>3253.4816666666666</v>
      </c>
      <c r="M173" s="10">
        <f t="shared" si="15"/>
        <v>3796.3638272321609</v>
      </c>
      <c r="N173" s="55">
        <f t="shared" si="17"/>
        <v>10087.930493898828</v>
      </c>
      <c r="O173" s="216"/>
      <c r="P173" s="217"/>
      <c r="Q173" s="213"/>
      <c r="R173" s="213"/>
      <c r="S173" s="218"/>
    </row>
    <row r="174" spans="1:19" s="212" customFormat="1" x14ac:dyDescent="0.25">
      <c r="A174" s="302">
        <f>'A) Base RI'!A175</f>
        <v>5688</v>
      </c>
      <c r="B174" s="225" t="str">
        <f>'A) Base RI'!B175</f>
        <v>Syens</v>
      </c>
      <c r="C174" s="240">
        <v>0</v>
      </c>
      <c r="D174" s="214">
        <f>'B) D RI'!AA175</f>
        <v>161</v>
      </c>
      <c r="E174" s="215">
        <f>'B) D RI'!S175</f>
        <v>65</v>
      </c>
      <c r="F174" s="10">
        <f>'B) D RI'!R175</f>
        <v>405968.3</v>
      </c>
      <c r="G174" s="10">
        <f>'B) D RI'!U175</f>
        <v>6245.666153846154</v>
      </c>
      <c r="H174" s="41">
        <f>'B) D RI'!T175</f>
        <v>381158.3</v>
      </c>
      <c r="I174" s="10">
        <f t="shared" si="16"/>
        <v>11727.947692307693</v>
      </c>
      <c r="J174" s="31">
        <f t="shared" si="22"/>
        <v>14400.532167079444</v>
      </c>
      <c r="K174" s="10">
        <f t="shared" si="14"/>
        <v>11727.947692307693</v>
      </c>
      <c r="L174" s="10">
        <f>'D) Ecrêtage'!C174</f>
        <v>6245.666153846154</v>
      </c>
      <c r="M174" s="10">
        <f t="shared" si="15"/>
        <v>7287.8299288904627</v>
      </c>
      <c r="N174" s="55">
        <f t="shared" si="17"/>
        <v>19015.777621198155</v>
      </c>
      <c r="O174" s="216"/>
      <c r="P174" s="217"/>
      <c r="Q174" s="213"/>
      <c r="R174" s="213"/>
      <c r="S174" s="218"/>
    </row>
    <row r="175" spans="1:19" s="212" customFormat="1" x14ac:dyDescent="0.25">
      <c r="A175" s="302">
        <f>'A) Base RI'!A176</f>
        <v>5690</v>
      </c>
      <c r="B175" s="225" t="str">
        <f>'A) Base RI'!B176</f>
        <v>Villars-le-Comte</v>
      </c>
      <c r="C175" s="240">
        <v>0</v>
      </c>
      <c r="D175" s="214">
        <f>'B) D RI'!AA176</f>
        <v>133</v>
      </c>
      <c r="E175" s="215">
        <f>'B) D RI'!S176</f>
        <v>70</v>
      </c>
      <c r="F175" s="10">
        <f>'B) D RI'!R176</f>
        <v>245702.50666666665</v>
      </c>
      <c r="G175" s="10">
        <f>'B) D RI'!U176</f>
        <v>3510.0358095238093</v>
      </c>
      <c r="H175" s="41">
        <f>'B) D RI'!T176</f>
        <v>223814.49</v>
      </c>
      <c r="I175" s="10">
        <f t="shared" si="16"/>
        <v>6394.6997142857144</v>
      </c>
      <c r="J175" s="31">
        <f t="shared" si="22"/>
        <v>11896.091790196062</v>
      </c>
      <c r="K175" s="10">
        <f t="shared" si="14"/>
        <v>6394.6997142857144</v>
      </c>
      <c r="L175" s="10">
        <f>'D) Ecrêtage'!C175</f>
        <v>3510.0358095238093</v>
      </c>
      <c r="M175" s="10">
        <f t="shared" si="15"/>
        <v>4095.727084031234</v>
      </c>
      <c r="N175" s="55">
        <f t="shared" si="17"/>
        <v>10490.426798316948</v>
      </c>
      <c r="O175" s="216"/>
      <c r="P175" s="217"/>
      <c r="Q175" s="213"/>
      <c r="R175" s="213"/>
      <c r="S175" s="218"/>
    </row>
    <row r="176" spans="1:19" s="212" customFormat="1" x14ac:dyDescent="0.25">
      <c r="A176" s="302">
        <f>'A) Base RI'!A177</f>
        <v>5692</v>
      </c>
      <c r="B176" s="225" t="str">
        <f>'A) Base RI'!B177</f>
        <v>Vucherens</v>
      </c>
      <c r="C176" s="240">
        <v>0</v>
      </c>
      <c r="D176" s="214">
        <f>'B) D RI'!AA177</f>
        <v>623</v>
      </c>
      <c r="E176" s="215">
        <f>'B) D RI'!S177</f>
        <v>77</v>
      </c>
      <c r="F176" s="10">
        <f>'B) D RI'!R177</f>
        <v>1447075.5599999998</v>
      </c>
      <c r="G176" s="10">
        <f>'B) D RI'!U177</f>
        <v>18793.189090909087</v>
      </c>
      <c r="H176" s="41">
        <f>'B) D RI'!T177</f>
        <v>1345466.21</v>
      </c>
      <c r="I176" s="10">
        <f t="shared" si="16"/>
        <v>34947.174285714282</v>
      </c>
      <c r="J176" s="31">
        <f t="shared" si="22"/>
        <v>55723.798385655238</v>
      </c>
      <c r="K176" s="10">
        <f t="shared" si="14"/>
        <v>34947.174285714282</v>
      </c>
      <c r="L176" s="10">
        <f>'D) Ecrêtage'!C176</f>
        <v>18793.189090909087</v>
      </c>
      <c r="M176" s="10">
        <f t="shared" si="15"/>
        <v>21929.056491705447</v>
      </c>
      <c r="N176" s="55">
        <f t="shared" si="17"/>
        <v>56876.230777419725</v>
      </c>
      <c r="O176" s="216"/>
      <c r="P176" s="217"/>
      <c r="Q176" s="213"/>
      <c r="R176" s="213"/>
      <c r="S176" s="218"/>
    </row>
    <row r="177" spans="1:19" s="212" customFormat="1" x14ac:dyDescent="0.25">
      <c r="A177" s="302">
        <f>'A) Base RI'!A178</f>
        <v>5693</v>
      </c>
      <c r="B177" s="225" t="str">
        <f>'A) Base RI'!B178</f>
        <v>Montanaire</v>
      </c>
      <c r="C177" s="240">
        <v>0</v>
      </c>
      <c r="D177" s="214">
        <f>'B) D RI'!AA178</f>
        <v>2768</v>
      </c>
      <c r="E177" s="215">
        <f>'B) D RI'!S178</f>
        <v>70</v>
      </c>
      <c r="F177" s="10">
        <f>'B) D RI'!R178</f>
        <v>5298311.3500000006</v>
      </c>
      <c r="G177" s="10">
        <f>'B) D RI'!U178</f>
        <v>75690.162142857153</v>
      </c>
      <c r="H177" s="41">
        <f>'B) D RI'!T178</f>
        <v>4859634.6000000006</v>
      </c>
      <c r="I177" s="10">
        <f t="shared" si="16"/>
        <v>138846.70285714287</v>
      </c>
      <c r="J177" s="31">
        <f t="shared" si="22"/>
        <v>247581.82011475714</v>
      </c>
      <c r="K177" s="10">
        <f t="shared" si="14"/>
        <v>138846.70285714287</v>
      </c>
      <c r="L177" s="10">
        <f>'D) Ecrêtage'!C177</f>
        <v>75690.162142857153</v>
      </c>
      <c r="M177" s="10">
        <f t="shared" si="15"/>
        <v>88319.967061895237</v>
      </c>
      <c r="N177" s="55">
        <f t="shared" si="17"/>
        <v>227166.6699190381</v>
      </c>
      <c r="O177" s="216"/>
      <c r="P177" s="217"/>
      <c r="Q177" s="213"/>
      <c r="R177" s="213"/>
      <c r="S177" s="218"/>
    </row>
    <row r="178" spans="1:19" s="212" customFormat="1" x14ac:dyDescent="0.25">
      <c r="A178" s="302">
        <f>'A) Base RI'!A179</f>
        <v>5701</v>
      </c>
      <c r="B178" s="225" t="str">
        <f>'A) Base RI'!B179</f>
        <v>Arnex-sur-Nyon</v>
      </c>
      <c r="C178" s="240">
        <v>0</v>
      </c>
      <c r="D178" s="214">
        <f>'B) D RI'!AA179</f>
        <v>226</v>
      </c>
      <c r="E178" s="215">
        <f>'B) D RI'!S179</f>
        <v>70</v>
      </c>
      <c r="F178" s="10">
        <f>'B) D RI'!R179</f>
        <v>1014210.04</v>
      </c>
      <c r="G178" s="10">
        <f>'B) D RI'!U179</f>
        <v>14488.714857142857</v>
      </c>
      <c r="H178" s="41">
        <f>'B) D RI'!T179</f>
        <v>940235.19000000006</v>
      </c>
      <c r="I178" s="10">
        <f t="shared" si="16"/>
        <v>26863.862571428574</v>
      </c>
      <c r="J178" s="31">
        <f t="shared" si="22"/>
        <v>20214.411613415865</v>
      </c>
      <c r="K178" s="10">
        <f t="shared" si="14"/>
        <v>20214.411613415865</v>
      </c>
      <c r="L178" s="10">
        <f>'D) Ecrêtage'!C178</f>
        <v>14488.714857142857</v>
      </c>
      <c r="M178" s="10">
        <f t="shared" si="15"/>
        <v>16906.329471680336</v>
      </c>
      <c r="N178" s="55">
        <f t="shared" si="17"/>
        <v>37120.741085096204</v>
      </c>
      <c r="O178" s="216"/>
      <c r="P178" s="217"/>
      <c r="Q178" s="213"/>
      <c r="R178" s="213"/>
      <c r="S178" s="218"/>
    </row>
    <row r="179" spans="1:19" s="212" customFormat="1" x14ac:dyDescent="0.25">
      <c r="A179" s="302">
        <f>'A) Base RI'!A180</f>
        <v>5702</v>
      </c>
      <c r="B179" s="225" t="str">
        <f>'A) Base RI'!B180</f>
        <v>Arzier-Le Muids</v>
      </c>
      <c r="C179" s="240">
        <v>0</v>
      </c>
      <c r="D179" s="214">
        <f>'B) D RI'!AA180</f>
        <v>2947</v>
      </c>
      <c r="E179" s="215">
        <f>'B) D RI'!S180</f>
        <v>64</v>
      </c>
      <c r="F179" s="10">
        <f>'B) D RI'!R180</f>
        <v>11191229.603333337</v>
      </c>
      <c r="G179" s="10">
        <f>'B) D RI'!U180</f>
        <v>174862.96255208339</v>
      </c>
      <c r="H179" s="41">
        <f>'B) D RI'!T180</f>
        <v>10347320.020000003</v>
      </c>
      <c r="I179" s="10">
        <f t="shared" si="16"/>
        <v>323353.7506250001</v>
      </c>
      <c r="J179" s="31">
        <f t="shared" si="22"/>
        <v>263592.3496669759</v>
      </c>
      <c r="K179" s="10">
        <f t="shared" si="14"/>
        <v>263592.3496669759</v>
      </c>
      <c r="L179" s="10">
        <f>'D) Ecrêtage'!C179</f>
        <v>174862.96255208339</v>
      </c>
      <c r="M179" s="10">
        <f t="shared" si="15"/>
        <v>204040.93023075731</v>
      </c>
      <c r="N179" s="55">
        <f t="shared" si="17"/>
        <v>467633.27989773324</v>
      </c>
      <c r="O179" s="216"/>
      <c r="P179" s="217"/>
      <c r="Q179" s="213"/>
      <c r="R179" s="213"/>
      <c r="S179" s="218"/>
    </row>
    <row r="180" spans="1:19" s="212" customFormat="1" x14ac:dyDescent="0.25">
      <c r="A180" s="302">
        <f>'A) Base RI'!A181</f>
        <v>5703</v>
      </c>
      <c r="B180" s="225" t="str">
        <f>'A) Base RI'!B181</f>
        <v>Bassins</v>
      </c>
      <c r="C180" s="240">
        <v>0</v>
      </c>
      <c r="D180" s="214">
        <f>'B) D RI'!AA181</f>
        <v>1487</v>
      </c>
      <c r="E180" s="215">
        <f>'B) D RI'!S181</f>
        <v>72.5</v>
      </c>
      <c r="F180" s="10">
        <f>'B) D RI'!R181</f>
        <v>4843017.9671428567</v>
      </c>
      <c r="G180" s="10">
        <f>'B) D RI'!U181</f>
        <v>66800.247822660094</v>
      </c>
      <c r="H180" s="41">
        <f>'B) D RI'!T181</f>
        <v>4503278.6099999994</v>
      </c>
      <c r="I180" s="10">
        <f t="shared" si="16"/>
        <v>124228.37544827585</v>
      </c>
      <c r="J180" s="31">
        <f t="shared" si="22"/>
        <v>133003.67287234243</v>
      </c>
      <c r="K180" s="10">
        <f t="shared" si="14"/>
        <v>124228.37544827585</v>
      </c>
      <c r="L180" s="10">
        <f>'D) Ecrêtage'!C180</f>
        <v>66800.247822660094</v>
      </c>
      <c r="M180" s="10">
        <f t="shared" si="15"/>
        <v>77946.664670747297</v>
      </c>
      <c r="N180" s="55">
        <f t="shared" si="17"/>
        <v>202175.04011902315</v>
      </c>
      <c r="O180" s="216"/>
      <c r="P180" s="217"/>
      <c r="Q180" s="213"/>
      <c r="R180" s="213"/>
      <c r="S180" s="218"/>
    </row>
    <row r="181" spans="1:19" s="212" customFormat="1" x14ac:dyDescent="0.25">
      <c r="A181" s="302">
        <f>'A) Base RI'!A182</f>
        <v>5704</v>
      </c>
      <c r="B181" s="225" t="str">
        <f>'A) Base RI'!B182</f>
        <v>Begnins</v>
      </c>
      <c r="C181" s="240">
        <v>0</v>
      </c>
      <c r="D181" s="214">
        <f>'B) D RI'!AA182</f>
        <v>1941</v>
      </c>
      <c r="E181" s="215">
        <f>'B) D RI'!S182</f>
        <v>62.5</v>
      </c>
      <c r="F181" s="10">
        <f>'B) D RI'!R182</f>
        <v>12646459.600000001</v>
      </c>
      <c r="G181" s="10">
        <f>'B) D RI'!U182</f>
        <v>202343.35360000003</v>
      </c>
      <c r="H181" s="41">
        <f>'B) D RI'!T182</f>
        <v>12101529.65</v>
      </c>
      <c r="I181" s="10">
        <f t="shared" si="16"/>
        <v>387248.94880000001</v>
      </c>
      <c r="J181" s="31">
        <f t="shared" si="22"/>
        <v>173611.38469752297</v>
      </c>
      <c r="K181" s="10">
        <f t="shared" si="14"/>
        <v>173611.38469752297</v>
      </c>
      <c r="L181" s="10">
        <f>'D) Ecrêtage'!C181</f>
        <v>202343.35360000003</v>
      </c>
      <c r="M181" s="10">
        <f t="shared" si="15"/>
        <v>236106.75177859818</v>
      </c>
      <c r="N181" s="55">
        <f t="shared" si="17"/>
        <v>409718.13647612114</v>
      </c>
      <c r="O181" s="216"/>
      <c r="P181" s="217"/>
      <c r="Q181" s="213"/>
      <c r="R181" s="213"/>
      <c r="S181" s="218"/>
    </row>
    <row r="182" spans="1:19" s="212" customFormat="1" x14ac:dyDescent="0.25">
      <c r="A182" s="302">
        <f>'A) Base RI'!A183</f>
        <v>5705</v>
      </c>
      <c r="B182" s="225" t="str">
        <f>'A) Base RI'!B183</f>
        <v>Bogis-Bossey</v>
      </c>
      <c r="C182" s="240">
        <v>0</v>
      </c>
      <c r="D182" s="214">
        <f>'B) D RI'!AA183</f>
        <v>888</v>
      </c>
      <c r="E182" s="215">
        <f>'B) D RI'!S183</f>
        <v>74.5</v>
      </c>
      <c r="F182" s="10">
        <f>'B) D RI'!R183</f>
        <v>3870523.71</v>
      </c>
      <c r="G182" s="10">
        <f>'B) D RI'!U183</f>
        <v>51953.338389261742</v>
      </c>
      <c r="H182" s="41">
        <f>'B) D RI'!T183</f>
        <v>3627996.96</v>
      </c>
      <c r="I182" s="10">
        <f t="shared" si="16"/>
        <v>97395.891543624166</v>
      </c>
      <c r="J182" s="31">
        <f t="shared" si="22"/>
        <v>79426.537666872959</v>
      </c>
      <c r="K182" s="10">
        <f t="shared" si="14"/>
        <v>79426.537666872959</v>
      </c>
      <c r="L182" s="10">
        <f>'D) Ecrêtage'!C182</f>
        <v>51953.338389261742</v>
      </c>
      <c r="M182" s="10">
        <f t="shared" si="15"/>
        <v>60622.371592159558</v>
      </c>
      <c r="N182" s="55">
        <f t="shared" si="17"/>
        <v>140048.90925903252</v>
      </c>
      <c r="O182" s="216"/>
      <c r="P182" s="217"/>
      <c r="Q182" s="213"/>
      <c r="R182" s="213"/>
      <c r="S182" s="218"/>
    </row>
    <row r="183" spans="1:19" s="212" customFormat="1" x14ac:dyDescent="0.25">
      <c r="A183" s="302">
        <f>'A) Base RI'!A184</f>
        <v>5706</v>
      </c>
      <c r="B183" s="225" t="str">
        <f>'A) Base RI'!B184</f>
        <v>Borex</v>
      </c>
      <c r="C183" s="240">
        <v>0</v>
      </c>
      <c r="D183" s="214">
        <f>'B) D RI'!AA184</f>
        <v>1165</v>
      </c>
      <c r="E183" s="215">
        <f>'B) D RI'!S184</f>
        <v>57</v>
      </c>
      <c r="F183" s="10">
        <f>'B) D RI'!R184</f>
        <v>4058855.7700000005</v>
      </c>
      <c r="G183" s="10">
        <f>'B) D RI'!U184</f>
        <v>71207.99596491229</v>
      </c>
      <c r="H183" s="41">
        <f>'B) D RI'!T184</f>
        <v>3758143.7700000005</v>
      </c>
      <c r="I183" s="10">
        <f t="shared" si="16"/>
        <v>131864.69368421054</v>
      </c>
      <c r="J183" s="31">
        <f t="shared" si="22"/>
        <v>104202.60853818354</v>
      </c>
      <c r="K183" s="10">
        <f t="shared" si="14"/>
        <v>104202.60853818354</v>
      </c>
      <c r="L183" s="10">
        <f>'D) Ecrêtage'!C183</f>
        <v>71207.99596491229</v>
      </c>
      <c r="M183" s="10">
        <f t="shared" si="15"/>
        <v>83089.898080739164</v>
      </c>
      <c r="N183" s="55">
        <f t="shared" si="17"/>
        <v>187292.50661892269</v>
      </c>
      <c r="O183" s="216"/>
      <c r="P183" s="217"/>
      <c r="Q183" s="213"/>
      <c r="R183" s="213"/>
      <c r="S183" s="218"/>
    </row>
    <row r="184" spans="1:19" s="212" customFormat="1" x14ac:dyDescent="0.25">
      <c r="A184" s="302">
        <f>'A) Base RI'!A185</f>
        <v>5707</v>
      </c>
      <c r="B184" s="225" t="str">
        <f>'A) Base RI'!B185</f>
        <v>Chavannes-de-Bogis</v>
      </c>
      <c r="C184" s="240">
        <v>0</v>
      </c>
      <c r="D184" s="214">
        <f>'B) D RI'!AA185</f>
        <v>1330</v>
      </c>
      <c r="E184" s="215">
        <f>'B) D RI'!S185</f>
        <v>58</v>
      </c>
      <c r="F184" s="10">
        <f>'B) D RI'!R185</f>
        <v>5105242.1033333344</v>
      </c>
      <c r="G184" s="10">
        <f>'B) D RI'!U185</f>
        <v>88021.415574712664</v>
      </c>
      <c r="H184" s="41">
        <f>'B) D RI'!T185</f>
        <v>4565477.0700000012</v>
      </c>
      <c r="I184" s="10">
        <f t="shared" si="16"/>
        <v>157430.24379310349</v>
      </c>
      <c r="J184" s="31">
        <f t="shared" si="22"/>
        <v>118960.91790196062</v>
      </c>
      <c r="K184" s="10">
        <f t="shared" si="14"/>
        <v>118960.91790196062</v>
      </c>
      <c r="L184" s="10">
        <f>'D) Ecrêtage'!C184</f>
        <v>88021.415574712664</v>
      </c>
      <c r="M184" s="10">
        <f t="shared" si="15"/>
        <v>102708.83697708722</v>
      </c>
      <c r="N184" s="55">
        <f t="shared" si="17"/>
        <v>221669.75487904786</v>
      </c>
      <c r="O184" s="216"/>
      <c r="P184" s="217"/>
      <c r="Q184" s="213"/>
      <c r="R184" s="213"/>
      <c r="S184" s="218"/>
    </row>
    <row r="185" spans="1:19" s="212" customFormat="1" x14ac:dyDescent="0.25">
      <c r="A185" s="302">
        <f>'A) Base RI'!A186</f>
        <v>5708</v>
      </c>
      <c r="B185" s="225" t="str">
        <f>'A) Base RI'!B186</f>
        <v>Chavannes-des-Bois</v>
      </c>
      <c r="C185" s="240">
        <v>0</v>
      </c>
      <c r="D185" s="214">
        <f>'B) D RI'!AA186</f>
        <v>1005</v>
      </c>
      <c r="E185" s="215">
        <f>'B) D RI'!S186</f>
        <v>68</v>
      </c>
      <c r="F185" s="10">
        <f>'B) D RI'!R186</f>
        <v>4556111.5200000005</v>
      </c>
      <c r="G185" s="10">
        <f>'B) D RI'!U186</f>
        <v>67001.640000000014</v>
      </c>
      <c r="H185" s="41">
        <f>'B) D RI'!T186</f>
        <v>4261463.0200000005</v>
      </c>
      <c r="I185" s="10">
        <f t="shared" si="16"/>
        <v>125337.14764705884</v>
      </c>
      <c r="J185" s="31">
        <f t="shared" si="22"/>
        <v>89891.520670278507</v>
      </c>
      <c r="K185" s="10">
        <f t="shared" si="14"/>
        <v>89891.520670278507</v>
      </c>
      <c r="L185" s="10">
        <f>'D) Ecrêtage'!C185</f>
        <v>67001.640000000014</v>
      </c>
      <c r="M185" s="10">
        <f t="shared" si="15"/>
        <v>78181.661531179619</v>
      </c>
      <c r="N185" s="55">
        <f t="shared" si="17"/>
        <v>168073.18220145814</v>
      </c>
      <c r="O185" s="216"/>
      <c r="P185" s="217"/>
      <c r="Q185" s="213"/>
      <c r="R185" s="213"/>
      <c r="S185" s="218"/>
    </row>
    <row r="186" spans="1:19" s="212" customFormat="1" x14ac:dyDescent="0.25">
      <c r="A186" s="302">
        <f>'A) Base RI'!A187</f>
        <v>5709</v>
      </c>
      <c r="B186" s="225" t="str">
        <f>'A) Base RI'!B187</f>
        <v>Chéserex</v>
      </c>
      <c r="C186" s="240">
        <v>0</v>
      </c>
      <c r="D186" s="214">
        <f>'B) D RI'!AA187</f>
        <v>1263</v>
      </c>
      <c r="E186" s="215">
        <f>'B) D RI'!S187</f>
        <v>57</v>
      </c>
      <c r="F186" s="10">
        <f>'B) D RI'!R187</f>
        <v>5035515.9799999995</v>
      </c>
      <c r="G186" s="10">
        <f>'B) D RI'!U187</f>
        <v>88342.385614035084</v>
      </c>
      <c r="H186" s="41">
        <f>'B) D RI'!T187</f>
        <v>4635555.08</v>
      </c>
      <c r="I186" s="10">
        <f t="shared" si="16"/>
        <v>162651.05543859649</v>
      </c>
      <c r="J186" s="31">
        <f t="shared" si="22"/>
        <v>112968.14985727539</v>
      </c>
      <c r="K186" s="10">
        <f t="shared" si="14"/>
        <v>112968.14985727539</v>
      </c>
      <c r="L186" s="10">
        <f>'D) Ecrêtage'!C186</f>
        <v>88342.385614035084</v>
      </c>
      <c r="M186" s="10">
        <f t="shared" si="15"/>
        <v>103083.36468978135</v>
      </c>
      <c r="N186" s="55">
        <f t="shared" si="17"/>
        <v>216051.51454705675</v>
      </c>
      <c r="O186" s="216"/>
      <c r="P186" s="217"/>
      <c r="Q186" s="213"/>
      <c r="R186" s="213"/>
      <c r="S186" s="218"/>
    </row>
    <row r="187" spans="1:19" s="212" customFormat="1" x14ac:dyDescent="0.25">
      <c r="A187" s="302">
        <f>'A) Base RI'!A188</f>
        <v>5710</v>
      </c>
      <c r="B187" s="225" t="str">
        <f>'A) Base RI'!B188</f>
        <v>Coinsins</v>
      </c>
      <c r="C187" s="240">
        <v>0</v>
      </c>
      <c r="D187" s="214">
        <f>'B) D RI'!AA188</f>
        <v>508</v>
      </c>
      <c r="E187" s="215">
        <f>'B) D RI'!S188</f>
        <v>51</v>
      </c>
      <c r="F187" s="10">
        <f>'B) D RI'!R188</f>
        <v>2214025.5200000005</v>
      </c>
      <c r="G187" s="10">
        <f>'B) D RI'!U188</f>
        <v>43412.265098039228</v>
      </c>
      <c r="H187" s="41">
        <f>'B) D RI'!T188</f>
        <v>2106157.8700000006</v>
      </c>
      <c r="I187" s="10">
        <f t="shared" si="16"/>
        <v>82594.426274509824</v>
      </c>
      <c r="J187" s="31">
        <f t="shared" si="22"/>
        <v>45437.70398059849</v>
      </c>
      <c r="K187" s="10">
        <f t="shared" si="14"/>
        <v>45437.70398059849</v>
      </c>
      <c r="L187" s="10">
        <f>'D) Ecrêtage'!C187</f>
        <v>43412.265098039228</v>
      </c>
      <c r="M187" s="10">
        <f t="shared" si="15"/>
        <v>50656.118509886393</v>
      </c>
      <c r="N187" s="55">
        <f t="shared" si="17"/>
        <v>96093.82249048489</v>
      </c>
      <c r="O187" s="216"/>
      <c r="P187" s="217"/>
      <c r="Q187" s="213"/>
      <c r="R187" s="213"/>
      <c r="S187" s="218"/>
    </row>
    <row r="188" spans="1:19" s="212" customFormat="1" x14ac:dyDescent="0.25">
      <c r="A188" s="302">
        <f>'A) Base RI'!A189</f>
        <v>5711</v>
      </c>
      <c r="B188" s="225" t="str">
        <f>'A) Base RI'!B189</f>
        <v>Commugny</v>
      </c>
      <c r="C188" s="240">
        <v>0</v>
      </c>
      <c r="D188" s="214">
        <f>'B) D RI'!AA189</f>
        <v>3001</v>
      </c>
      <c r="E188" s="215">
        <f>'B) D RI'!S189</f>
        <v>55.5</v>
      </c>
      <c r="F188" s="10">
        <f>'B) D RI'!R189</f>
        <v>15888153.426153844</v>
      </c>
      <c r="G188" s="10">
        <f>'B) D RI'!U189</f>
        <v>286273.03470547468</v>
      </c>
      <c r="H188" s="41">
        <f>'B) D RI'!T189</f>
        <v>14915593.079999998</v>
      </c>
      <c r="I188" s="10">
        <f t="shared" si="16"/>
        <v>537498.8497297297</v>
      </c>
      <c r="J188" s="31">
        <f t="shared" si="22"/>
        <v>268422.34182239388</v>
      </c>
      <c r="K188" s="10">
        <f t="shared" si="14"/>
        <v>268422.34182239388</v>
      </c>
      <c r="L188" s="10">
        <f>'D) Ecrêtage'!C188</f>
        <v>286273.03470547468</v>
      </c>
      <c r="M188" s="10">
        <f t="shared" si="15"/>
        <v>334041.0996633374</v>
      </c>
      <c r="N188" s="55">
        <f t="shared" si="17"/>
        <v>602463.44148573128</v>
      </c>
      <c r="O188" s="216"/>
      <c r="P188" s="217"/>
      <c r="Q188" s="213"/>
      <c r="R188" s="213"/>
      <c r="S188" s="218"/>
    </row>
    <row r="189" spans="1:19" s="212" customFormat="1" x14ac:dyDescent="0.25">
      <c r="A189" s="302">
        <f>'A) Base RI'!A190</f>
        <v>5712</v>
      </c>
      <c r="B189" s="225" t="str">
        <f>'A) Base RI'!B190</f>
        <v>Coppet</v>
      </c>
      <c r="C189" s="240">
        <v>0</v>
      </c>
      <c r="D189" s="214">
        <f>'B) D RI'!AA190</f>
        <v>3211</v>
      </c>
      <c r="E189" s="215">
        <f>'B) D RI'!S190</f>
        <v>53</v>
      </c>
      <c r="F189" s="10">
        <f>'B) D RI'!R190</f>
        <v>17688982.91</v>
      </c>
      <c r="G189" s="10">
        <f>'B) D RI'!U190</f>
        <v>333754.3945283019</v>
      </c>
      <c r="H189" s="41">
        <f>'B) D RI'!T190</f>
        <v>16456784.609999999</v>
      </c>
      <c r="I189" s="10">
        <f t="shared" si="16"/>
        <v>621010.74</v>
      </c>
      <c r="J189" s="31">
        <f t="shared" si="22"/>
        <v>287205.64464901923</v>
      </c>
      <c r="K189" s="10">
        <f t="shared" si="14"/>
        <v>287205.64464901923</v>
      </c>
      <c r="L189" s="10">
        <f>'D) Ecrêtage'!C189</f>
        <v>333754.3945283019</v>
      </c>
      <c r="M189" s="10">
        <f t="shared" si="15"/>
        <v>389445.28981015214</v>
      </c>
      <c r="N189" s="55">
        <f t="shared" si="17"/>
        <v>676650.93445917137</v>
      </c>
      <c r="O189" s="216"/>
      <c r="P189" s="217"/>
      <c r="Q189" s="213"/>
      <c r="R189" s="213"/>
      <c r="S189" s="218"/>
    </row>
    <row r="190" spans="1:19" s="212" customFormat="1" x14ac:dyDescent="0.25">
      <c r="A190" s="302">
        <f>'A) Base RI'!A191</f>
        <v>5713</v>
      </c>
      <c r="B190" s="225" t="str">
        <f>'A) Base RI'!B191</f>
        <v>Crans</v>
      </c>
      <c r="C190" s="240">
        <v>1</v>
      </c>
      <c r="D190" s="214">
        <f>'B) D RI'!AA191</f>
        <v>2373</v>
      </c>
      <c r="E190" s="215">
        <f>'B) D RI'!S191</f>
        <v>56</v>
      </c>
      <c r="F190" s="10">
        <f>'B) D RI'!R191</f>
        <v>16940268.789999999</v>
      </c>
      <c r="G190" s="10">
        <f>'B) D RI'!U191</f>
        <v>302504.79982142855</v>
      </c>
      <c r="H190" s="41">
        <f>'B) D RI'!T191</f>
        <v>16022346.889999997</v>
      </c>
      <c r="I190" s="10">
        <f t="shared" si="16"/>
        <v>572226.67464285705</v>
      </c>
      <c r="J190" s="31">
        <f t="shared" si="22"/>
        <v>212251.32194086659</v>
      </c>
      <c r="K190" s="10">
        <f t="shared" si="14"/>
        <v>0</v>
      </c>
      <c r="L190" s="10">
        <f>'D) Ecrêtage'!C190</f>
        <v>302504.79982142855</v>
      </c>
      <c r="M190" s="10">
        <f t="shared" si="15"/>
        <v>352981.32808683743</v>
      </c>
      <c r="N190" s="55">
        <f t="shared" si="17"/>
        <v>352981.32808683743</v>
      </c>
      <c r="O190" s="216"/>
      <c r="P190" s="217"/>
      <c r="Q190" s="213"/>
      <c r="R190" s="213"/>
      <c r="S190" s="218"/>
    </row>
    <row r="191" spans="1:19" s="212" customFormat="1" x14ac:dyDescent="0.25">
      <c r="A191" s="302">
        <f>'A) Base RI'!A192</f>
        <v>5714</v>
      </c>
      <c r="B191" s="225" t="str">
        <f>'A) Base RI'!B192</f>
        <v>Crassier</v>
      </c>
      <c r="C191" s="240">
        <v>0</v>
      </c>
      <c r="D191" s="214">
        <f>'B) D RI'!AA192</f>
        <v>1228</v>
      </c>
      <c r="E191" s="215">
        <f>'B) D RI'!S192</f>
        <v>68</v>
      </c>
      <c r="F191" s="10">
        <f>'B) D RI'!R192</f>
        <v>4225250.0299999993</v>
      </c>
      <c r="G191" s="10">
        <f>'B) D RI'!U192</f>
        <v>62136.029852941167</v>
      </c>
      <c r="H191" s="41">
        <f>'B) D RI'!T192</f>
        <v>3921955.0799999996</v>
      </c>
      <c r="I191" s="10">
        <f t="shared" si="16"/>
        <v>115351.62</v>
      </c>
      <c r="J191" s="31">
        <f t="shared" si="22"/>
        <v>109837.59938617116</v>
      </c>
      <c r="K191" s="10">
        <f t="shared" si="14"/>
        <v>109837.59938617116</v>
      </c>
      <c r="L191" s="10">
        <f>'D) Ecrêtage'!C191</f>
        <v>62136.029852941167</v>
      </c>
      <c r="M191" s="10">
        <f t="shared" si="15"/>
        <v>72504.166388373749</v>
      </c>
      <c r="N191" s="55">
        <f t="shared" si="17"/>
        <v>182341.76577454491</v>
      </c>
      <c r="O191" s="216"/>
      <c r="P191" s="217"/>
      <c r="Q191" s="213"/>
      <c r="R191" s="213"/>
      <c r="S191" s="218"/>
    </row>
    <row r="192" spans="1:19" s="212" customFormat="1" x14ac:dyDescent="0.25">
      <c r="A192" s="302">
        <f>'A) Base RI'!A193</f>
        <v>5715</v>
      </c>
      <c r="B192" s="225" t="str">
        <f>'A) Base RI'!B193</f>
        <v>Duillier</v>
      </c>
      <c r="C192" s="240">
        <v>0</v>
      </c>
      <c r="D192" s="214">
        <f>'B) D RI'!AA193</f>
        <v>1146</v>
      </c>
      <c r="E192" s="215">
        <f>'B) D RI'!S193</f>
        <v>66</v>
      </c>
      <c r="F192" s="10">
        <f>'B) D RI'!R193</f>
        <v>4646078.54</v>
      </c>
      <c r="G192" s="10">
        <f>'B) D RI'!U193</f>
        <v>70395.129393939395</v>
      </c>
      <c r="H192" s="41">
        <f>'B) D RI'!T193</f>
        <v>4359618.1399999997</v>
      </c>
      <c r="I192" s="10">
        <f t="shared" si="16"/>
        <v>132109.6406060606</v>
      </c>
      <c r="J192" s="31">
        <f t="shared" si="22"/>
        <v>102503.16685386983</v>
      </c>
      <c r="K192" s="10">
        <f t="shared" ref="K192:K252" si="23">IF(C192=1,0,IF(J192&gt;I192,I192,J192))</f>
        <v>102503.16685386983</v>
      </c>
      <c r="L192" s="10">
        <f>'D) Ecrêtage'!C192</f>
        <v>70395.129393939395</v>
      </c>
      <c r="M192" s="10">
        <f t="shared" ref="M192:M252" si="24">+$M$5*L192</f>
        <v>82141.395042279008</v>
      </c>
      <c r="N192" s="55">
        <f t="shared" si="17"/>
        <v>184644.56189614884</v>
      </c>
      <c r="O192" s="216"/>
      <c r="P192" s="217"/>
      <c r="Q192" s="213"/>
      <c r="R192" s="213"/>
      <c r="S192" s="218"/>
    </row>
    <row r="193" spans="1:19" s="212" customFormat="1" x14ac:dyDescent="0.25">
      <c r="A193" s="302">
        <f>'A) Base RI'!A194</f>
        <v>5716</v>
      </c>
      <c r="B193" s="225" t="str">
        <f>'A) Base RI'!B194</f>
        <v>Eysins</v>
      </c>
      <c r="C193" s="240">
        <v>0</v>
      </c>
      <c r="D193" s="214">
        <f>'B) D RI'!AA194</f>
        <v>1736</v>
      </c>
      <c r="E193" s="215">
        <f>'B) D RI'!S194</f>
        <v>59.5</v>
      </c>
      <c r="F193" s="10">
        <f>'B) D RI'!R194</f>
        <v>12129334.780000001</v>
      </c>
      <c r="G193" s="10">
        <f>'B) D RI'!U194</f>
        <v>203854.36605042018</v>
      </c>
      <c r="H193" s="41">
        <f>'B) D RI'!T194</f>
        <v>11300201.780000001</v>
      </c>
      <c r="I193" s="10">
        <f t="shared" ref="I193:I253" si="25">+H193/E193*$I$5</f>
        <v>379838.71529411769</v>
      </c>
      <c r="J193" s="31">
        <f t="shared" si="22"/>
        <v>155275.30336676966</v>
      </c>
      <c r="K193" s="10">
        <f t="shared" si="23"/>
        <v>155275.30336676966</v>
      </c>
      <c r="L193" s="10">
        <f>'D) Ecrêtage'!C193</f>
        <v>203854.36605042018</v>
      </c>
      <c r="M193" s="10">
        <f t="shared" si="24"/>
        <v>237869.89465044648</v>
      </c>
      <c r="N193" s="55">
        <f t="shared" si="17"/>
        <v>393145.19801721617</v>
      </c>
      <c r="O193" s="216"/>
      <c r="P193" s="217"/>
      <c r="Q193" s="213"/>
      <c r="R193" s="213"/>
      <c r="S193" s="218"/>
    </row>
    <row r="194" spans="1:19" s="212" customFormat="1" x14ac:dyDescent="0.25">
      <c r="A194" s="302">
        <f>'A) Base RI'!A195</f>
        <v>5717</v>
      </c>
      <c r="B194" s="225" t="str">
        <f>'A) Base RI'!B195</f>
        <v>Founex</v>
      </c>
      <c r="C194" s="240">
        <v>0</v>
      </c>
      <c r="D194" s="214">
        <f>'B) D RI'!AA195</f>
        <v>3822</v>
      </c>
      <c r="E194" s="215">
        <f>'B) D RI'!S195</f>
        <v>57</v>
      </c>
      <c r="F194" s="10">
        <f>'B) D RI'!R195</f>
        <v>22271537.039999999</v>
      </c>
      <c r="G194" s="10">
        <f>'B) D RI'!U195</f>
        <v>390728.72</v>
      </c>
      <c r="H194" s="41">
        <f>'B) D RI'!T195</f>
        <v>20854629.640000001</v>
      </c>
      <c r="I194" s="10">
        <f t="shared" si="25"/>
        <v>731741.39087719296</v>
      </c>
      <c r="J194" s="31">
        <f t="shared" si="22"/>
        <v>341856.11144458159</v>
      </c>
      <c r="K194" s="10">
        <f t="shared" si="23"/>
        <v>341856.11144458159</v>
      </c>
      <c r="L194" s="10">
        <f>'D) Ecrêtage'!C194</f>
        <v>390728.72</v>
      </c>
      <c r="M194" s="10">
        <f t="shared" si="24"/>
        <v>455926.45997248794</v>
      </c>
      <c r="N194" s="55">
        <f t="shared" si="17"/>
        <v>797782.57141706953</v>
      </c>
      <c r="O194" s="216"/>
      <c r="P194" s="217"/>
      <c r="Q194" s="213"/>
      <c r="R194" s="213"/>
      <c r="S194" s="218"/>
    </row>
    <row r="195" spans="1:19" s="212" customFormat="1" x14ac:dyDescent="0.25">
      <c r="A195" s="302">
        <f>'A) Base RI'!A196</f>
        <v>5718</v>
      </c>
      <c r="B195" s="225" t="str">
        <f>'A) Base RI'!B196</f>
        <v>Genolier</v>
      </c>
      <c r="C195" s="240">
        <v>0</v>
      </c>
      <c r="D195" s="214">
        <f>'B) D RI'!AA196</f>
        <v>2022</v>
      </c>
      <c r="E195" s="215">
        <f>'B) D RI'!S196</f>
        <v>55</v>
      </c>
      <c r="F195" s="10">
        <f>'B) D RI'!R196</f>
        <v>10575101.5</v>
      </c>
      <c r="G195" s="10">
        <f>'B) D RI'!U196</f>
        <v>192274.57272727272</v>
      </c>
      <c r="H195" s="41">
        <f>'B) D RI'!T196</f>
        <v>9823052.6500000004</v>
      </c>
      <c r="I195" s="10">
        <f t="shared" si="25"/>
        <v>357201.91454545455</v>
      </c>
      <c r="J195" s="31">
        <f t="shared" si="22"/>
        <v>180856.3729306499</v>
      </c>
      <c r="K195" s="10">
        <f t="shared" si="23"/>
        <v>180856.3729306499</v>
      </c>
      <c r="L195" s="10">
        <f>'D) Ecrêtage'!C195</f>
        <v>192274.57272727272</v>
      </c>
      <c r="M195" s="10">
        <f t="shared" si="24"/>
        <v>224357.8749119546</v>
      </c>
      <c r="N195" s="55">
        <f t="shared" si="17"/>
        <v>405214.24784260453</v>
      </c>
      <c r="O195" s="216"/>
      <c r="P195" s="217"/>
      <c r="Q195" s="213"/>
      <c r="R195" s="213"/>
      <c r="S195" s="218"/>
    </row>
    <row r="196" spans="1:19" s="212" customFormat="1" x14ac:dyDescent="0.25">
      <c r="A196" s="302">
        <f>'A) Base RI'!A197</f>
        <v>5719</v>
      </c>
      <c r="B196" s="225" t="str">
        <f>'A) Base RI'!B197</f>
        <v>Gingins</v>
      </c>
      <c r="C196" s="240">
        <v>0</v>
      </c>
      <c r="D196" s="214">
        <f>'B) D RI'!AA197</f>
        <v>1265</v>
      </c>
      <c r="E196" s="215">
        <f>'B) D RI'!S197</f>
        <v>60</v>
      </c>
      <c r="F196" s="10">
        <f>'B) D RI'!R197</f>
        <v>9077801.6800000016</v>
      </c>
      <c r="G196" s="10">
        <f>'B) D RI'!U197</f>
        <v>151296.69466666671</v>
      </c>
      <c r="H196" s="41">
        <f>'B) D RI'!T197</f>
        <v>8640768.8800000008</v>
      </c>
      <c r="I196" s="10">
        <f t="shared" si="25"/>
        <v>288025.62933333335</v>
      </c>
      <c r="J196" s="31">
        <f t="shared" si="22"/>
        <v>113147.03845562419</v>
      </c>
      <c r="K196" s="10">
        <f t="shared" si="23"/>
        <v>113147.03845562419</v>
      </c>
      <c r="L196" s="10">
        <f>'D) Ecrêtage'!C196</f>
        <v>151296.69466666671</v>
      </c>
      <c r="M196" s="10">
        <f t="shared" si="24"/>
        <v>176542.34990689129</v>
      </c>
      <c r="N196" s="55">
        <f t="shared" si="17"/>
        <v>289689.38836251548</v>
      </c>
      <c r="O196" s="216"/>
      <c r="P196" s="217"/>
      <c r="Q196" s="213"/>
      <c r="R196" s="213"/>
      <c r="S196" s="218"/>
    </row>
    <row r="197" spans="1:19" s="212" customFormat="1" x14ac:dyDescent="0.25">
      <c r="A197" s="302">
        <f>'A) Base RI'!A198</f>
        <v>5720</v>
      </c>
      <c r="B197" s="225" t="str">
        <f>'A) Base RI'!B198</f>
        <v>Givrins</v>
      </c>
      <c r="C197" s="240">
        <v>0</v>
      </c>
      <c r="D197" s="214">
        <f>'B) D RI'!AA198</f>
        <v>1010</v>
      </c>
      <c r="E197" s="215">
        <f>'B) D RI'!S198</f>
        <v>67</v>
      </c>
      <c r="F197" s="10">
        <f>'B) D RI'!R198</f>
        <v>5010918.6022222228</v>
      </c>
      <c r="G197" s="10">
        <f>'B) D RI'!U198</f>
        <v>74789.829883913771</v>
      </c>
      <c r="H197" s="41">
        <f>'B) D RI'!T198</f>
        <v>4689371.8800000008</v>
      </c>
      <c r="I197" s="10">
        <f t="shared" si="25"/>
        <v>139981.25014925376</v>
      </c>
      <c r="J197" s="31">
        <f t="shared" si="22"/>
        <v>90338.74216615055</v>
      </c>
      <c r="K197" s="10">
        <f t="shared" si="23"/>
        <v>90338.74216615055</v>
      </c>
      <c r="L197" s="10">
        <f>'D) Ecrêtage'!C197</f>
        <v>74789.829883913771</v>
      </c>
      <c r="M197" s="10">
        <f t="shared" si="24"/>
        <v>87269.403643830927</v>
      </c>
      <c r="N197" s="55">
        <f t="shared" si="17"/>
        <v>177608.14580998148</v>
      </c>
      <c r="O197" s="216"/>
      <c r="P197" s="217"/>
      <c r="Q197" s="213"/>
      <c r="R197" s="213"/>
      <c r="S197" s="218"/>
    </row>
    <row r="198" spans="1:19" s="212" customFormat="1" x14ac:dyDescent="0.25">
      <c r="A198" s="302">
        <f>'A) Base RI'!A199</f>
        <v>5721</v>
      </c>
      <c r="B198" s="225" t="str">
        <f>'A) Base RI'!B199</f>
        <v>Gland</v>
      </c>
      <c r="C198" s="240">
        <v>0</v>
      </c>
      <c r="D198" s="214">
        <f>'B) D RI'!AA199</f>
        <v>13306</v>
      </c>
      <c r="E198" s="215">
        <f>'B) D RI'!S199</f>
        <v>61</v>
      </c>
      <c r="F198" s="10">
        <f>'B) D RI'!R199</f>
        <v>44104452.530000001</v>
      </c>
      <c r="G198" s="10">
        <f>'B) D RI'!U199</f>
        <v>723023.81196721317</v>
      </c>
      <c r="H198" s="41">
        <f>'B) D RI'!T199</f>
        <v>40572828.280000001</v>
      </c>
      <c r="I198" s="10">
        <f t="shared" si="25"/>
        <v>1330256.6649180329</v>
      </c>
      <c r="J198" s="31">
        <f t="shared" si="22"/>
        <v>1190145.8448146526</v>
      </c>
      <c r="K198" s="10">
        <f t="shared" si="23"/>
        <v>1190145.8448146526</v>
      </c>
      <c r="L198" s="10">
        <f>'D) Ecrêtage'!C198</f>
        <v>723023.81196721317</v>
      </c>
      <c r="M198" s="10">
        <f t="shared" si="24"/>
        <v>843668.94521095173</v>
      </c>
      <c r="N198" s="55">
        <f t="shared" ref="N198:N261" si="26">+M198+K198</f>
        <v>2033814.7900256044</v>
      </c>
      <c r="O198" s="216"/>
      <c r="P198" s="217"/>
      <c r="Q198" s="213"/>
      <c r="R198" s="213"/>
      <c r="S198" s="218"/>
    </row>
    <row r="199" spans="1:19" s="212" customFormat="1" x14ac:dyDescent="0.25">
      <c r="A199" s="302">
        <f>'A) Base RI'!A200</f>
        <v>5722</v>
      </c>
      <c r="B199" s="225" t="str">
        <f>'A) Base RI'!B200</f>
        <v>Grens</v>
      </c>
      <c r="C199" s="240">
        <v>0</v>
      </c>
      <c r="D199" s="214">
        <f>'B) D RI'!AA200</f>
        <v>401</v>
      </c>
      <c r="E199" s="215">
        <f>'B) D RI'!S200</f>
        <v>62</v>
      </c>
      <c r="F199" s="10">
        <f>'B) D RI'!R200</f>
        <v>1383639.1900000004</v>
      </c>
      <c r="G199" s="10">
        <f>'B) D RI'!U200</f>
        <v>22316.761129032264</v>
      </c>
      <c r="H199" s="41">
        <f>'B) D RI'!T200</f>
        <v>1288696.5400000003</v>
      </c>
      <c r="I199" s="10">
        <f t="shared" si="25"/>
        <v>41570.856129032269</v>
      </c>
      <c r="J199" s="31">
        <f t="shared" si="22"/>
        <v>35867.163968936999</v>
      </c>
      <c r="K199" s="10">
        <f t="shared" si="23"/>
        <v>35867.163968936999</v>
      </c>
      <c r="L199" s="10">
        <f>'D) Ecrêtage'!C199</f>
        <v>22316.761129032264</v>
      </c>
      <c r="M199" s="10">
        <f t="shared" si="24"/>
        <v>26040.578485275677</v>
      </c>
      <c r="N199" s="55">
        <f t="shared" si="26"/>
        <v>61907.742454212676</v>
      </c>
      <c r="O199" s="216"/>
      <c r="P199" s="217"/>
      <c r="Q199" s="213"/>
      <c r="R199" s="213"/>
      <c r="S199" s="218"/>
    </row>
    <row r="200" spans="1:19" s="212" customFormat="1" x14ac:dyDescent="0.25">
      <c r="A200" s="302">
        <f>'A) Base RI'!A201</f>
        <v>5723</v>
      </c>
      <c r="B200" s="225" t="str">
        <f>'A) Base RI'!B201</f>
        <v>Mies</v>
      </c>
      <c r="C200" s="240">
        <v>0</v>
      </c>
      <c r="D200" s="214">
        <f>'B) D RI'!AA201</f>
        <v>2195</v>
      </c>
      <c r="E200" s="215">
        <f>'B) D RI'!S201</f>
        <v>52</v>
      </c>
      <c r="F200" s="10">
        <f>'B) D RI'!R201</f>
        <v>12790691.959999999</v>
      </c>
      <c r="G200" s="10">
        <f>'B) D RI'!U201</f>
        <v>245974.84538461536</v>
      </c>
      <c r="H200" s="41">
        <f>'B) D RI'!T201</f>
        <v>11861303.309999999</v>
      </c>
      <c r="I200" s="10">
        <f t="shared" si="25"/>
        <v>456203.97346153844</v>
      </c>
      <c r="J200" s="31">
        <f t="shared" si="22"/>
        <v>196330.23668782224</v>
      </c>
      <c r="K200" s="10">
        <f t="shared" si="23"/>
        <v>196330.23668782224</v>
      </c>
      <c r="L200" s="10">
        <f>'D) Ecrêtage'!C200</f>
        <v>245974.84538461536</v>
      </c>
      <c r="M200" s="10">
        <f t="shared" si="24"/>
        <v>287018.67755840358</v>
      </c>
      <c r="N200" s="55">
        <f t="shared" si="26"/>
        <v>483348.91424622585</v>
      </c>
      <c r="O200" s="216"/>
      <c r="P200" s="217"/>
      <c r="Q200" s="213"/>
      <c r="R200" s="213"/>
      <c r="S200" s="218"/>
    </row>
    <row r="201" spans="1:19" s="212" customFormat="1" x14ac:dyDescent="0.25">
      <c r="A201" s="302">
        <f>'A) Base RI'!A202</f>
        <v>5724</v>
      </c>
      <c r="B201" s="225" t="str">
        <f>'A) Base RI'!B202</f>
        <v>Nyon</v>
      </c>
      <c r="C201" s="240">
        <v>1</v>
      </c>
      <c r="D201" s="214">
        <f>'B) D RI'!AA202</f>
        <v>22124</v>
      </c>
      <c r="E201" s="215">
        <f>'B) D RI'!S202</f>
        <v>61</v>
      </c>
      <c r="F201" s="10">
        <f>'B) D RI'!R202</f>
        <v>89174255.106666654</v>
      </c>
      <c r="G201" s="10">
        <f>'B) D RI'!U202</f>
        <v>1461873.0345355188</v>
      </c>
      <c r="H201" s="41">
        <f>'B) D RI'!T202</f>
        <v>82679527.139999986</v>
      </c>
      <c r="I201" s="10">
        <f t="shared" si="25"/>
        <v>2710804.1685245899</v>
      </c>
      <c r="J201" s="31">
        <f t="shared" si="22"/>
        <v>1978865.674934569</v>
      </c>
      <c r="K201" s="10">
        <f t="shared" si="23"/>
        <v>0</v>
      </c>
      <c r="L201" s="10">
        <f>'D) Ecrêtage'!C201</f>
        <v>1461873.0345355188</v>
      </c>
      <c r="M201" s="10">
        <f t="shared" si="24"/>
        <v>1705803.9592406151</v>
      </c>
      <c r="N201" s="55">
        <f t="shared" si="26"/>
        <v>1705803.9592406151</v>
      </c>
      <c r="O201" s="216"/>
      <c r="P201" s="217"/>
      <c r="Q201" s="213"/>
      <c r="R201" s="213"/>
      <c r="S201" s="218"/>
    </row>
    <row r="202" spans="1:19" s="212" customFormat="1" x14ac:dyDescent="0.25">
      <c r="A202" s="302">
        <f>'A) Base RI'!A203</f>
        <v>5725</v>
      </c>
      <c r="B202" s="225" t="str">
        <f>'A) Base RI'!B203</f>
        <v>Prangins</v>
      </c>
      <c r="C202" s="240">
        <v>1</v>
      </c>
      <c r="D202" s="214">
        <f>'B) D RI'!AA203</f>
        <v>4060</v>
      </c>
      <c r="E202" s="215">
        <f>'B) D RI'!S203</f>
        <v>55</v>
      </c>
      <c r="F202" s="10">
        <f>'B) D RI'!R203</f>
        <v>19529542.351428576</v>
      </c>
      <c r="G202" s="10">
        <f>'B) D RI'!U203</f>
        <v>355082.58820779232</v>
      </c>
      <c r="H202" s="41">
        <f>'B) D RI'!T203</f>
        <v>18261090.730000004</v>
      </c>
      <c r="I202" s="10">
        <f t="shared" si="25"/>
        <v>664039.6629090911</v>
      </c>
      <c r="J202" s="31">
        <f t="shared" si="22"/>
        <v>363143.85464809032</v>
      </c>
      <c r="K202" s="10">
        <f t="shared" si="23"/>
        <v>0</v>
      </c>
      <c r="L202" s="10">
        <f>'D) Ecrêtage'!C202</f>
        <v>355082.58820779232</v>
      </c>
      <c r="M202" s="10">
        <f t="shared" si="24"/>
        <v>414332.3465944542</v>
      </c>
      <c r="N202" s="55">
        <f t="shared" si="26"/>
        <v>414332.3465944542</v>
      </c>
      <c r="O202" s="216"/>
      <c r="P202" s="217"/>
      <c r="Q202" s="213"/>
      <c r="R202" s="213"/>
      <c r="S202" s="218"/>
    </row>
    <row r="203" spans="1:19" s="212" customFormat="1" x14ac:dyDescent="0.25">
      <c r="A203" s="302">
        <f>'A) Base RI'!A204</f>
        <v>5726</v>
      </c>
      <c r="B203" s="225" t="str">
        <f>'A) Base RI'!B204</f>
        <v>La Rippe</v>
      </c>
      <c r="C203" s="240">
        <v>0</v>
      </c>
      <c r="D203" s="214">
        <f>'B) D RI'!AA204</f>
        <v>1165</v>
      </c>
      <c r="E203" s="215">
        <f>'B) D RI'!S204</f>
        <v>64</v>
      </c>
      <c r="F203" s="10">
        <f>'B) D RI'!R204</f>
        <v>4503454.0600000005</v>
      </c>
      <c r="G203" s="10">
        <f>'B) D RI'!U204</f>
        <v>70366.469687500008</v>
      </c>
      <c r="H203" s="41">
        <f>'B) D RI'!T204</f>
        <v>4223151.41</v>
      </c>
      <c r="I203" s="10">
        <f t="shared" si="25"/>
        <v>131973.4815625</v>
      </c>
      <c r="J203" s="31">
        <f t="shared" si="22"/>
        <v>104202.60853818354</v>
      </c>
      <c r="K203" s="10">
        <f t="shared" si="23"/>
        <v>104202.60853818354</v>
      </c>
      <c r="L203" s="10">
        <f>'D) Ecrêtage'!C203</f>
        <v>70366.469687500008</v>
      </c>
      <c r="M203" s="10">
        <f t="shared" si="24"/>
        <v>82107.953122522609</v>
      </c>
      <c r="N203" s="55">
        <f t="shared" si="26"/>
        <v>186310.56166070615</v>
      </c>
      <c r="O203" s="216"/>
      <c r="P203" s="217"/>
      <c r="Q203" s="213"/>
      <c r="R203" s="213"/>
      <c r="S203" s="218"/>
    </row>
    <row r="204" spans="1:19" s="212" customFormat="1" x14ac:dyDescent="0.25">
      <c r="A204" s="302">
        <f>'A) Base RI'!A205</f>
        <v>5727</v>
      </c>
      <c r="B204" s="225" t="str">
        <f>'A) Base RI'!B205</f>
        <v>Saint-Cergue</v>
      </c>
      <c r="C204" s="240">
        <v>0</v>
      </c>
      <c r="D204" s="214">
        <f>'B) D RI'!AA205</f>
        <v>2755</v>
      </c>
      <c r="E204" s="215">
        <f>'B) D RI'!S205</f>
        <v>66</v>
      </c>
      <c r="F204" s="10">
        <f>'B) D RI'!R205</f>
        <v>7007438.0666666683</v>
      </c>
      <c r="G204" s="10">
        <f>'B) D RI'!U205</f>
        <v>106173.30404040407</v>
      </c>
      <c r="H204" s="41">
        <f>'B) D RI'!T205</f>
        <v>6459981.0500000007</v>
      </c>
      <c r="I204" s="10">
        <f t="shared" si="25"/>
        <v>195757.00151515153</v>
      </c>
      <c r="J204" s="31">
        <f t="shared" si="22"/>
        <v>246419.04422548987</v>
      </c>
      <c r="K204" s="10">
        <f t="shared" si="23"/>
        <v>195757.00151515153</v>
      </c>
      <c r="L204" s="10">
        <f>'D) Ecrêtage'!C204</f>
        <v>106173.30404040407</v>
      </c>
      <c r="M204" s="10">
        <f t="shared" si="24"/>
        <v>123889.58419725092</v>
      </c>
      <c r="N204" s="55">
        <f t="shared" si="26"/>
        <v>319646.58571240248</v>
      </c>
      <c r="O204" s="216"/>
      <c r="P204" s="217"/>
      <c r="Q204" s="213"/>
      <c r="R204" s="213"/>
      <c r="S204" s="218"/>
    </row>
    <row r="205" spans="1:19" s="212" customFormat="1" x14ac:dyDescent="0.25">
      <c r="A205" s="302">
        <f>'A) Base RI'!A206</f>
        <v>5728</v>
      </c>
      <c r="B205" s="225" t="str">
        <f>'A) Base RI'!B206</f>
        <v>Signy-Avenex</v>
      </c>
      <c r="C205" s="240">
        <v>0</v>
      </c>
      <c r="D205" s="214">
        <f>'B) D RI'!AA206</f>
        <v>584</v>
      </c>
      <c r="E205" s="215">
        <f>'B) D RI'!S206</f>
        <v>58</v>
      </c>
      <c r="F205" s="10">
        <f>'B) D RI'!R206</f>
        <v>3275667.5200000005</v>
      </c>
      <c r="G205" s="10">
        <f>'B) D RI'!U206</f>
        <v>56477.02620689656</v>
      </c>
      <c r="H205" s="41">
        <f>'B) D RI'!T206</f>
        <v>2979147.0700000003</v>
      </c>
      <c r="I205" s="10">
        <f t="shared" si="25"/>
        <v>102729.20931034484</v>
      </c>
      <c r="J205" s="31">
        <f t="shared" si="22"/>
        <v>52235.470717853386</v>
      </c>
      <c r="K205" s="10">
        <f t="shared" si="23"/>
        <v>52235.470717853386</v>
      </c>
      <c r="L205" s="10">
        <f>'D) Ecrêtage'!C205</f>
        <v>56477.02620689656</v>
      </c>
      <c r="M205" s="10">
        <f t="shared" si="24"/>
        <v>65900.890593053351</v>
      </c>
      <c r="N205" s="55">
        <f t="shared" si="26"/>
        <v>118136.36131090674</v>
      </c>
      <c r="O205" s="216"/>
      <c r="P205" s="217"/>
      <c r="Q205" s="213"/>
      <c r="R205" s="213"/>
      <c r="S205" s="218"/>
    </row>
    <row r="206" spans="1:19" s="212" customFormat="1" x14ac:dyDescent="0.25">
      <c r="A206" s="302">
        <f>'A) Base RI'!A207</f>
        <v>5729</v>
      </c>
      <c r="B206" s="225" t="str">
        <f>'A) Base RI'!B207</f>
        <v>Tannay</v>
      </c>
      <c r="C206" s="240">
        <v>0</v>
      </c>
      <c r="D206" s="214">
        <f>'B) D RI'!AA207</f>
        <v>1644</v>
      </c>
      <c r="E206" s="215">
        <f>'B) D RI'!S207</f>
        <v>60.5</v>
      </c>
      <c r="F206" s="10">
        <f>'B) D RI'!R207</f>
        <v>9782126.4466666654</v>
      </c>
      <c r="G206" s="10">
        <f>'B) D RI'!U207</f>
        <v>161688.04044077132</v>
      </c>
      <c r="H206" s="41">
        <f>'B) D RI'!T207</f>
        <v>9176879.2299999986</v>
      </c>
      <c r="I206" s="10">
        <f t="shared" si="25"/>
        <v>303367.90842975205</v>
      </c>
      <c r="J206" s="31">
        <f t="shared" si="22"/>
        <v>147046.42784272425</v>
      </c>
      <c r="K206" s="10">
        <f t="shared" si="23"/>
        <v>147046.42784272425</v>
      </c>
      <c r="L206" s="10">
        <f>'D) Ecrêtage'!C206</f>
        <v>161688.04044077132</v>
      </c>
      <c r="M206" s="10">
        <f t="shared" si="24"/>
        <v>188667.61547001035</v>
      </c>
      <c r="N206" s="55">
        <f t="shared" si="26"/>
        <v>335714.04331273458</v>
      </c>
      <c r="O206" s="216"/>
      <c r="P206" s="217"/>
      <c r="Q206" s="213"/>
      <c r="R206" s="213"/>
      <c r="S206" s="218"/>
    </row>
    <row r="207" spans="1:19" s="212" customFormat="1" x14ac:dyDescent="0.25">
      <c r="A207" s="302">
        <f>'A) Base RI'!A208</f>
        <v>5730</v>
      </c>
      <c r="B207" s="225" t="str">
        <f>'A) Base RI'!B208</f>
        <v>Trélex</v>
      </c>
      <c r="C207" s="240">
        <v>0</v>
      </c>
      <c r="D207" s="214">
        <f>'B) D RI'!AA208</f>
        <v>1439</v>
      </c>
      <c r="E207" s="215">
        <f>'B) D RI'!S208</f>
        <v>55.5</v>
      </c>
      <c r="F207" s="10">
        <f>'B) D RI'!R208</f>
        <v>6942253.5077777794</v>
      </c>
      <c r="G207" s="10">
        <f>'B) D RI'!U208</f>
        <v>125085.64878878882</v>
      </c>
      <c r="H207" s="41">
        <f>'B) D RI'!T208</f>
        <v>6473316.5300000012</v>
      </c>
      <c r="I207" s="10">
        <f t="shared" si="25"/>
        <v>233272.66774774779</v>
      </c>
      <c r="J207" s="31">
        <f t="shared" si="22"/>
        <v>128710.34651197093</v>
      </c>
      <c r="K207" s="10">
        <f t="shared" si="23"/>
        <v>128710.34651197093</v>
      </c>
      <c r="L207" s="10">
        <f>'D) Ecrêtage'!C207</f>
        <v>125085.64878878882</v>
      </c>
      <c r="M207" s="10">
        <f t="shared" si="24"/>
        <v>145957.67888686148</v>
      </c>
      <c r="N207" s="55">
        <f t="shared" si="26"/>
        <v>274668.0253988324</v>
      </c>
      <c r="O207" s="216"/>
      <c r="P207" s="217"/>
      <c r="Q207" s="213"/>
      <c r="R207" s="213"/>
      <c r="S207" s="218"/>
    </row>
    <row r="208" spans="1:19" s="212" customFormat="1" x14ac:dyDescent="0.25">
      <c r="A208" s="302">
        <f>'A) Base RI'!A209</f>
        <v>5731</v>
      </c>
      <c r="B208" s="225" t="str">
        <f>'A) Base RI'!B209</f>
        <v>Le Vaud</v>
      </c>
      <c r="C208" s="240">
        <v>0</v>
      </c>
      <c r="D208" s="214">
        <f>'B) D RI'!AA209</f>
        <v>1387</v>
      </c>
      <c r="E208" s="215">
        <f>'B) D RI'!S209</f>
        <v>74</v>
      </c>
      <c r="F208" s="10">
        <f>'B) D RI'!R209</f>
        <v>5150149.3833333328</v>
      </c>
      <c r="G208" s="10">
        <f>'B) D RI'!U209</f>
        <v>69596.613288288281</v>
      </c>
      <c r="H208" s="41">
        <f>'B) D RI'!T209</f>
        <v>4861951.6499999994</v>
      </c>
      <c r="I208" s="10">
        <f t="shared" si="25"/>
        <v>131404.09864864862</v>
      </c>
      <c r="J208" s="31">
        <f t="shared" si="22"/>
        <v>124059.24295490178</v>
      </c>
      <c r="K208" s="10">
        <f t="shared" si="23"/>
        <v>124059.24295490178</v>
      </c>
      <c r="L208" s="10">
        <f>'D) Ecrêtage'!C208</f>
        <v>69596.613288288281</v>
      </c>
      <c r="M208" s="10">
        <f t="shared" si="24"/>
        <v>81209.637015173823</v>
      </c>
      <c r="N208" s="55">
        <f t="shared" si="26"/>
        <v>205268.87997007562</v>
      </c>
      <c r="O208" s="216"/>
      <c r="P208" s="217"/>
      <c r="Q208" s="213"/>
      <c r="R208" s="213"/>
      <c r="S208" s="218"/>
    </row>
    <row r="209" spans="1:19" s="212" customFormat="1" x14ac:dyDescent="0.25">
      <c r="A209" s="302">
        <f>'A) Base RI'!A210</f>
        <v>5732</v>
      </c>
      <c r="B209" s="225" t="str">
        <f>'A) Base RI'!B210</f>
        <v>Vich</v>
      </c>
      <c r="C209" s="240">
        <v>0</v>
      </c>
      <c r="D209" s="214">
        <f>'B) D RI'!AA210</f>
        <v>1157</v>
      </c>
      <c r="E209" s="215">
        <f>'B) D RI'!S210</f>
        <v>63</v>
      </c>
      <c r="F209" s="10">
        <f>'B) D RI'!R210</f>
        <v>5451895.9899999993</v>
      </c>
      <c r="G209" s="10">
        <f>'B) D RI'!U210</f>
        <v>86538.031587301579</v>
      </c>
      <c r="H209" s="41">
        <f>'B) D RI'!T210</f>
        <v>5064405.2899999991</v>
      </c>
      <c r="I209" s="10">
        <f t="shared" si="25"/>
        <v>160774.77111111107</v>
      </c>
      <c r="J209" s="31">
        <f t="shared" si="22"/>
        <v>103487.0541447883</v>
      </c>
      <c r="K209" s="10">
        <f t="shared" si="23"/>
        <v>103487.0541447883</v>
      </c>
      <c r="L209" s="10">
        <f>'D) Ecrêtage'!C209</f>
        <v>86538.031587301579</v>
      </c>
      <c r="M209" s="10">
        <f t="shared" si="24"/>
        <v>100977.93270631797</v>
      </c>
      <c r="N209" s="55">
        <f t="shared" si="26"/>
        <v>204464.98685110628</v>
      </c>
      <c r="O209" s="216"/>
      <c r="P209" s="217"/>
      <c r="Q209" s="213"/>
      <c r="R209" s="213"/>
      <c r="S209" s="218"/>
    </row>
    <row r="210" spans="1:19" s="212" customFormat="1" x14ac:dyDescent="0.25">
      <c r="A210" s="302">
        <f>'A) Base RI'!A211</f>
        <v>5741</v>
      </c>
      <c r="B210" s="225" t="str">
        <f>'A) Base RI'!B211</f>
        <v>L'Abergement</v>
      </c>
      <c r="C210" s="240">
        <v>0</v>
      </c>
      <c r="D210" s="214">
        <f>'B) D RI'!AA211</f>
        <v>256</v>
      </c>
      <c r="E210" s="215">
        <f>'B) D RI'!S211</f>
        <v>81</v>
      </c>
      <c r="F210" s="10">
        <f>'B) D RI'!R211</f>
        <v>727977.64166666672</v>
      </c>
      <c r="G210" s="10">
        <f>'B) D RI'!U211</f>
        <v>8987.3782921810707</v>
      </c>
      <c r="H210" s="41">
        <f>'B) D RI'!T211</f>
        <v>685082.35000000009</v>
      </c>
      <c r="I210" s="10">
        <f t="shared" si="25"/>
        <v>16915.613580246914</v>
      </c>
      <c r="J210" s="31">
        <f t="shared" si="22"/>
        <v>22897.740588648059</v>
      </c>
      <c r="K210" s="10">
        <f t="shared" si="23"/>
        <v>16915.613580246914</v>
      </c>
      <c r="L210" s="10">
        <f>'D) Ecrêtage'!C210</f>
        <v>8987.3782921810707</v>
      </c>
      <c r="M210" s="10">
        <f t="shared" si="24"/>
        <v>10487.029387519044</v>
      </c>
      <c r="N210" s="55">
        <f t="shared" si="26"/>
        <v>27402.642967765958</v>
      </c>
      <c r="O210" s="216"/>
      <c r="P210" s="217"/>
      <c r="Q210" s="213"/>
      <c r="R210" s="213"/>
      <c r="S210" s="218"/>
    </row>
    <row r="211" spans="1:19" s="212" customFormat="1" x14ac:dyDescent="0.25">
      <c r="A211" s="302">
        <f>'A) Base RI'!A212</f>
        <v>5742</v>
      </c>
      <c r="B211" s="225" t="str">
        <f>'A) Base RI'!B212</f>
        <v>Agiez</v>
      </c>
      <c r="C211" s="240">
        <v>0</v>
      </c>
      <c r="D211" s="214">
        <f>'B) D RI'!AA212</f>
        <v>375</v>
      </c>
      <c r="E211" s="215">
        <f>'B) D RI'!S212</f>
        <v>76</v>
      </c>
      <c r="F211" s="10">
        <f>'B) D RI'!R212</f>
        <v>772165.29</v>
      </c>
      <c r="G211" s="10">
        <f>'B) D RI'!U212</f>
        <v>10160.069605263159</v>
      </c>
      <c r="H211" s="41">
        <f>'B) D RI'!T212</f>
        <v>711846.09</v>
      </c>
      <c r="I211" s="10">
        <f t="shared" si="25"/>
        <v>18732.791842105264</v>
      </c>
      <c r="J211" s="31">
        <f t="shared" si="22"/>
        <v>33541.612190402433</v>
      </c>
      <c r="K211" s="10">
        <f t="shared" si="23"/>
        <v>18732.791842105264</v>
      </c>
      <c r="L211" s="10">
        <f>'D) Ecrêtage'!C211</f>
        <v>10160.069605263159</v>
      </c>
      <c r="M211" s="10">
        <f t="shared" si="24"/>
        <v>11855.398211326021</v>
      </c>
      <c r="N211" s="55">
        <f t="shared" si="26"/>
        <v>30588.190053431284</v>
      </c>
      <c r="O211" s="216"/>
      <c r="P211" s="217"/>
      <c r="Q211" s="213"/>
      <c r="R211" s="213"/>
      <c r="S211" s="218"/>
    </row>
    <row r="212" spans="1:19" s="212" customFormat="1" x14ac:dyDescent="0.25">
      <c r="A212" s="302">
        <f>'A) Base RI'!A213</f>
        <v>5743</v>
      </c>
      <c r="B212" s="225" t="str">
        <f>'A) Base RI'!B213</f>
        <v>Arnex-sur-Orbe</v>
      </c>
      <c r="C212" s="240">
        <v>0</v>
      </c>
      <c r="D212" s="214">
        <f>'B) D RI'!AA213</f>
        <v>665</v>
      </c>
      <c r="E212" s="215">
        <f>'B) D RI'!S213</f>
        <v>71</v>
      </c>
      <c r="F212" s="10">
        <f>'B) D RI'!R213</f>
        <v>1315851.3650000002</v>
      </c>
      <c r="G212" s="10">
        <f>'B) D RI'!U213</f>
        <v>18533.117816901413</v>
      </c>
      <c r="H212" s="41">
        <f>'B) D RI'!T213</f>
        <v>1228143.9900000002</v>
      </c>
      <c r="I212" s="10">
        <f t="shared" si="25"/>
        <v>34595.605352112681</v>
      </c>
      <c r="J212" s="31">
        <f t="shared" si="22"/>
        <v>59480.458950980312</v>
      </c>
      <c r="K212" s="10">
        <f t="shared" si="23"/>
        <v>34595.605352112681</v>
      </c>
      <c r="L212" s="10">
        <f>'D) Ecrêtage'!C212</f>
        <v>18533.117816901413</v>
      </c>
      <c r="M212" s="10">
        <f t="shared" si="24"/>
        <v>21625.589228539189</v>
      </c>
      <c r="N212" s="55">
        <f t="shared" si="26"/>
        <v>56221.194580651871</v>
      </c>
      <c r="O212" s="216"/>
      <c r="P212" s="217"/>
      <c r="Q212" s="213"/>
      <c r="R212" s="213"/>
      <c r="S212" s="218"/>
    </row>
    <row r="213" spans="1:19" s="212" customFormat="1" x14ac:dyDescent="0.25">
      <c r="A213" s="302">
        <f>'A) Base RI'!A214</f>
        <v>5744</v>
      </c>
      <c r="B213" s="225" t="str">
        <f>'A) Base RI'!B214</f>
        <v>Ballaigues</v>
      </c>
      <c r="C213" s="240">
        <v>0</v>
      </c>
      <c r="D213" s="214">
        <f>'B) D RI'!AA214</f>
        <v>1173</v>
      </c>
      <c r="E213" s="215">
        <f>'B) D RI'!S214</f>
        <v>65</v>
      </c>
      <c r="F213" s="10">
        <f>'B) D RI'!R214</f>
        <v>3200941.8800000004</v>
      </c>
      <c r="G213" s="10">
        <f>'B) D RI'!U214</f>
        <v>49245.2596923077</v>
      </c>
      <c r="H213" s="41">
        <f>'B) D RI'!T214</f>
        <v>3009987.18</v>
      </c>
      <c r="I213" s="10">
        <f t="shared" si="25"/>
        <v>92614.990153846156</v>
      </c>
      <c r="J213" s="31">
        <f t="shared" si="22"/>
        <v>104918.1629315788</v>
      </c>
      <c r="K213" s="10">
        <f t="shared" si="23"/>
        <v>92614.990153846156</v>
      </c>
      <c r="L213" s="10">
        <f>'D) Ecrêtage'!C213</f>
        <v>49245.2596923077</v>
      </c>
      <c r="M213" s="10">
        <f t="shared" si="24"/>
        <v>57462.417715134179</v>
      </c>
      <c r="N213" s="55">
        <f t="shared" si="26"/>
        <v>150077.40786898034</v>
      </c>
      <c r="O213" s="216"/>
      <c r="P213" s="217"/>
      <c r="Q213" s="213"/>
      <c r="R213" s="213"/>
      <c r="S213" s="218"/>
    </row>
    <row r="214" spans="1:19" s="212" customFormat="1" x14ac:dyDescent="0.25">
      <c r="A214" s="302">
        <f>'A) Base RI'!A215</f>
        <v>5745</v>
      </c>
      <c r="B214" s="225" t="str">
        <f>'A) Base RI'!B215</f>
        <v>Baulmes</v>
      </c>
      <c r="C214" s="240">
        <v>0</v>
      </c>
      <c r="D214" s="214">
        <f>'B) D RI'!AA215</f>
        <v>1126</v>
      </c>
      <c r="E214" s="215">
        <f>'B) D RI'!S215</f>
        <v>76.5</v>
      </c>
      <c r="F214" s="10">
        <f>'B) D RI'!R215</f>
        <v>2178075.27</v>
      </c>
      <c r="G214" s="10">
        <f>'B) D RI'!U215</f>
        <v>28471.572156862745</v>
      </c>
      <c r="H214" s="41">
        <f>'B) D RI'!T215</f>
        <v>2032337.67</v>
      </c>
      <c r="I214" s="10">
        <f t="shared" si="25"/>
        <v>53133.010980392151</v>
      </c>
      <c r="J214" s="31">
        <f t="shared" si="22"/>
        <v>100714.2808703817</v>
      </c>
      <c r="K214" s="10">
        <f t="shared" si="23"/>
        <v>53133.010980392151</v>
      </c>
      <c r="L214" s="10">
        <f>'D) Ecrêtage'!C214</f>
        <v>28471.572156862745</v>
      </c>
      <c r="M214" s="10">
        <f t="shared" si="24"/>
        <v>33222.393028415434</v>
      </c>
      <c r="N214" s="55">
        <f t="shared" si="26"/>
        <v>86355.404008807585</v>
      </c>
      <c r="O214" s="216"/>
      <c r="P214" s="217"/>
      <c r="Q214" s="213"/>
      <c r="R214" s="213"/>
      <c r="S214" s="218"/>
    </row>
    <row r="215" spans="1:19" s="212" customFormat="1" x14ac:dyDescent="0.25">
      <c r="A215" s="302">
        <f>'A) Base RI'!A216</f>
        <v>5746</v>
      </c>
      <c r="B215" s="225" t="str">
        <f>'A) Base RI'!B216</f>
        <v>Bavois</v>
      </c>
      <c r="C215" s="240">
        <v>0</v>
      </c>
      <c r="D215" s="214">
        <f>'B) D RI'!AA216</f>
        <v>978</v>
      </c>
      <c r="E215" s="215">
        <f>'B) D RI'!S216</f>
        <v>73</v>
      </c>
      <c r="F215" s="10">
        <f>'B) D RI'!R216</f>
        <v>2000793.1183333332</v>
      </c>
      <c r="G215" s="10">
        <f>'B) D RI'!U216</f>
        <v>27408.124908675796</v>
      </c>
      <c r="H215" s="41">
        <f>'B) D RI'!T216</f>
        <v>1797196.91</v>
      </c>
      <c r="I215" s="10">
        <f t="shared" si="25"/>
        <v>49238.271506849313</v>
      </c>
      <c r="J215" s="31">
        <f t="shared" si="22"/>
        <v>87476.524592569534</v>
      </c>
      <c r="K215" s="10">
        <f t="shared" si="23"/>
        <v>49238.271506849313</v>
      </c>
      <c r="L215" s="10">
        <f>'D) Ecrêtage'!C215</f>
        <v>27408.124908675796</v>
      </c>
      <c r="M215" s="10">
        <f t="shared" si="24"/>
        <v>31981.496942677582</v>
      </c>
      <c r="N215" s="55">
        <f t="shared" si="26"/>
        <v>81219.768449526891</v>
      </c>
      <c r="O215" s="216"/>
      <c r="P215" s="217"/>
      <c r="Q215" s="213"/>
      <c r="R215" s="213"/>
      <c r="S215" s="218"/>
    </row>
    <row r="216" spans="1:19" s="212" customFormat="1" x14ac:dyDescent="0.25">
      <c r="A216" s="302">
        <f>'A) Base RI'!A217</f>
        <v>5747</v>
      </c>
      <c r="B216" s="225" t="str">
        <f>'A) Base RI'!B217</f>
        <v>Bofflens</v>
      </c>
      <c r="C216" s="240">
        <v>0</v>
      </c>
      <c r="D216" s="214">
        <f>'B) D RI'!AA217</f>
        <v>206</v>
      </c>
      <c r="E216" s="215">
        <f>'B) D RI'!S217</f>
        <v>69</v>
      </c>
      <c r="F216" s="10">
        <f>'B) D RI'!R217</f>
        <v>400764.13999999996</v>
      </c>
      <c r="G216" s="10">
        <f>'B) D RI'!U217</f>
        <v>5808.1759420289845</v>
      </c>
      <c r="H216" s="41">
        <f>'B) D RI'!T217</f>
        <v>368245.04</v>
      </c>
      <c r="I216" s="10">
        <f t="shared" si="25"/>
        <v>10673.769275362318</v>
      </c>
      <c r="J216" s="31">
        <f t="shared" si="22"/>
        <v>18425.525629927735</v>
      </c>
      <c r="K216" s="10">
        <f t="shared" si="23"/>
        <v>10673.769275362318</v>
      </c>
      <c r="L216" s="10">
        <f>'D) Ecrêtage'!C216</f>
        <v>5808.1759420289845</v>
      </c>
      <c r="M216" s="10">
        <f t="shared" si="24"/>
        <v>6777.3392653261972</v>
      </c>
      <c r="N216" s="55">
        <f t="shared" si="26"/>
        <v>17451.108540688514</v>
      </c>
      <c r="O216" s="216"/>
      <c r="P216" s="217"/>
      <c r="Q216" s="213"/>
      <c r="R216" s="213"/>
      <c r="S216" s="218"/>
    </row>
    <row r="217" spans="1:19" s="212" customFormat="1" x14ac:dyDescent="0.25">
      <c r="A217" s="302">
        <f>'A) Base RI'!A218</f>
        <v>5748</v>
      </c>
      <c r="B217" s="225" t="str">
        <f>'A) Base RI'!B218</f>
        <v>Bretonnières</v>
      </c>
      <c r="C217" s="240">
        <v>0</v>
      </c>
      <c r="D217" s="214">
        <f>'B) D RI'!AA218</f>
        <v>266</v>
      </c>
      <c r="E217" s="215">
        <f>'B) D RI'!S218</f>
        <v>70.5</v>
      </c>
      <c r="F217" s="10">
        <f>'B) D RI'!R218</f>
        <v>468374.88333333336</v>
      </c>
      <c r="G217" s="10">
        <f>'B) D RI'!U218</f>
        <v>6643.6153664302601</v>
      </c>
      <c r="H217" s="41">
        <f>'B) D RI'!T218</f>
        <v>429284.55000000005</v>
      </c>
      <c r="I217" s="10">
        <f t="shared" si="25"/>
        <v>12178.28510638298</v>
      </c>
      <c r="J217" s="31">
        <f t="shared" si="22"/>
        <v>23792.183580392124</v>
      </c>
      <c r="K217" s="10">
        <f t="shared" si="23"/>
        <v>12178.28510638298</v>
      </c>
      <c r="L217" s="10">
        <f>'D) Ecrêtage'!C217</f>
        <v>6643.6153664302601</v>
      </c>
      <c r="M217" s="10">
        <f t="shared" si="24"/>
        <v>7752.1817066208287</v>
      </c>
      <c r="N217" s="55">
        <f t="shared" si="26"/>
        <v>19930.466813003808</v>
      </c>
      <c r="O217" s="216"/>
      <c r="P217" s="217"/>
      <c r="Q217" s="213"/>
      <c r="R217" s="213"/>
      <c r="S217" s="218"/>
    </row>
    <row r="218" spans="1:19" s="212" customFormat="1" x14ac:dyDescent="0.25">
      <c r="A218" s="302">
        <f>'A) Base RI'!A219</f>
        <v>5749</v>
      </c>
      <c r="B218" s="225" t="str">
        <f>'A) Base RI'!B219</f>
        <v>Chavornay</v>
      </c>
      <c r="C218" s="240">
        <v>0</v>
      </c>
      <c r="D218" s="214">
        <f>'B) D RI'!AA219</f>
        <v>5366</v>
      </c>
      <c r="E218" s="215">
        <f>'B) D RI'!S219</f>
        <v>70.5</v>
      </c>
      <c r="F218" s="10">
        <f>'B) D RI'!R219</f>
        <v>10810372.49</v>
      </c>
      <c r="G218" s="10">
        <f>'B) D RI'!U219</f>
        <v>153338.61687943264</v>
      </c>
      <c r="H218" s="41">
        <f>'B) D RI'!T219</f>
        <v>9859793.9900000002</v>
      </c>
      <c r="I218" s="10">
        <f t="shared" ref="I218" si="27">+H218/E218*$I$5</f>
        <v>279710.46780141845</v>
      </c>
      <c r="J218" s="31">
        <f t="shared" ref="J218" si="28">+$I$314/$D$314*D218</f>
        <v>479958.10936986515</v>
      </c>
      <c r="K218" s="10">
        <f t="shared" ref="K218" si="29">IF(C218=1,0,IF(J218&gt;I218,I218,J218))</f>
        <v>279710.46780141845</v>
      </c>
      <c r="L218" s="10">
        <f>'D) Ecrêtage'!C218</f>
        <v>153338.61687943264</v>
      </c>
      <c r="M218" s="10">
        <f t="shared" ref="M218" si="30">+$M$5*L218</f>
        <v>178924.99115733625</v>
      </c>
      <c r="N218" s="55">
        <f t="shared" si="26"/>
        <v>458635.45895875467</v>
      </c>
      <c r="O218" s="216"/>
      <c r="P218" s="217"/>
      <c r="Q218" s="213"/>
      <c r="R218" s="213"/>
      <c r="S218" s="218"/>
    </row>
    <row r="219" spans="1:19" s="212" customFormat="1" x14ac:dyDescent="0.25">
      <c r="A219" s="302">
        <f>'A) Base RI'!A220</f>
        <v>5750</v>
      </c>
      <c r="B219" s="225" t="str">
        <f>'A) Base RI'!B220</f>
        <v>Les Clées</v>
      </c>
      <c r="C219" s="240">
        <v>0</v>
      </c>
      <c r="D219" s="214">
        <f>'B) D RI'!AA220</f>
        <v>182</v>
      </c>
      <c r="E219" s="215">
        <f>'B) D RI'!S220</f>
        <v>80</v>
      </c>
      <c r="F219" s="10">
        <f>'B) D RI'!R220</f>
        <v>385581.93333333335</v>
      </c>
      <c r="G219" s="10">
        <f>'B) D RI'!U220</f>
        <v>4819.774166666667</v>
      </c>
      <c r="H219" s="41">
        <f>'B) D RI'!T220</f>
        <v>362151.7</v>
      </c>
      <c r="I219" s="10">
        <f t="shared" si="25"/>
        <v>9053.7924999999996</v>
      </c>
      <c r="J219" s="31">
        <f t="shared" ref="J219:J242" si="31">+$I$314/$D$314*D219</f>
        <v>16278.862449741979</v>
      </c>
      <c r="K219" s="10">
        <f t="shared" si="23"/>
        <v>9053.7924999999996</v>
      </c>
      <c r="L219" s="10">
        <f>'D) Ecrêtage'!C219</f>
        <v>4819.774166666667</v>
      </c>
      <c r="M219" s="10">
        <f t="shared" si="24"/>
        <v>5624.0108832419119</v>
      </c>
      <c r="N219" s="55">
        <f t="shared" si="26"/>
        <v>14677.803383241911</v>
      </c>
      <c r="O219" s="216"/>
      <c r="P219" s="217"/>
      <c r="Q219" s="213"/>
      <c r="R219" s="213"/>
      <c r="S219" s="218"/>
    </row>
    <row r="220" spans="1:19" s="212" customFormat="1" x14ac:dyDescent="0.25">
      <c r="A220" s="302">
        <f>'A) Base RI'!A221</f>
        <v>5752</v>
      </c>
      <c r="B220" s="225" t="str">
        <f>'A) Base RI'!B221</f>
        <v>Croy</v>
      </c>
      <c r="C220" s="240">
        <v>0</v>
      </c>
      <c r="D220" s="214">
        <f>'B) D RI'!AA221</f>
        <v>390</v>
      </c>
      <c r="E220" s="215">
        <f>'B) D RI'!S221</f>
        <v>74</v>
      </c>
      <c r="F220" s="10">
        <f>'B) D RI'!R221</f>
        <v>715653.6471428572</v>
      </c>
      <c r="G220" s="10">
        <f>'B) D RI'!U221</f>
        <v>9670.9952316602321</v>
      </c>
      <c r="H220" s="41">
        <f>'B) D RI'!T221</f>
        <v>653369.39</v>
      </c>
      <c r="I220" s="10">
        <f t="shared" si="25"/>
        <v>17658.632162162161</v>
      </c>
      <c r="J220" s="31">
        <f t="shared" si="31"/>
        <v>34883.276678018527</v>
      </c>
      <c r="K220" s="10">
        <f t="shared" si="23"/>
        <v>17658.632162162161</v>
      </c>
      <c r="L220" s="10">
        <f>'D) Ecrêtage'!C220</f>
        <v>9670.9952316602321</v>
      </c>
      <c r="M220" s="10">
        <f t="shared" si="24"/>
        <v>11284.715954285779</v>
      </c>
      <c r="N220" s="55">
        <f t="shared" si="26"/>
        <v>28943.348116447938</v>
      </c>
      <c r="O220" s="216"/>
      <c r="P220" s="217"/>
      <c r="Q220" s="213"/>
      <c r="R220" s="213"/>
      <c r="S220" s="218"/>
    </row>
    <row r="221" spans="1:19" s="212" customFormat="1" x14ac:dyDescent="0.25">
      <c r="A221" s="302">
        <f>'A) Base RI'!A222</f>
        <v>5754</v>
      </c>
      <c r="B221" s="225" t="str">
        <f>'A) Base RI'!B222</f>
        <v>Juriens</v>
      </c>
      <c r="C221" s="240">
        <v>0</v>
      </c>
      <c r="D221" s="214">
        <f>'B) D RI'!AA222</f>
        <v>348</v>
      </c>
      <c r="E221" s="215">
        <f>'B) D RI'!S222</f>
        <v>79</v>
      </c>
      <c r="F221" s="10">
        <f>'B) D RI'!R222</f>
        <v>716821.78999999992</v>
      </c>
      <c r="G221" s="10">
        <f>'B) D RI'!U222</f>
        <v>9073.6935443037964</v>
      </c>
      <c r="H221" s="41">
        <f>'B) D RI'!T222</f>
        <v>671195.19</v>
      </c>
      <c r="I221" s="10">
        <f t="shared" si="25"/>
        <v>16992.28329113924</v>
      </c>
      <c r="J221" s="31">
        <f t="shared" si="31"/>
        <v>31126.616112693457</v>
      </c>
      <c r="K221" s="10">
        <f t="shared" si="23"/>
        <v>16992.28329113924</v>
      </c>
      <c r="L221" s="10">
        <f>'D) Ecrêtage'!C221</f>
        <v>9073.6935443037964</v>
      </c>
      <c r="M221" s="10">
        <f t="shared" si="24"/>
        <v>10587.747367354126</v>
      </c>
      <c r="N221" s="55">
        <f t="shared" si="26"/>
        <v>27580.030658493364</v>
      </c>
      <c r="O221" s="216"/>
      <c r="P221" s="217"/>
      <c r="Q221" s="213"/>
      <c r="R221" s="213"/>
      <c r="S221" s="218"/>
    </row>
    <row r="222" spans="1:19" s="212" customFormat="1" x14ac:dyDescent="0.25">
      <c r="A222" s="302">
        <f>'A) Base RI'!A223</f>
        <v>5755</v>
      </c>
      <c r="B222" s="225" t="str">
        <f>'A) Base RI'!B223</f>
        <v>Lignerolle</v>
      </c>
      <c r="C222" s="240">
        <v>0</v>
      </c>
      <c r="D222" s="214">
        <f>'B) D RI'!AA223</f>
        <v>409</v>
      </c>
      <c r="E222" s="215">
        <f>'B) D RI'!S223</f>
        <v>78.5</v>
      </c>
      <c r="F222" s="10">
        <f>'B) D RI'!R223</f>
        <v>843617.36571428576</v>
      </c>
      <c r="G222" s="10">
        <f>'B) D RI'!U223</f>
        <v>10746.718034576888</v>
      </c>
      <c r="H222" s="41">
        <f>'B) D RI'!T223</f>
        <v>775068.9800000001</v>
      </c>
      <c r="I222" s="10">
        <f t="shared" si="25"/>
        <v>19746.980382165606</v>
      </c>
      <c r="J222" s="31">
        <f t="shared" si="31"/>
        <v>36582.718362332249</v>
      </c>
      <c r="K222" s="10">
        <f t="shared" si="23"/>
        <v>19746.980382165606</v>
      </c>
      <c r="L222" s="10">
        <f>'D) Ecrêtage'!C222</f>
        <v>10746.718034576888</v>
      </c>
      <c r="M222" s="10">
        <f t="shared" si="24"/>
        <v>12539.935917244922</v>
      </c>
      <c r="N222" s="55">
        <f t="shared" si="26"/>
        <v>32286.916299410528</v>
      </c>
      <c r="O222" s="216"/>
      <c r="P222" s="217"/>
      <c r="Q222" s="213"/>
      <c r="R222" s="213"/>
      <c r="S222" s="218"/>
    </row>
    <row r="223" spans="1:19" s="212" customFormat="1" x14ac:dyDescent="0.25">
      <c r="A223" s="302">
        <f>'A) Base RI'!A224</f>
        <v>5756</v>
      </c>
      <c r="B223" s="225" t="str">
        <f>'A) Base RI'!B224</f>
        <v>Montcherand</v>
      </c>
      <c r="C223" s="240">
        <v>1</v>
      </c>
      <c r="D223" s="214">
        <f>'B) D RI'!AA224</f>
        <v>502</v>
      </c>
      <c r="E223" s="215">
        <f>'B) D RI'!S224</f>
        <v>72</v>
      </c>
      <c r="F223" s="10">
        <f>'B) D RI'!R224</f>
        <v>1277245.7599999998</v>
      </c>
      <c r="G223" s="10">
        <f>'B) D RI'!U224</f>
        <v>17739.52444444444</v>
      </c>
      <c r="H223" s="41">
        <f>'B) D RI'!T224</f>
        <v>1190765.3599999999</v>
      </c>
      <c r="I223" s="10">
        <f t="shared" si="25"/>
        <v>33076.81555555555</v>
      </c>
      <c r="J223" s="31">
        <f t="shared" si="31"/>
        <v>44901.038185552054</v>
      </c>
      <c r="K223" s="10">
        <f t="shared" si="23"/>
        <v>0</v>
      </c>
      <c r="L223" s="10">
        <f>'D) Ecrêtage'!C223</f>
        <v>17739.52444444444</v>
      </c>
      <c r="M223" s="10">
        <f t="shared" si="24"/>
        <v>20699.575351284569</v>
      </c>
      <c r="N223" s="55">
        <f t="shared" si="26"/>
        <v>20699.575351284569</v>
      </c>
      <c r="O223" s="216"/>
      <c r="P223" s="217"/>
      <c r="Q223" s="213"/>
      <c r="R223" s="213"/>
      <c r="S223" s="218"/>
    </row>
    <row r="224" spans="1:19" s="212" customFormat="1" x14ac:dyDescent="0.25">
      <c r="A224" s="302">
        <f>'A) Base RI'!A225</f>
        <v>5757</v>
      </c>
      <c r="B224" s="225" t="str">
        <f>'A) Base RI'!B225</f>
        <v>Orbe</v>
      </c>
      <c r="C224" s="240">
        <v>1</v>
      </c>
      <c r="D224" s="214">
        <f>'B) D RI'!AA225</f>
        <v>7570</v>
      </c>
      <c r="E224" s="215">
        <f>'B) D RI'!S225</f>
        <v>75.5</v>
      </c>
      <c r="F224" s="10">
        <f>'B) D RI'!R225</f>
        <v>16321954.15</v>
      </c>
      <c r="G224" s="10">
        <f>'B) D RI'!U225</f>
        <v>216184.82317880794</v>
      </c>
      <c r="H224" s="41">
        <f>'B) D RI'!T225</f>
        <v>14803801.949999999</v>
      </c>
      <c r="I224" s="10">
        <f t="shared" si="25"/>
        <v>392153.69403973507</v>
      </c>
      <c r="J224" s="31">
        <f t="shared" si="31"/>
        <v>677093.34475025709</v>
      </c>
      <c r="K224" s="10">
        <f t="shared" si="23"/>
        <v>0</v>
      </c>
      <c r="L224" s="10">
        <f>'D) Ecrêtage'!C224</f>
        <v>216184.82317880794</v>
      </c>
      <c r="M224" s="10">
        <f t="shared" si="24"/>
        <v>252257.83538945427</v>
      </c>
      <c r="N224" s="55">
        <f t="shared" si="26"/>
        <v>252257.83538945427</v>
      </c>
      <c r="O224" s="216"/>
      <c r="P224" s="217"/>
      <c r="Q224" s="213"/>
      <c r="R224" s="213"/>
      <c r="S224" s="218"/>
    </row>
    <row r="225" spans="1:19" s="212" customFormat="1" x14ac:dyDescent="0.25">
      <c r="A225" s="302">
        <f>'A) Base RI'!A226</f>
        <v>5758</v>
      </c>
      <c r="B225" s="225" t="str">
        <f>'A) Base RI'!B226</f>
        <v>La Praz</v>
      </c>
      <c r="C225" s="240">
        <v>0</v>
      </c>
      <c r="D225" s="214">
        <f>'B) D RI'!AA226</f>
        <v>182</v>
      </c>
      <c r="E225" s="215">
        <f>'B) D RI'!S226</f>
        <v>83</v>
      </c>
      <c r="F225" s="10">
        <f>'B) D RI'!R226</f>
        <v>396064.89000000007</v>
      </c>
      <c r="G225" s="10">
        <f>'B) D RI'!U226</f>
        <v>4771.8661445783146</v>
      </c>
      <c r="H225" s="41">
        <f>'B) D RI'!T226</f>
        <v>366661.39000000007</v>
      </c>
      <c r="I225" s="10">
        <f t="shared" si="25"/>
        <v>8835.2142168674709</v>
      </c>
      <c r="J225" s="31">
        <f t="shared" si="31"/>
        <v>16278.862449741979</v>
      </c>
      <c r="K225" s="10">
        <f t="shared" si="23"/>
        <v>8835.2142168674709</v>
      </c>
      <c r="L225" s="10">
        <f>'D) Ecrêtage'!C225</f>
        <v>4771.8661445783146</v>
      </c>
      <c r="M225" s="10">
        <f t="shared" si="24"/>
        <v>5568.1088371496098</v>
      </c>
      <c r="N225" s="55">
        <f t="shared" si="26"/>
        <v>14403.323054017081</v>
      </c>
      <c r="O225" s="216"/>
      <c r="P225" s="217"/>
      <c r="Q225" s="213"/>
      <c r="R225" s="213"/>
      <c r="S225" s="218"/>
    </row>
    <row r="226" spans="1:19" s="212" customFormat="1" x14ac:dyDescent="0.25">
      <c r="A226" s="302">
        <f>'A) Base RI'!A227</f>
        <v>5759</v>
      </c>
      <c r="B226" s="225" t="str">
        <f>'A) Base RI'!B227</f>
        <v>Premier</v>
      </c>
      <c r="C226" s="240">
        <v>0</v>
      </c>
      <c r="D226" s="214">
        <f>'B) D RI'!AA227</f>
        <v>232</v>
      </c>
      <c r="E226" s="215">
        <f>'B) D RI'!S227</f>
        <v>79.5</v>
      </c>
      <c r="F226" s="10">
        <f>'B) D RI'!R227</f>
        <v>469054.54999999993</v>
      </c>
      <c r="G226" s="10">
        <f>'B) D RI'!U227</f>
        <v>5900.0572327044019</v>
      </c>
      <c r="H226" s="41">
        <f>'B) D RI'!T227</f>
        <v>436767.89999999991</v>
      </c>
      <c r="I226" s="10">
        <f t="shared" si="25"/>
        <v>10987.871698113206</v>
      </c>
      <c r="J226" s="31">
        <f t="shared" si="31"/>
        <v>20751.077408462304</v>
      </c>
      <c r="K226" s="10">
        <f t="shared" si="23"/>
        <v>10987.871698113206</v>
      </c>
      <c r="L226" s="10">
        <f>'D) Ecrêtage'!C226</f>
        <v>5900.0572327044019</v>
      </c>
      <c r="M226" s="10">
        <f t="shared" si="24"/>
        <v>6884.5520435303342</v>
      </c>
      <c r="N226" s="55">
        <f t="shared" si="26"/>
        <v>17872.423741643539</v>
      </c>
      <c r="O226" s="216"/>
      <c r="P226" s="217"/>
      <c r="Q226" s="213"/>
      <c r="R226" s="213"/>
      <c r="S226" s="218"/>
    </row>
    <row r="227" spans="1:19" s="212" customFormat="1" x14ac:dyDescent="0.25">
      <c r="A227" s="302">
        <f>'A) Base RI'!A228</f>
        <v>5760</v>
      </c>
      <c r="B227" s="225" t="str">
        <f>'A) Base RI'!B228</f>
        <v>Rances</v>
      </c>
      <c r="C227" s="240">
        <v>0</v>
      </c>
      <c r="D227" s="214">
        <f>'B) D RI'!AA228</f>
        <v>512</v>
      </c>
      <c r="E227" s="215">
        <f>'B) D RI'!S228</f>
        <v>76.5</v>
      </c>
      <c r="F227" s="10">
        <f>'B) D RI'!R228</f>
        <v>1107864.7733333332</v>
      </c>
      <c r="G227" s="10">
        <f>'B) D RI'!U228</f>
        <v>14481.892461873636</v>
      </c>
      <c r="H227" s="41">
        <f>'B) D RI'!T228</f>
        <v>1025769.44</v>
      </c>
      <c r="I227" s="10">
        <f t="shared" si="25"/>
        <v>26817.501699346405</v>
      </c>
      <c r="J227" s="31">
        <f t="shared" si="31"/>
        <v>45795.481177296118</v>
      </c>
      <c r="K227" s="10">
        <f t="shared" si="23"/>
        <v>26817.501699346405</v>
      </c>
      <c r="L227" s="10">
        <f>'D) Ecrêtage'!C227</f>
        <v>14481.892461873636</v>
      </c>
      <c r="M227" s="10">
        <f t="shared" si="24"/>
        <v>16898.368678515122</v>
      </c>
      <c r="N227" s="55">
        <f t="shared" si="26"/>
        <v>43715.870377861531</v>
      </c>
      <c r="O227" s="216"/>
      <c r="P227" s="217"/>
      <c r="Q227" s="213"/>
      <c r="R227" s="213"/>
      <c r="S227" s="218"/>
    </row>
    <row r="228" spans="1:19" s="212" customFormat="1" x14ac:dyDescent="0.25">
      <c r="A228" s="302">
        <f>'A) Base RI'!A229</f>
        <v>5761</v>
      </c>
      <c r="B228" s="225" t="str">
        <f>'A) Base RI'!B229</f>
        <v>Romainmôtier-Envy</v>
      </c>
      <c r="C228" s="240">
        <v>0</v>
      </c>
      <c r="D228" s="214">
        <f>'B) D RI'!AA229</f>
        <v>551</v>
      </c>
      <c r="E228" s="215">
        <f>'B) D RI'!S229</f>
        <v>81</v>
      </c>
      <c r="F228" s="10">
        <f>'B) D RI'!R229</f>
        <v>1046032.7681818183</v>
      </c>
      <c r="G228" s="10">
        <f>'B) D RI'!U229</f>
        <v>12913.984792368126</v>
      </c>
      <c r="H228" s="41">
        <f>'B) D RI'!T229</f>
        <v>954664.15</v>
      </c>
      <c r="I228" s="10">
        <f t="shared" si="25"/>
        <v>23571.954320987654</v>
      </c>
      <c r="J228" s="31">
        <f t="shared" si="31"/>
        <v>49283.80884509797</v>
      </c>
      <c r="K228" s="10">
        <f t="shared" si="23"/>
        <v>23571.954320987654</v>
      </c>
      <c r="L228" s="10">
        <f>'D) Ecrêtage'!C228</f>
        <v>12913.984792368126</v>
      </c>
      <c r="M228" s="10">
        <f t="shared" si="24"/>
        <v>15068.836942733426</v>
      </c>
      <c r="N228" s="55">
        <f t="shared" si="26"/>
        <v>38640.791263721083</v>
      </c>
      <c r="O228" s="216"/>
      <c r="P228" s="217"/>
      <c r="Q228" s="213"/>
      <c r="R228" s="213"/>
      <c r="S228" s="218"/>
    </row>
    <row r="229" spans="1:19" s="212" customFormat="1" x14ac:dyDescent="0.25">
      <c r="A229" s="302">
        <f>'A) Base RI'!A230</f>
        <v>5762</v>
      </c>
      <c r="B229" s="225" t="str">
        <f>'A) Base RI'!B230</f>
        <v>Sergey</v>
      </c>
      <c r="C229" s="240">
        <v>0</v>
      </c>
      <c r="D229" s="214">
        <f>'B) D RI'!AA230</f>
        <v>141</v>
      </c>
      <c r="E229" s="215">
        <f>'B) D RI'!S230</f>
        <v>78</v>
      </c>
      <c r="F229" s="10">
        <f>'B) D RI'!R230</f>
        <v>300271.01</v>
      </c>
      <c r="G229" s="10">
        <f>'B) D RI'!U230</f>
        <v>3849.6283333333336</v>
      </c>
      <c r="H229" s="41">
        <f>'B) D RI'!T230</f>
        <v>278758.31</v>
      </c>
      <c r="I229" s="10">
        <f t="shared" si="25"/>
        <v>7147.6489743589746</v>
      </c>
      <c r="J229" s="31">
        <f t="shared" si="31"/>
        <v>12611.646183591314</v>
      </c>
      <c r="K229" s="10">
        <f t="shared" si="23"/>
        <v>7147.6489743589746</v>
      </c>
      <c r="L229" s="10">
        <f>'D) Ecrêtage'!C229</f>
        <v>3849.6283333333336</v>
      </c>
      <c r="M229" s="10">
        <f t="shared" si="24"/>
        <v>4491.9846645172529</v>
      </c>
      <c r="N229" s="55">
        <f t="shared" si="26"/>
        <v>11639.633638876228</v>
      </c>
      <c r="O229" s="216"/>
      <c r="P229" s="217"/>
      <c r="Q229" s="213"/>
      <c r="R229" s="213"/>
      <c r="S229" s="218"/>
    </row>
    <row r="230" spans="1:19" s="212" customFormat="1" x14ac:dyDescent="0.25">
      <c r="A230" s="302">
        <f>'A) Base RI'!A231</f>
        <v>5763</v>
      </c>
      <c r="B230" s="225" t="str">
        <f>'A) Base RI'!B231</f>
        <v>Valeyres-sous-Rances</v>
      </c>
      <c r="C230" s="240">
        <v>0</v>
      </c>
      <c r="D230" s="214">
        <f>'B) D RI'!AA231</f>
        <v>614</v>
      </c>
      <c r="E230" s="215">
        <f>'B) D RI'!S231</f>
        <v>68</v>
      </c>
      <c r="F230" s="10">
        <f>'B) D RI'!R231</f>
        <v>1541150.1999999997</v>
      </c>
      <c r="G230" s="10">
        <f>'B) D RI'!U231</f>
        <v>22663.97352941176</v>
      </c>
      <c r="H230" s="41">
        <f>'B) D RI'!T231</f>
        <v>1442987.5499999998</v>
      </c>
      <c r="I230" s="10">
        <f t="shared" si="25"/>
        <v>42440.81029411764</v>
      </c>
      <c r="J230" s="31">
        <f t="shared" si="31"/>
        <v>54918.799693085581</v>
      </c>
      <c r="K230" s="10">
        <f t="shared" si="23"/>
        <v>42440.81029411764</v>
      </c>
      <c r="L230" s="10">
        <f>'D) Ecrêtage'!C230</f>
        <v>22663.97352941176</v>
      </c>
      <c r="M230" s="10">
        <f t="shared" si="24"/>
        <v>26445.727409479594</v>
      </c>
      <c r="N230" s="55">
        <f t="shared" si="26"/>
        <v>68886.537703597234</v>
      </c>
      <c r="O230" s="216"/>
      <c r="P230" s="217"/>
      <c r="Q230" s="213"/>
      <c r="R230" s="213"/>
      <c r="S230" s="218"/>
    </row>
    <row r="231" spans="1:19" s="212" customFormat="1" x14ac:dyDescent="0.25">
      <c r="A231" s="302">
        <f>'A) Base RI'!A232</f>
        <v>5764</v>
      </c>
      <c r="B231" s="225" t="str">
        <f>'A) Base RI'!B232</f>
        <v>Vallorbe</v>
      </c>
      <c r="C231" s="240">
        <v>0</v>
      </c>
      <c r="D231" s="214">
        <f>'B) D RI'!AA232</f>
        <v>3924</v>
      </c>
      <c r="E231" s="215">
        <f>'B) D RI'!S232</f>
        <v>71.5</v>
      </c>
      <c r="F231" s="10">
        <f>'B) D RI'!R232</f>
        <v>5983290.3699999992</v>
      </c>
      <c r="G231" s="10">
        <f>'B) D RI'!U232</f>
        <v>83682.382797202779</v>
      </c>
      <c r="H231" s="41">
        <f>'B) D RI'!T232</f>
        <v>5473249.5199999996</v>
      </c>
      <c r="I231" s="10">
        <f t="shared" si="25"/>
        <v>153097.88867132866</v>
      </c>
      <c r="J231" s="31">
        <f t="shared" si="31"/>
        <v>350979.42996037105</v>
      </c>
      <c r="K231" s="10">
        <f t="shared" si="23"/>
        <v>153097.88867132866</v>
      </c>
      <c r="L231" s="10">
        <f>'D) Ecrêtage'!C231</f>
        <v>83682.382797202779</v>
      </c>
      <c r="M231" s="10">
        <f t="shared" si="24"/>
        <v>97645.784908750211</v>
      </c>
      <c r="N231" s="55">
        <f t="shared" si="26"/>
        <v>250743.67358007887</v>
      </c>
      <c r="O231" s="216"/>
      <c r="P231" s="217"/>
      <c r="Q231" s="213"/>
      <c r="R231" s="213"/>
      <c r="S231" s="218"/>
    </row>
    <row r="232" spans="1:19" s="212" customFormat="1" x14ac:dyDescent="0.25">
      <c r="A232" s="302">
        <f>'A) Base RI'!A233</f>
        <v>5765</v>
      </c>
      <c r="B232" s="225" t="str">
        <f>'A) Base RI'!B233</f>
        <v>Vaulion</v>
      </c>
      <c r="C232" s="240">
        <v>0</v>
      </c>
      <c r="D232" s="214">
        <f>'B) D RI'!AA233</f>
        <v>492</v>
      </c>
      <c r="E232" s="215">
        <f>'B) D RI'!S233</f>
        <v>81</v>
      </c>
      <c r="F232" s="10">
        <f>'B) D RI'!R233</f>
        <v>832637.8</v>
      </c>
      <c r="G232" s="10">
        <f>'B) D RI'!U233</f>
        <v>10279.479012345679</v>
      </c>
      <c r="H232" s="41">
        <f>'B) D RI'!T233</f>
        <v>767410</v>
      </c>
      <c r="I232" s="10">
        <f t="shared" si="25"/>
        <v>18948.395061728395</v>
      </c>
      <c r="J232" s="31">
        <f t="shared" si="31"/>
        <v>44006.595193807989</v>
      </c>
      <c r="K232" s="10">
        <f t="shared" si="23"/>
        <v>18948.395061728395</v>
      </c>
      <c r="L232" s="10">
        <f>'D) Ecrêtage'!C232</f>
        <v>10279.479012345679</v>
      </c>
      <c r="M232" s="10">
        <f t="shared" si="24"/>
        <v>11994.732499981706</v>
      </c>
      <c r="N232" s="55">
        <f t="shared" si="26"/>
        <v>30943.127561710102</v>
      </c>
      <c r="O232" s="216"/>
      <c r="P232" s="217"/>
      <c r="Q232" s="213"/>
      <c r="R232" s="213"/>
      <c r="S232" s="218"/>
    </row>
    <row r="233" spans="1:19" s="212" customFormat="1" x14ac:dyDescent="0.25">
      <c r="A233" s="302">
        <f>'A) Base RI'!A234</f>
        <v>5766</v>
      </c>
      <c r="B233" s="225" t="str">
        <f>'A) Base RI'!B234</f>
        <v>Vuiteboeuf</v>
      </c>
      <c r="C233" s="240">
        <v>0</v>
      </c>
      <c r="D233" s="214">
        <f>'B) D RI'!AA234</f>
        <v>591</v>
      </c>
      <c r="E233" s="215">
        <f>'B) D RI'!S234</f>
        <v>75</v>
      </c>
      <c r="F233" s="10">
        <f>'B) D RI'!R234</f>
        <v>1166557.6428571427</v>
      </c>
      <c r="G233" s="10">
        <f>'B) D RI'!U234</f>
        <v>15554.101904761903</v>
      </c>
      <c r="H233" s="41">
        <f>'B) D RI'!T234</f>
        <v>1081691.3499999999</v>
      </c>
      <c r="I233" s="10">
        <f t="shared" si="25"/>
        <v>28845.102666666662</v>
      </c>
      <c r="J233" s="31">
        <f t="shared" si="31"/>
        <v>52861.580812074229</v>
      </c>
      <c r="K233" s="10">
        <f t="shared" si="23"/>
        <v>28845.102666666662</v>
      </c>
      <c r="L233" s="10">
        <f>'D) Ecrêtage'!C233</f>
        <v>15554.101904761903</v>
      </c>
      <c r="M233" s="10">
        <f t="shared" si="24"/>
        <v>18149.489035485865</v>
      </c>
      <c r="N233" s="55">
        <f t="shared" si="26"/>
        <v>46994.591702152524</v>
      </c>
      <c r="O233" s="216"/>
      <c r="P233" s="217"/>
      <c r="Q233" s="213"/>
      <c r="R233" s="213"/>
      <c r="S233" s="218"/>
    </row>
    <row r="234" spans="1:19" s="212" customFormat="1" x14ac:dyDescent="0.25">
      <c r="A234" s="302">
        <f>'A) Base RI'!A235</f>
        <v>5785</v>
      </c>
      <c r="B234" s="225" t="str">
        <f>'A) Base RI'!B235</f>
        <v>Corcelles-le-Jorat</v>
      </c>
      <c r="C234" s="240">
        <v>0</v>
      </c>
      <c r="D234" s="214">
        <f>'B) D RI'!AA235</f>
        <v>489</v>
      </c>
      <c r="E234" s="215">
        <f>'B) D RI'!S235</f>
        <v>77</v>
      </c>
      <c r="F234" s="10">
        <f>'B) D RI'!R235</f>
        <v>1122655.45</v>
      </c>
      <c r="G234" s="10">
        <f>'B) D RI'!U235</f>
        <v>14579.940909090908</v>
      </c>
      <c r="H234" s="41">
        <f>'B) D RI'!T235</f>
        <v>1045258.9999999999</v>
      </c>
      <c r="I234" s="10">
        <f t="shared" si="25"/>
        <v>27149.584415584413</v>
      </c>
      <c r="J234" s="31">
        <f t="shared" si="31"/>
        <v>43738.262296284767</v>
      </c>
      <c r="K234" s="10">
        <f t="shared" si="23"/>
        <v>27149.584415584413</v>
      </c>
      <c r="L234" s="10">
        <f>'D) Ecrêtage'!C234</f>
        <v>14579.940909090908</v>
      </c>
      <c r="M234" s="10">
        <f t="shared" si="24"/>
        <v>17012.777676772457</v>
      </c>
      <c r="N234" s="55">
        <f t="shared" si="26"/>
        <v>44162.362092356867</v>
      </c>
      <c r="O234" s="216"/>
      <c r="P234" s="217"/>
      <c r="Q234" s="213"/>
      <c r="R234" s="213"/>
      <c r="S234" s="218"/>
    </row>
    <row r="235" spans="1:19" s="212" customFormat="1" x14ac:dyDescent="0.25">
      <c r="A235" s="302">
        <f>'A) Base RI'!A236</f>
        <v>5788</v>
      </c>
      <c r="B235" s="225" t="str">
        <f>'A) Base RI'!B236</f>
        <v>Essertes</v>
      </c>
      <c r="C235" s="240">
        <v>0</v>
      </c>
      <c r="D235" s="214">
        <f>'B) D RI'!AA236</f>
        <v>397</v>
      </c>
      <c r="E235" s="215">
        <f>'B) D RI'!S236</f>
        <v>71.5</v>
      </c>
      <c r="F235" s="10">
        <f>'B) D RI'!R236</f>
        <v>952018.99999999988</v>
      </c>
      <c r="G235" s="10">
        <f>'B) D RI'!U236</f>
        <v>13314.951048951047</v>
      </c>
      <c r="H235" s="41">
        <f>'B) D RI'!T236</f>
        <v>852382.35999999987</v>
      </c>
      <c r="I235" s="10">
        <f t="shared" si="25"/>
        <v>23842.863216783215</v>
      </c>
      <c r="J235" s="31">
        <f t="shared" si="31"/>
        <v>35509.38677223937</v>
      </c>
      <c r="K235" s="10">
        <f t="shared" si="23"/>
        <v>23842.863216783215</v>
      </c>
      <c r="L235" s="10">
        <f>'D) Ecrêtage'!C235</f>
        <v>13314.951048951047</v>
      </c>
      <c r="M235" s="10">
        <f t="shared" si="24"/>
        <v>15536.709194182644</v>
      </c>
      <c r="N235" s="55">
        <f t="shared" si="26"/>
        <v>39379.572410965862</v>
      </c>
      <c r="O235" s="216"/>
      <c r="P235" s="217"/>
      <c r="Q235" s="213"/>
      <c r="R235" s="213"/>
      <c r="S235" s="218"/>
    </row>
    <row r="236" spans="1:19" s="212" customFormat="1" x14ac:dyDescent="0.25">
      <c r="A236" s="302">
        <f>'A) Base RI'!A237</f>
        <v>5790</v>
      </c>
      <c r="B236" s="225" t="str">
        <f>'A) Base RI'!B237</f>
        <v>Maracon</v>
      </c>
      <c r="C236" s="240">
        <v>0</v>
      </c>
      <c r="D236" s="214">
        <f>'B) D RI'!AA237</f>
        <v>547</v>
      </c>
      <c r="E236" s="215">
        <f>'B) D RI'!S237</f>
        <v>74.5</v>
      </c>
      <c r="F236" s="10">
        <f>'B) D RI'!R237</f>
        <v>1130317.77</v>
      </c>
      <c r="G236" s="10">
        <f>'B) D RI'!U237</f>
        <v>15172.050604026846</v>
      </c>
      <c r="H236" s="41">
        <f>'B) D RI'!T237</f>
        <v>1029435.0700000001</v>
      </c>
      <c r="I236" s="10">
        <f t="shared" si="25"/>
        <v>27635.840805369131</v>
      </c>
      <c r="J236" s="31">
        <f t="shared" si="31"/>
        <v>48926.031648400349</v>
      </c>
      <c r="K236" s="10">
        <f t="shared" si="23"/>
        <v>27635.840805369131</v>
      </c>
      <c r="L236" s="10">
        <f>'D) Ecrêtage'!C236</f>
        <v>15172.050604026846</v>
      </c>
      <c r="M236" s="10">
        <f t="shared" si="24"/>
        <v>17703.687925518778</v>
      </c>
      <c r="N236" s="55">
        <f t="shared" si="26"/>
        <v>45339.528730887905</v>
      </c>
      <c r="O236" s="216"/>
      <c r="P236" s="217"/>
      <c r="Q236" s="213"/>
      <c r="R236" s="213"/>
      <c r="S236" s="218"/>
    </row>
    <row r="237" spans="1:19" s="212" customFormat="1" x14ac:dyDescent="0.25">
      <c r="A237" s="302">
        <f>'A) Base RI'!A238</f>
        <v>5792</v>
      </c>
      <c r="B237" s="225" t="str">
        <f>'A) Base RI'!B238</f>
        <v>Montpreveyres</v>
      </c>
      <c r="C237" s="240">
        <v>0</v>
      </c>
      <c r="D237" s="214">
        <f>'B) D RI'!AA238</f>
        <v>662</v>
      </c>
      <c r="E237" s="215">
        <f>'B) D RI'!S238</f>
        <v>75.5</v>
      </c>
      <c r="F237" s="10">
        <f>'B) D RI'!R238</f>
        <v>1521010.6400000001</v>
      </c>
      <c r="G237" s="10">
        <f>'B) D RI'!U238</f>
        <v>20145.836291390729</v>
      </c>
      <c r="H237" s="41">
        <f>'B) D RI'!T238</f>
        <v>1397655.7400000002</v>
      </c>
      <c r="I237" s="10">
        <f t="shared" si="25"/>
        <v>37023.993112582786</v>
      </c>
      <c r="J237" s="31">
        <f t="shared" si="31"/>
        <v>59212.12605345709</v>
      </c>
      <c r="K237" s="10">
        <f t="shared" si="23"/>
        <v>37023.993112582786</v>
      </c>
      <c r="L237" s="10">
        <f>'D) Ecrêtage'!C237</f>
        <v>20145.836291390729</v>
      </c>
      <c r="M237" s="10">
        <f t="shared" si="24"/>
        <v>23507.408985751164</v>
      </c>
      <c r="N237" s="55">
        <f t="shared" si="26"/>
        <v>60531.402098333951</v>
      </c>
      <c r="O237" s="216"/>
      <c r="P237" s="217"/>
      <c r="Q237" s="213"/>
      <c r="R237" s="213"/>
      <c r="S237" s="218"/>
    </row>
    <row r="238" spans="1:19" s="212" customFormat="1" x14ac:dyDescent="0.25">
      <c r="A238" s="302">
        <f>'A) Base RI'!A239</f>
        <v>5798</v>
      </c>
      <c r="B238" s="225" t="str">
        <f>'A) Base RI'!B239</f>
        <v>Ropraz</v>
      </c>
      <c r="C238" s="240">
        <v>0</v>
      </c>
      <c r="D238" s="214">
        <f>'B) D RI'!AA239</f>
        <v>534</v>
      </c>
      <c r="E238" s="215">
        <f>'B) D RI'!S239</f>
        <v>77.5</v>
      </c>
      <c r="F238" s="10">
        <f>'B) D RI'!R239</f>
        <v>1351972.4000000001</v>
      </c>
      <c r="G238" s="10">
        <f>'B) D RI'!U239</f>
        <v>17444.805161290325</v>
      </c>
      <c r="H238" s="41">
        <f>'B) D RI'!T239</f>
        <v>1252173.25</v>
      </c>
      <c r="I238" s="10">
        <f t="shared" si="25"/>
        <v>32314.148387096775</v>
      </c>
      <c r="J238" s="31">
        <f t="shared" si="31"/>
        <v>47763.255759133062</v>
      </c>
      <c r="K238" s="10">
        <f t="shared" si="23"/>
        <v>32314.148387096775</v>
      </c>
      <c r="L238" s="10">
        <f>'D) Ecrêtage'!C238</f>
        <v>17444.805161290325</v>
      </c>
      <c r="M238" s="10">
        <f t="shared" si="24"/>
        <v>20355.678646035758</v>
      </c>
      <c r="N238" s="55">
        <f t="shared" si="26"/>
        <v>52669.827033132533</v>
      </c>
      <c r="O238" s="216"/>
      <c r="P238" s="217"/>
      <c r="Q238" s="213"/>
      <c r="R238" s="213"/>
      <c r="S238" s="218"/>
    </row>
    <row r="239" spans="1:19" s="212" customFormat="1" x14ac:dyDescent="0.25">
      <c r="A239" s="302">
        <f>'A) Base RI'!A240</f>
        <v>5799</v>
      </c>
      <c r="B239" s="225" t="str">
        <f>'A) Base RI'!B240</f>
        <v>Servion</v>
      </c>
      <c r="C239" s="240">
        <v>0</v>
      </c>
      <c r="D239" s="214">
        <f>'B) D RI'!AA240</f>
        <v>2107</v>
      </c>
      <c r="E239" s="215">
        <f>'B) D RI'!S240</f>
        <v>69</v>
      </c>
      <c r="F239" s="10">
        <f>'B) D RI'!R240</f>
        <v>4950354.1800000016</v>
      </c>
      <c r="G239" s="10">
        <f>'B) D RI'!U240</f>
        <v>71744.263478260895</v>
      </c>
      <c r="H239" s="41">
        <f>'B) D RI'!T240</f>
        <v>4513154.580000001</v>
      </c>
      <c r="I239" s="10">
        <f t="shared" si="25"/>
        <v>130816.07478260873</v>
      </c>
      <c r="J239" s="31">
        <f t="shared" si="31"/>
        <v>188459.13836047446</v>
      </c>
      <c r="K239" s="10">
        <f t="shared" si="23"/>
        <v>130816.07478260873</v>
      </c>
      <c r="L239" s="10">
        <f>'D) Ecrêtage'!C239</f>
        <v>71744.263478260895</v>
      </c>
      <c r="M239" s="10">
        <f t="shared" si="24"/>
        <v>83715.648214896893</v>
      </c>
      <c r="N239" s="55">
        <f t="shared" si="26"/>
        <v>214531.72299750563</v>
      </c>
      <c r="O239" s="216"/>
      <c r="P239" s="217"/>
      <c r="Q239" s="213"/>
      <c r="R239" s="213"/>
      <c r="S239" s="218"/>
    </row>
    <row r="240" spans="1:19" s="212" customFormat="1" x14ac:dyDescent="0.25">
      <c r="A240" s="302">
        <f>'A) Base RI'!A241</f>
        <v>5803</v>
      </c>
      <c r="B240" s="225" t="str">
        <f>'A) Base RI'!B241</f>
        <v>Vulliens</v>
      </c>
      <c r="C240" s="240">
        <v>0</v>
      </c>
      <c r="D240" s="214">
        <f>'B) D RI'!AA241</f>
        <v>631</v>
      </c>
      <c r="E240" s="215">
        <f>'B) D RI'!S241</f>
        <v>76</v>
      </c>
      <c r="F240" s="10">
        <f>'B) D RI'!R241</f>
        <v>1367710.2900000003</v>
      </c>
      <c r="G240" s="10">
        <f>'B) D RI'!U241</f>
        <v>17996.188026315795</v>
      </c>
      <c r="H240" s="41">
        <f>'B) D RI'!T241</f>
        <v>1264301.4400000002</v>
      </c>
      <c r="I240" s="10">
        <f t="shared" si="25"/>
        <v>33271.090526315791</v>
      </c>
      <c r="J240" s="31">
        <f t="shared" si="31"/>
        <v>56439.352779050489</v>
      </c>
      <c r="K240" s="10">
        <f t="shared" si="23"/>
        <v>33271.090526315791</v>
      </c>
      <c r="L240" s="10">
        <f>'D) Ecrêtage'!C240</f>
        <v>17996.188026315795</v>
      </c>
      <c r="M240" s="10">
        <f t="shared" si="24"/>
        <v>20999.066308300644</v>
      </c>
      <c r="N240" s="55">
        <f t="shared" si="26"/>
        <v>54270.156834616435</v>
      </c>
      <c r="O240" s="216"/>
      <c r="P240" s="217"/>
      <c r="Q240" s="213"/>
      <c r="R240" s="213"/>
      <c r="S240" s="218"/>
    </row>
    <row r="241" spans="1:19" s="212" customFormat="1" x14ac:dyDescent="0.25">
      <c r="A241" s="302">
        <f>'A) Base RI'!A242</f>
        <v>5804</v>
      </c>
      <c r="B241" s="225" t="str">
        <f>'A) Base RI'!B242</f>
        <v>Jorat-Menthue</v>
      </c>
      <c r="C241" s="240">
        <v>0</v>
      </c>
      <c r="D241" s="214">
        <f>'B) D RI'!AA242</f>
        <v>1603</v>
      </c>
      <c r="E241" s="215">
        <f>'B) D RI'!S242</f>
        <v>70.5</v>
      </c>
      <c r="F241" s="10">
        <f>'B) D RI'!R242</f>
        <v>3303236.9299999997</v>
      </c>
      <c r="G241" s="10">
        <f>'B) D RI'!U242</f>
        <v>46854.424539007086</v>
      </c>
      <c r="H241" s="41">
        <f>'B) D RI'!T242</f>
        <v>3025181.03</v>
      </c>
      <c r="I241" s="10">
        <f t="shared" si="25"/>
        <v>85820.738439716311</v>
      </c>
      <c r="J241" s="31">
        <f t="shared" si="31"/>
        <v>143379.21157657358</v>
      </c>
      <c r="K241" s="10">
        <f t="shared" si="23"/>
        <v>85820.738439716311</v>
      </c>
      <c r="L241" s="10">
        <f>'D) Ecrêtage'!C241</f>
        <v>46854.424539007086</v>
      </c>
      <c r="M241" s="10">
        <f t="shared" si="24"/>
        <v>54672.643244954124</v>
      </c>
      <c r="N241" s="55">
        <f t="shared" si="26"/>
        <v>140493.38168467043</v>
      </c>
      <c r="O241" s="216"/>
      <c r="P241" s="217"/>
      <c r="Q241" s="213"/>
      <c r="R241" s="213"/>
      <c r="S241" s="218"/>
    </row>
    <row r="242" spans="1:19" s="212" customFormat="1" x14ac:dyDescent="0.25">
      <c r="A242" s="302">
        <f>'A) Base RI'!A243</f>
        <v>5805</v>
      </c>
      <c r="B242" s="225" t="str">
        <f>'A) Base RI'!B243</f>
        <v>Oron</v>
      </c>
      <c r="C242" s="240">
        <v>0</v>
      </c>
      <c r="D242" s="214">
        <f>'B) D RI'!AA243</f>
        <v>5703</v>
      </c>
      <c r="E242" s="215">
        <f>'B) D RI'!S243</f>
        <v>69</v>
      </c>
      <c r="F242" s="10">
        <f>'B) D RI'!R243</f>
        <v>11185975.368181817</v>
      </c>
      <c r="G242" s="10">
        <f>'B) D RI'!U243</f>
        <v>162115.58504611329</v>
      </c>
      <c r="H242" s="41">
        <f>'B) D RI'!T243</f>
        <v>10147193.449999999</v>
      </c>
      <c r="I242" s="10">
        <f t="shared" si="25"/>
        <v>294121.54927536228</v>
      </c>
      <c r="J242" s="31">
        <f t="shared" si="31"/>
        <v>510100.83819164016</v>
      </c>
      <c r="K242" s="10">
        <f t="shared" si="23"/>
        <v>294121.54927536228</v>
      </c>
      <c r="L242" s="10">
        <f>'D) Ecrêtage'!C242</f>
        <v>162115.58504611329</v>
      </c>
      <c r="M242" s="10">
        <f t="shared" si="24"/>
        <v>189166.50098422056</v>
      </c>
      <c r="N242" s="55">
        <f t="shared" si="26"/>
        <v>483288.05025958281</v>
      </c>
      <c r="O242" s="216"/>
      <c r="P242" s="217"/>
      <c r="Q242" s="213"/>
      <c r="R242" s="213"/>
      <c r="S242" s="218"/>
    </row>
    <row r="243" spans="1:19" s="212" customFormat="1" x14ac:dyDescent="0.25">
      <c r="A243" s="302">
        <f>'A) Base RI'!A244</f>
        <v>5806</v>
      </c>
      <c r="B243" s="225" t="str">
        <f>'A) Base RI'!B244</f>
        <v>Jorat-Mézières</v>
      </c>
      <c r="C243" s="240">
        <v>0</v>
      </c>
      <c r="D243" s="214">
        <f>'B) D RI'!AA244</f>
        <v>3095</v>
      </c>
      <c r="E243" s="215">
        <f>'B) D RI'!S244</f>
        <v>73</v>
      </c>
      <c r="F243" s="10">
        <f>'B) D RI'!R244</f>
        <v>7451675.3599999994</v>
      </c>
      <c r="G243" s="10">
        <f>'B) D RI'!U244</f>
        <v>102077.74465753423</v>
      </c>
      <c r="H243" s="41">
        <f>'B) D RI'!T244</f>
        <v>6895725.6600000001</v>
      </c>
      <c r="I243" s="10">
        <f t="shared" ref="I243" si="32">+H243/E243*$I$5</f>
        <v>188923.99068493152</v>
      </c>
      <c r="J243" s="31">
        <f t="shared" ref="J243" si="33">+$I$314/$D$314*D243</f>
        <v>276830.10594478808</v>
      </c>
      <c r="K243" s="10">
        <f t="shared" ref="K243" si="34">IF(C243=1,0,IF(J243&gt;I243,I243,J243))</f>
        <v>188923.99068493152</v>
      </c>
      <c r="L243" s="10">
        <f>'D) Ecrêtage'!C243</f>
        <v>102077.74465753423</v>
      </c>
      <c r="M243" s="10">
        <f t="shared" ref="M243" si="35">+$M$5*L243</f>
        <v>119110.63195888218</v>
      </c>
      <c r="N243" s="55">
        <f t="shared" si="26"/>
        <v>308034.62264381372</v>
      </c>
      <c r="O243" s="216"/>
      <c r="P243" s="217"/>
      <c r="Q243" s="213"/>
      <c r="R243" s="213"/>
      <c r="S243" s="218"/>
    </row>
    <row r="244" spans="1:19" s="212" customFormat="1" x14ac:dyDescent="0.25">
      <c r="A244" s="302">
        <f>'A) Base RI'!A245</f>
        <v>5812</v>
      </c>
      <c r="B244" s="225" t="str">
        <f>'A) Base RI'!B245</f>
        <v>Champtauroz</v>
      </c>
      <c r="C244" s="240">
        <v>0</v>
      </c>
      <c r="D244" s="214">
        <f>'B) D RI'!AA245</f>
        <v>169</v>
      </c>
      <c r="E244" s="215">
        <f>'B) D RI'!S245</f>
        <v>77</v>
      </c>
      <c r="F244" s="10">
        <f>'B) D RI'!R245</f>
        <v>257884.58999999997</v>
      </c>
      <c r="G244" s="10">
        <f>'B) D RI'!U245</f>
        <v>3349.1505194805191</v>
      </c>
      <c r="H244" s="41">
        <f>'B) D RI'!T245</f>
        <v>238247.08999999997</v>
      </c>
      <c r="I244" s="10">
        <f t="shared" si="25"/>
        <v>6188.2361038961035</v>
      </c>
      <c r="J244" s="31">
        <f t="shared" ref="J244:J275" si="36">+$I$314/$D$314*D244</f>
        <v>15116.086560474696</v>
      </c>
      <c r="K244" s="10">
        <f t="shared" si="23"/>
        <v>6188.2361038961035</v>
      </c>
      <c r="L244" s="10">
        <f>'D) Ecrêtage'!C244</f>
        <v>3349.1505194805191</v>
      </c>
      <c r="M244" s="10">
        <f t="shared" si="24"/>
        <v>3907.9961674221749</v>
      </c>
      <c r="N244" s="55">
        <f t="shared" si="26"/>
        <v>10096.232271318278</v>
      </c>
      <c r="O244" s="216"/>
      <c r="P244" s="217"/>
      <c r="Q244" s="213"/>
      <c r="R244" s="213"/>
      <c r="S244" s="218"/>
    </row>
    <row r="245" spans="1:19" s="212" customFormat="1" x14ac:dyDescent="0.25">
      <c r="A245" s="302">
        <f>'A) Base RI'!A246</f>
        <v>5813</v>
      </c>
      <c r="B245" s="225" t="str">
        <f>'A) Base RI'!B246</f>
        <v>Chevroux</v>
      </c>
      <c r="C245" s="240">
        <v>0</v>
      </c>
      <c r="D245" s="214">
        <f>'B) D RI'!AA246</f>
        <v>506</v>
      </c>
      <c r="E245" s="215">
        <f>'B) D RI'!S246</f>
        <v>68.5</v>
      </c>
      <c r="F245" s="10">
        <f>'B) D RI'!R246</f>
        <v>1046468.0150000001</v>
      </c>
      <c r="G245" s="10">
        <f>'B) D RI'!U246</f>
        <v>15276.905328467155</v>
      </c>
      <c r="H245" s="41">
        <f>'B) D RI'!T246</f>
        <v>948169.64000000013</v>
      </c>
      <c r="I245" s="10">
        <f t="shared" si="25"/>
        <v>27683.785109489054</v>
      </c>
      <c r="J245" s="31">
        <f t="shared" si="36"/>
        <v>45258.815382249682</v>
      </c>
      <c r="K245" s="10">
        <f t="shared" si="23"/>
        <v>27683.785109489054</v>
      </c>
      <c r="L245" s="10">
        <f>'D) Ecrêtage'!C245</f>
        <v>15276.905328467155</v>
      </c>
      <c r="M245" s="10">
        <f t="shared" si="24"/>
        <v>17826.038909407194</v>
      </c>
      <c r="N245" s="55">
        <f t="shared" si="26"/>
        <v>45509.824018896252</v>
      </c>
      <c r="O245" s="216"/>
      <c r="P245" s="217"/>
      <c r="Q245" s="213"/>
      <c r="R245" s="213"/>
      <c r="S245" s="218"/>
    </row>
    <row r="246" spans="1:19" s="212" customFormat="1" x14ac:dyDescent="0.25">
      <c r="A246" s="302">
        <f>'A) Base RI'!A247</f>
        <v>5816</v>
      </c>
      <c r="B246" s="225" t="str">
        <f>'A) Base RI'!B247</f>
        <v>Corcelles-près-Payerne</v>
      </c>
      <c r="C246" s="240">
        <v>0</v>
      </c>
      <c r="D246" s="214">
        <f>'B) D RI'!AA247</f>
        <v>2722</v>
      </c>
      <c r="E246" s="215">
        <f>'B) D RI'!S247</f>
        <v>68.5</v>
      </c>
      <c r="F246" s="10">
        <f>'B) D RI'!R247</f>
        <v>4497110.978571428</v>
      </c>
      <c r="G246" s="10">
        <f>'B) D RI'!U247</f>
        <v>65651.255161626686</v>
      </c>
      <c r="H246" s="41">
        <f>'B) D RI'!T247</f>
        <v>4082655.4499999993</v>
      </c>
      <c r="I246" s="10">
        <f t="shared" si="25"/>
        <v>119201.61897810217</v>
      </c>
      <c r="J246" s="31">
        <f t="shared" si="36"/>
        <v>243467.38235273445</v>
      </c>
      <c r="K246" s="10">
        <f t="shared" si="23"/>
        <v>119201.61897810217</v>
      </c>
      <c r="L246" s="10">
        <f>'D) Ecrêtage'!C246</f>
        <v>65651.255161626686</v>
      </c>
      <c r="M246" s="10">
        <f t="shared" si="24"/>
        <v>76605.948901301614</v>
      </c>
      <c r="N246" s="55">
        <f t="shared" si="26"/>
        <v>195807.56787940377</v>
      </c>
      <c r="O246" s="216"/>
      <c r="P246" s="217"/>
      <c r="Q246" s="213"/>
      <c r="R246" s="213"/>
      <c r="S246" s="218"/>
    </row>
    <row r="247" spans="1:19" s="212" customFormat="1" x14ac:dyDescent="0.25">
      <c r="A247" s="302">
        <f>'A) Base RI'!A248</f>
        <v>5817</v>
      </c>
      <c r="B247" s="225" t="str">
        <f>'A) Base RI'!B248</f>
        <v>Grandcour</v>
      </c>
      <c r="C247" s="240">
        <v>0</v>
      </c>
      <c r="D247" s="214">
        <f>'B) D RI'!AA248</f>
        <v>987</v>
      </c>
      <c r="E247" s="215">
        <f>'B) D RI'!S248</f>
        <v>73.5</v>
      </c>
      <c r="F247" s="10">
        <f>'B) D RI'!R248</f>
        <v>1809798.13</v>
      </c>
      <c r="G247" s="10">
        <f>'B) D RI'!U248</f>
        <v>24623.103809523807</v>
      </c>
      <c r="H247" s="41">
        <f>'B) D RI'!T248</f>
        <v>1669626.33</v>
      </c>
      <c r="I247" s="10">
        <f t="shared" si="25"/>
        <v>45432.008979591839</v>
      </c>
      <c r="J247" s="31">
        <f t="shared" si="36"/>
        <v>88281.523285139192</v>
      </c>
      <c r="K247" s="10">
        <f t="shared" si="23"/>
        <v>45432.008979591839</v>
      </c>
      <c r="L247" s="10">
        <f>'D) Ecrêtage'!C247</f>
        <v>24623.103809523807</v>
      </c>
      <c r="M247" s="10">
        <f t="shared" si="24"/>
        <v>28731.761907369575</v>
      </c>
      <c r="N247" s="55">
        <f t="shared" si="26"/>
        <v>74163.770886961414</v>
      </c>
      <c r="O247" s="216"/>
      <c r="P247" s="217"/>
      <c r="Q247" s="213"/>
      <c r="R247" s="213"/>
      <c r="S247" s="218"/>
    </row>
    <row r="248" spans="1:19" s="212" customFormat="1" x14ac:dyDescent="0.25">
      <c r="A248" s="302">
        <f>'A) Base RI'!A249</f>
        <v>5819</v>
      </c>
      <c r="B248" s="225" t="str">
        <f>'A) Base RI'!B249</f>
        <v>Henniez</v>
      </c>
      <c r="C248" s="240">
        <v>0</v>
      </c>
      <c r="D248" s="214">
        <f>'B) D RI'!AA249</f>
        <v>407</v>
      </c>
      <c r="E248" s="215">
        <f>'B) D RI'!S249</f>
        <v>69</v>
      </c>
      <c r="F248" s="10">
        <f>'B) D RI'!R249</f>
        <v>695081.64999999991</v>
      </c>
      <c r="G248" s="10">
        <f>'B) D RI'!U249</f>
        <v>10073.647101449274</v>
      </c>
      <c r="H248" s="41">
        <f>'B) D RI'!T249</f>
        <v>600281.44999999995</v>
      </c>
      <c r="I248" s="10">
        <f t="shared" si="25"/>
        <v>17399.462318840579</v>
      </c>
      <c r="J248" s="31">
        <f t="shared" si="36"/>
        <v>36403.829763983435</v>
      </c>
      <c r="K248" s="10">
        <f t="shared" si="23"/>
        <v>17399.462318840579</v>
      </c>
      <c r="L248" s="10">
        <f>'D) Ecrêtage'!C248</f>
        <v>10073.647101449274</v>
      </c>
      <c r="M248" s="10">
        <f t="shared" si="24"/>
        <v>11754.55508357789</v>
      </c>
      <c r="N248" s="55">
        <f t="shared" si="26"/>
        <v>29154.017402418467</v>
      </c>
      <c r="O248" s="216"/>
      <c r="P248" s="217"/>
      <c r="Q248" s="213"/>
      <c r="R248" s="213"/>
      <c r="S248" s="218"/>
    </row>
    <row r="249" spans="1:19" s="212" customFormat="1" x14ac:dyDescent="0.25">
      <c r="A249" s="302">
        <f>'A) Base RI'!A250</f>
        <v>5821</v>
      </c>
      <c r="B249" s="225" t="str">
        <f>'A) Base RI'!B250</f>
        <v>Missy</v>
      </c>
      <c r="C249" s="240">
        <v>0</v>
      </c>
      <c r="D249" s="214">
        <f>'B) D RI'!AA250</f>
        <v>366</v>
      </c>
      <c r="E249" s="215">
        <f>'B) D RI'!S250</f>
        <v>72</v>
      </c>
      <c r="F249" s="10">
        <f>'B) D RI'!R250</f>
        <v>579217.36</v>
      </c>
      <c r="G249" s="10">
        <f>'B) D RI'!U250</f>
        <v>8044.6855555555558</v>
      </c>
      <c r="H249" s="41">
        <f>'B) D RI'!T250</f>
        <v>522938.66</v>
      </c>
      <c r="I249" s="10">
        <f t="shared" si="25"/>
        <v>14526.073888888888</v>
      </c>
      <c r="J249" s="31">
        <f t="shared" si="36"/>
        <v>32736.613497832772</v>
      </c>
      <c r="K249" s="10">
        <f t="shared" si="23"/>
        <v>14526.073888888888</v>
      </c>
      <c r="L249" s="10">
        <f>'D) Ecrêtage'!C249</f>
        <v>8044.6855555555558</v>
      </c>
      <c r="M249" s="10">
        <f t="shared" si="24"/>
        <v>9387.0371416164453</v>
      </c>
      <c r="N249" s="55">
        <f t="shared" si="26"/>
        <v>23913.111030505333</v>
      </c>
      <c r="O249" s="216"/>
      <c r="P249" s="217"/>
      <c r="Q249" s="213"/>
      <c r="R249" s="213"/>
      <c r="S249" s="218"/>
    </row>
    <row r="250" spans="1:19" s="212" customFormat="1" x14ac:dyDescent="0.25">
      <c r="A250" s="302">
        <f>'A) Base RI'!A251</f>
        <v>5822</v>
      </c>
      <c r="B250" s="225" t="str">
        <f>'A) Base RI'!B251</f>
        <v>Payerne</v>
      </c>
      <c r="C250" s="240">
        <v>0</v>
      </c>
      <c r="D250" s="214">
        <f>'B) D RI'!AA251</f>
        <v>10258</v>
      </c>
      <c r="E250" s="215">
        <f>'B) D RI'!S251</f>
        <v>73</v>
      </c>
      <c r="F250" s="10">
        <f>'B) D RI'!R251</f>
        <v>17518864.430000003</v>
      </c>
      <c r="G250" s="10">
        <f>'B) D RI'!U251</f>
        <v>239984.44424657538</v>
      </c>
      <c r="H250" s="41">
        <f>'B) D RI'!T251</f>
        <v>15777071.780000003</v>
      </c>
      <c r="I250" s="10">
        <f t="shared" si="25"/>
        <v>432248.5419178083</v>
      </c>
      <c r="J250" s="31">
        <f t="shared" si="36"/>
        <v>917519.62093106168</v>
      </c>
      <c r="K250" s="10">
        <f t="shared" si="23"/>
        <v>432248.5419178083</v>
      </c>
      <c r="L250" s="10">
        <f>'D) Ecrêtage'!C250</f>
        <v>239984.44424657538</v>
      </c>
      <c r="M250" s="10">
        <f t="shared" si="24"/>
        <v>280028.70665306103</v>
      </c>
      <c r="N250" s="55">
        <f t="shared" si="26"/>
        <v>712277.24857086933</v>
      </c>
      <c r="O250" s="216"/>
      <c r="P250" s="217"/>
      <c r="Q250" s="213"/>
      <c r="R250" s="213"/>
      <c r="S250" s="218"/>
    </row>
    <row r="251" spans="1:19" s="212" customFormat="1" x14ac:dyDescent="0.25">
      <c r="A251" s="302">
        <f>'A) Base RI'!A252</f>
        <v>5827</v>
      </c>
      <c r="B251" s="225" t="str">
        <f>'A) Base RI'!B252</f>
        <v>Trey</v>
      </c>
      <c r="C251" s="240">
        <v>0</v>
      </c>
      <c r="D251" s="214">
        <f>'B) D RI'!AA252</f>
        <v>321</v>
      </c>
      <c r="E251" s="215">
        <f>'B) D RI'!S252</f>
        <v>78</v>
      </c>
      <c r="F251" s="10">
        <f>'B) D RI'!R252</f>
        <v>604300.62</v>
      </c>
      <c r="G251" s="10">
        <f>'B) D RI'!U252</f>
        <v>7747.4438461538457</v>
      </c>
      <c r="H251" s="41">
        <f>'B) D RI'!T252</f>
        <v>559441.92000000004</v>
      </c>
      <c r="I251" s="10">
        <f t="shared" si="25"/>
        <v>14344.664615384616</v>
      </c>
      <c r="J251" s="31">
        <f t="shared" si="36"/>
        <v>28711.62003498448</v>
      </c>
      <c r="K251" s="10">
        <f t="shared" si="23"/>
        <v>14344.664615384616</v>
      </c>
      <c r="L251" s="10">
        <f>'D) Ecrêtage'!C251</f>
        <v>7747.4438461538457</v>
      </c>
      <c r="M251" s="10">
        <f t="shared" si="24"/>
        <v>9040.1971132620074</v>
      </c>
      <c r="N251" s="55">
        <f t="shared" si="26"/>
        <v>23384.861728646625</v>
      </c>
      <c r="O251" s="216"/>
      <c r="P251" s="217"/>
      <c r="Q251" s="213"/>
      <c r="R251" s="213"/>
      <c r="S251" s="218"/>
    </row>
    <row r="252" spans="1:19" s="212" customFormat="1" x14ac:dyDescent="0.25">
      <c r="A252" s="302">
        <f>'A) Base RI'!A253</f>
        <v>5828</v>
      </c>
      <c r="B252" s="225" t="str">
        <f>'A) Base RI'!B253</f>
        <v>Treytorrens (Payerne)</v>
      </c>
      <c r="C252" s="240">
        <v>0</v>
      </c>
      <c r="D252" s="214">
        <f>'B) D RI'!AA253</f>
        <v>110</v>
      </c>
      <c r="E252" s="215">
        <f>'B) D RI'!S253</f>
        <v>82.5</v>
      </c>
      <c r="F252" s="10">
        <f>'B) D RI'!R253</f>
        <v>239185.6766666667</v>
      </c>
      <c r="G252" s="10">
        <f>'B) D RI'!U253</f>
        <v>2899.2203232323236</v>
      </c>
      <c r="H252" s="41">
        <f>'B) D RI'!T253</f>
        <v>222655.31000000003</v>
      </c>
      <c r="I252" s="10">
        <f t="shared" si="25"/>
        <v>5397.7044848484857</v>
      </c>
      <c r="J252" s="31">
        <f t="shared" si="36"/>
        <v>9838.8729091847126</v>
      </c>
      <c r="K252" s="10">
        <f t="shared" si="23"/>
        <v>5397.7044848484857</v>
      </c>
      <c r="L252" s="10">
        <f>'D) Ecrêtage'!C252</f>
        <v>2899.2203232323236</v>
      </c>
      <c r="M252" s="10">
        <f t="shared" si="24"/>
        <v>3382.9897598814996</v>
      </c>
      <c r="N252" s="55">
        <f t="shared" si="26"/>
        <v>8780.6942447299843</v>
      </c>
      <c r="O252" s="216"/>
      <c r="P252" s="217"/>
      <c r="Q252" s="213"/>
      <c r="R252" s="213"/>
      <c r="S252" s="218"/>
    </row>
    <row r="253" spans="1:19" s="212" customFormat="1" x14ac:dyDescent="0.25">
      <c r="A253" s="302">
        <f>'A) Base RI'!A254</f>
        <v>5830</v>
      </c>
      <c r="B253" s="225" t="str">
        <f>'A) Base RI'!B254</f>
        <v>Villarzel</v>
      </c>
      <c r="C253" s="240">
        <v>0</v>
      </c>
      <c r="D253" s="214">
        <f>'B) D RI'!AA254</f>
        <v>500</v>
      </c>
      <c r="E253" s="215">
        <f>'B) D RI'!S254</f>
        <v>75</v>
      </c>
      <c r="F253" s="10">
        <f>'B) D RI'!R254</f>
        <v>930749.02</v>
      </c>
      <c r="G253" s="10">
        <f>'B) D RI'!U254</f>
        <v>12409.986933333334</v>
      </c>
      <c r="H253" s="41">
        <f>'B) D RI'!T254</f>
        <v>869133.02</v>
      </c>
      <c r="I253" s="10">
        <f t="shared" si="25"/>
        <v>23176.880533333333</v>
      </c>
      <c r="J253" s="31">
        <f t="shared" si="36"/>
        <v>44722.149587203239</v>
      </c>
      <c r="K253" s="10">
        <f t="shared" ref="K253:K302" si="37">IF(C253=1,0,IF(J253&gt;I253,I253,J253))</f>
        <v>23176.880533333333</v>
      </c>
      <c r="L253" s="10">
        <f>'D) Ecrêtage'!C253</f>
        <v>12409.986933333334</v>
      </c>
      <c r="M253" s="10">
        <f t="shared" ref="M253:M312" si="38">+$M$5*L253</f>
        <v>14480.741038998871</v>
      </c>
      <c r="N253" s="55">
        <f t="shared" si="26"/>
        <v>37657.621572332202</v>
      </c>
      <c r="O253" s="216"/>
      <c r="P253" s="217"/>
      <c r="Q253" s="213"/>
      <c r="R253" s="213"/>
      <c r="S253" s="218"/>
    </row>
    <row r="254" spans="1:19" s="212" customFormat="1" x14ac:dyDescent="0.25">
      <c r="A254" s="302">
        <f>'A) Base RI'!A255</f>
        <v>5831</v>
      </c>
      <c r="B254" s="225" t="str">
        <f>'A) Base RI'!B255</f>
        <v>Valbroye</v>
      </c>
      <c r="C254" s="240">
        <v>0</v>
      </c>
      <c r="D254" s="214">
        <f>'B) D RI'!AA255</f>
        <v>3349</v>
      </c>
      <c r="E254" s="215">
        <f>'B) D RI'!S255</f>
        <v>70.5</v>
      </c>
      <c r="F254" s="10">
        <f>'B) D RI'!R255</f>
        <v>5713982.9833333334</v>
      </c>
      <c r="G254" s="10">
        <f>'B) D RI'!U255</f>
        <v>81049.404018912537</v>
      </c>
      <c r="H254" s="41">
        <f>'B) D RI'!T255</f>
        <v>5191407.5500000007</v>
      </c>
      <c r="I254" s="10">
        <f t="shared" ref="I254:I285" si="39">+H254/E254*$I$5</f>
        <v>147273.9730496454</v>
      </c>
      <c r="J254" s="31">
        <f t="shared" si="36"/>
        <v>299548.95793508732</v>
      </c>
      <c r="K254" s="10">
        <f t="shared" si="37"/>
        <v>147273.9730496454</v>
      </c>
      <c r="L254" s="10">
        <f>'D) Ecrêtage'!C254</f>
        <v>81049.404018912537</v>
      </c>
      <c r="M254" s="10">
        <f t="shared" si="38"/>
        <v>94573.462266154209</v>
      </c>
      <c r="N254" s="55">
        <f t="shared" si="26"/>
        <v>241847.43531579961</v>
      </c>
      <c r="O254" s="216"/>
      <c r="P254" s="217"/>
      <c r="Q254" s="213"/>
      <c r="R254" s="213"/>
      <c r="S254" s="218"/>
    </row>
    <row r="255" spans="1:19" s="212" customFormat="1" x14ac:dyDescent="0.25">
      <c r="A255" s="302">
        <f>'A) Base RI'!A256</f>
        <v>5841</v>
      </c>
      <c r="B255" s="225" t="str">
        <f>'A) Base RI'!B256</f>
        <v>Château-d'Oex</v>
      </c>
      <c r="C255" s="240">
        <v>0</v>
      </c>
      <c r="D255" s="214">
        <f>'B) D RI'!AA256</f>
        <v>3549</v>
      </c>
      <c r="E255" s="215">
        <f>'B) D RI'!S256</f>
        <v>81.5</v>
      </c>
      <c r="F255" s="10">
        <f>'B) D RI'!R256</f>
        <v>9034897.4800000004</v>
      </c>
      <c r="G255" s="10">
        <f>'B) D RI'!U256</f>
        <v>110857.63779141105</v>
      </c>
      <c r="H255" s="41">
        <f>'B) D RI'!T256</f>
        <v>7987570.580000001</v>
      </c>
      <c r="I255" s="10">
        <f t="shared" si="39"/>
        <v>196014.00196319021</v>
      </c>
      <c r="J255" s="31">
        <f t="shared" si="36"/>
        <v>317437.81776996859</v>
      </c>
      <c r="K255" s="10">
        <f t="shared" si="37"/>
        <v>196014.00196319021</v>
      </c>
      <c r="L255" s="10">
        <f>'D) Ecrêtage'!C255</f>
        <v>110857.63779141105</v>
      </c>
      <c r="M255" s="10">
        <f t="shared" si="38"/>
        <v>129355.55481857166</v>
      </c>
      <c r="N255" s="55">
        <f t="shared" si="26"/>
        <v>325369.55678176187</v>
      </c>
      <c r="O255" s="216"/>
      <c r="P255" s="217"/>
      <c r="Q255" s="213"/>
      <c r="R255" s="213"/>
      <c r="S255" s="218"/>
    </row>
    <row r="256" spans="1:19" s="212" customFormat="1" x14ac:dyDescent="0.25">
      <c r="A256" s="302">
        <f>'A) Base RI'!A257</f>
        <v>5842</v>
      </c>
      <c r="B256" s="225" t="str">
        <f>'A) Base RI'!B257</f>
        <v>Rossinière</v>
      </c>
      <c r="C256" s="240">
        <v>0</v>
      </c>
      <c r="D256" s="214">
        <f>'B) D RI'!AA257</f>
        <v>534</v>
      </c>
      <c r="E256" s="215">
        <f>'B) D RI'!S257</f>
        <v>81</v>
      </c>
      <c r="F256" s="10">
        <f>'B) D RI'!R257</f>
        <v>1210519.1133333333</v>
      </c>
      <c r="G256" s="10">
        <f>'B) D RI'!U257</f>
        <v>14944.680411522633</v>
      </c>
      <c r="H256" s="41">
        <f>'B) D RI'!T257</f>
        <v>1113953.93</v>
      </c>
      <c r="I256" s="10">
        <f t="shared" si="39"/>
        <v>27505.035308641975</v>
      </c>
      <c r="J256" s="31">
        <f t="shared" si="36"/>
        <v>47763.255759133062</v>
      </c>
      <c r="K256" s="10">
        <f t="shared" si="37"/>
        <v>27505.035308641975</v>
      </c>
      <c r="L256" s="10">
        <f>'D) Ecrêtage'!C256</f>
        <v>14944.680411522633</v>
      </c>
      <c r="M256" s="10">
        <f t="shared" si="38"/>
        <v>17438.378308729643</v>
      </c>
      <c r="N256" s="55">
        <f t="shared" si="26"/>
        <v>44943.413617371618</v>
      </c>
      <c r="O256" s="216"/>
      <c r="P256" s="217"/>
      <c r="Q256" s="213"/>
      <c r="R256" s="213"/>
      <c r="S256" s="218"/>
    </row>
    <row r="257" spans="1:19" s="212" customFormat="1" x14ac:dyDescent="0.25">
      <c r="A257" s="302">
        <f>'A) Base RI'!A258</f>
        <v>5843</v>
      </c>
      <c r="B257" s="225" t="str">
        <f>'A) Base RI'!B258</f>
        <v>Rougemont</v>
      </c>
      <c r="C257" s="240">
        <v>0</v>
      </c>
      <c r="D257" s="214">
        <f>'B) D RI'!AA258</f>
        <v>862</v>
      </c>
      <c r="E257" s="215">
        <f>'B) D RI'!S258</f>
        <v>74</v>
      </c>
      <c r="F257" s="10">
        <f>'B) D RI'!R258</f>
        <v>7184520.1000000006</v>
      </c>
      <c r="G257" s="10">
        <f>'B) D RI'!U258</f>
        <v>97088.109459459462</v>
      </c>
      <c r="H257" s="41">
        <f>'B) D RI'!T258</f>
        <v>6336677.6500000004</v>
      </c>
      <c r="I257" s="10">
        <f t="shared" si="39"/>
        <v>171261.55810810812</v>
      </c>
      <c r="J257" s="31">
        <f t="shared" si="36"/>
        <v>77100.985888338386</v>
      </c>
      <c r="K257" s="10">
        <f t="shared" si="37"/>
        <v>77100.985888338386</v>
      </c>
      <c r="L257" s="10">
        <f>'D) Ecrêtage'!C257</f>
        <v>97088.109459459462</v>
      </c>
      <c r="M257" s="10">
        <f t="shared" si="38"/>
        <v>113288.41670833097</v>
      </c>
      <c r="N257" s="55">
        <f t="shared" si="26"/>
        <v>190389.40259666936</v>
      </c>
      <c r="O257" s="216"/>
      <c r="P257" s="217"/>
      <c r="Q257" s="213"/>
      <c r="R257" s="213"/>
      <c r="S257" s="218"/>
    </row>
    <row r="258" spans="1:19" s="212" customFormat="1" x14ac:dyDescent="0.25">
      <c r="A258" s="302">
        <f>'A) Base RI'!A259</f>
        <v>5851</v>
      </c>
      <c r="B258" s="225" t="str">
        <f>'A) Base RI'!B259</f>
        <v>Allaman</v>
      </c>
      <c r="C258" s="240">
        <v>0</v>
      </c>
      <c r="D258" s="214">
        <f>'B) D RI'!AA259</f>
        <v>430</v>
      </c>
      <c r="E258" s="215">
        <f>'B) D RI'!S259</f>
        <v>60</v>
      </c>
      <c r="F258" s="10">
        <f>'B) D RI'!R259</f>
        <v>1492556.1490909092</v>
      </c>
      <c r="G258" s="10">
        <f>'B) D RI'!U259</f>
        <v>24875.935818181821</v>
      </c>
      <c r="H258" s="41">
        <f>'B) D RI'!T259</f>
        <v>1247586.74</v>
      </c>
      <c r="I258" s="10">
        <f t="shared" si="39"/>
        <v>41586.224666666669</v>
      </c>
      <c r="J258" s="31">
        <f t="shared" si="36"/>
        <v>38461.048644994786</v>
      </c>
      <c r="K258" s="10">
        <f t="shared" si="37"/>
        <v>38461.048644994786</v>
      </c>
      <c r="L258" s="10">
        <f>'D) Ecrêtage'!C258</f>
        <v>24875.935818181821</v>
      </c>
      <c r="M258" s="10">
        <f t="shared" si="38"/>
        <v>29026.781947552903</v>
      </c>
      <c r="N258" s="55">
        <f t="shared" si="26"/>
        <v>67487.830592547689</v>
      </c>
      <c r="O258" s="216"/>
      <c r="P258" s="217"/>
      <c r="Q258" s="213"/>
      <c r="R258" s="213"/>
      <c r="S258" s="218"/>
    </row>
    <row r="259" spans="1:19" s="212" customFormat="1" x14ac:dyDescent="0.25">
      <c r="A259" s="302">
        <f>'A) Base RI'!A260</f>
        <v>5852</v>
      </c>
      <c r="B259" s="225" t="str">
        <f>'A) Base RI'!B260</f>
        <v>Bursinel</v>
      </c>
      <c r="C259" s="240">
        <v>0</v>
      </c>
      <c r="D259" s="214">
        <f>'B) D RI'!AA260</f>
        <v>515</v>
      </c>
      <c r="E259" s="215">
        <f>'B) D RI'!S260</f>
        <v>62</v>
      </c>
      <c r="F259" s="10">
        <f>'B) D RI'!R260</f>
        <v>2147472.7766666664</v>
      </c>
      <c r="G259" s="10">
        <f>'B) D RI'!U260</f>
        <v>34636.657688172039</v>
      </c>
      <c r="H259" s="41">
        <f>'B) D RI'!T260</f>
        <v>1949600.5599999998</v>
      </c>
      <c r="I259" s="10">
        <f t="shared" si="39"/>
        <v>62890.340645161283</v>
      </c>
      <c r="J259" s="31">
        <f t="shared" si="36"/>
        <v>46063.81407481934</v>
      </c>
      <c r="K259" s="10">
        <f t="shared" si="37"/>
        <v>46063.81407481934</v>
      </c>
      <c r="L259" s="10">
        <f>'D) Ecrêtage'!C259</f>
        <v>34636.657688172039</v>
      </c>
      <c r="M259" s="10">
        <f t="shared" si="38"/>
        <v>40416.196498294616</v>
      </c>
      <c r="N259" s="55">
        <f t="shared" si="26"/>
        <v>86480.010573113948</v>
      </c>
      <c r="O259" s="216"/>
      <c r="P259" s="217"/>
      <c r="Q259" s="213"/>
      <c r="R259" s="213"/>
      <c r="S259" s="218"/>
    </row>
    <row r="260" spans="1:19" s="212" customFormat="1" x14ac:dyDescent="0.25">
      <c r="A260" s="302">
        <f>'A) Base RI'!A261</f>
        <v>5853</v>
      </c>
      <c r="B260" s="225" t="str">
        <f>'A) Base RI'!B261</f>
        <v>Bursins</v>
      </c>
      <c r="C260" s="240">
        <v>0</v>
      </c>
      <c r="D260" s="214">
        <f>'B) D RI'!AA261</f>
        <v>773</v>
      </c>
      <c r="E260" s="215">
        <f>'B) D RI'!S261</f>
        <v>71</v>
      </c>
      <c r="F260" s="10">
        <f>'B) D RI'!R261</f>
        <v>3158528.13</v>
      </c>
      <c r="G260" s="10">
        <f>'B) D RI'!U261</f>
        <v>44486.311690140843</v>
      </c>
      <c r="H260" s="41">
        <f>'B) D RI'!T261</f>
        <v>2929909.4299999997</v>
      </c>
      <c r="I260" s="10">
        <f t="shared" si="39"/>
        <v>82532.659999999989</v>
      </c>
      <c r="J260" s="31">
        <f t="shared" si="36"/>
        <v>69140.44326181621</v>
      </c>
      <c r="K260" s="10">
        <f t="shared" si="37"/>
        <v>69140.44326181621</v>
      </c>
      <c r="L260" s="10">
        <f>'D) Ecrêtage'!C260</f>
        <v>44486.311690140843</v>
      </c>
      <c r="M260" s="10">
        <f t="shared" si="38"/>
        <v>51909.382566294647</v>
      </c>
      <c r="N260" s="55">
        <f t="shared" si="26"/>
        <v>121049.82582811086</v>
      </c>
      <c r="O260" s="216"/>
      <c r="P260" s="217"/>
      <c r="Q260" s="213"/>
      <c r="R260" s="213"/>
      <c r="S260" s="218"/>
    </row>
    <row r="261" spans="1:19" s="212" customFormat="1" x14ac:dyDescent="0.25">
      <c r="A261" s="302">
        <f>'A) Base RI'!A262</f>
        <v>5854</v>
      </c>
      <c r="B261" s="225" t="str">
        <f>'A) Base RI'!B262</f>
        <v>Burtigny</v>
      </c>
      <c r="C261" s="240">
        <v>0</v>
      </c>
      <c r="D261" s="214">
        <f>'B) D RI'!AA262</f>
        <v>416</v>
      </c>
      <c r="E261" s="215">
        <f>'B) D RI'!S262</f>
        <v>80</v>
      </c>
      <c r="F261" s="10">
        <f>'B) D RI'!R262</f>
        <v>1220477.3766666665</v>
      </c>
      <c r="G261" s="10">
        <f>'B) D RI'!U262</f>
        <v>15255.967208333332</v>
      </c>
      <c r="H261" s="41">
        <f>'B) D RI'!T262</f>
        <v>1142026.1099999999</v>
      </c>
      <c r="I261" s="10">
        <f t="shared" si="39"/>
        <v>28550.652749999997</v>
      </c>
      <c r="J261" s="31">
        <f t="shared" si="36"/>
        <v>37208.828456553099</v>
      </c>
      <c r="K261" s="10">
        <f t="shared" si="37"/>
        <v>28550.652749999997</v>
      </c>
      <c r="L261" s="10">
        <f>'D) Ecrêtage'!C261</f>
        <v>15255.967208333332</v>
      </c>
      <c r="M261" s="10">
        <f t="shared" si="38"/>
        <v>17801.60701458489</v>
      </c>
      <c r="N261" s="55">
        <f t="shared" si="26"/>
        <v>46352.259764584887</v>
      </c>
      <c r="O261" s="216"/>
      <c r="P261" s="217"/>
      <c r="Q261" s="213"/>
      <c r="R261" s="213"/>
      <c r="S261" s="218"/>
    </row>
    <row r="262" spans="1:19" s="212" customFormat="1" x14ac:dyDescent="0.25">
      <c r="A262" s="302">
        <f>'A) Base RI'!A263</f>
        <v>5855</v>
      </c>
      <c r="B262" s="225" t="str">
        <f>'A) Base RI'!B263</f>
        <v>Dully</v>
      </c>
      <c r="C262" s="240">
        <v>0</v>
      </c>
      <c r="D262" s="214">
        <f>'B) D RI'!AA263</f>
        <v>634</v>
      </c>
      <c r="E262" s="215">
        <f>'B) D RI'!S263</f>
        <v>49</v>
      </c>
      <c r="F262" s="10">
        <f>'B) D RI'!R263</f>
        <v>4590523.49</v>
      </c>
      <c r="G262" s="10">
        <f>'B) D RI'!U263</f>
        <v>93684.152857142864</v>
      </c>
      <c r="H262" s="41">
        <f>'B) D RI'!T263</f>
        <v>4203459.29</v>
      </c>
      <c r="I262" s="10">
        <f t="shared" si="39"/>
        <v>171569.76693877552</v>
      </c>
      <c r="J262" s="31">
        <f t="shared" si="36"/>
        <v>56707.68567657371</v>
      </c>
      <c r="K262" s="10">
        <f t="shared" si="37"/>
        <v>56707.68567657371</v>
      </c>
      <c r="L262" s="10">
        <f>'D) Ecrêtage'!C262</f>
        <v>93684.152857142864</v>
      </c>
      <c r="M262" s="10">
        <f t="shared" si="38"/>
        <v>109316.46941048662</v>
      </c>
      <c r="N262" s="55">
        <f t="shared" ref="N262:N313" si="40">+M262+K262</f>
        <v>166024.15508706032</v>
      </c>
      <c r="O262" s="216"/>
      <c r="P262" s="217"/>
      <c r="Q262" s="213"/>
      <c r="R262" s="213"/>
      <c r="S262" s="218"/>
    </row>
    <row r="263" spans="1:19" s="212" customFormat="1" x14ac:dyDescent="0.25">
      <c r="A263" s="302">
        <f>'A) Base RI'!A264</f>
        <v>5856</v>
      </c>
      <c r="B263" s="225" t="str">
        <f>'A) Base RI'!B264</f>
        <v>Essertines-sur-Rolle</v>
      </c>
      <c r="C263" s="240">
        <v>0</v>
      </c>
      <c r="D263" s="214">
        <f>'B) D RI'!AA264</f>
        <v>753</v>
      </c>
      <c r="E263" s="215">
        <f>'B) D RI'!S264</f>
        <v>66.5</v>
      </c>
      <c r="F263" s="10">
        <f>'B) D RI'!R264</f>
        <v>2807637.6092307689</v>
      </c>
      <c r="G263" s="10">
        <f>'B) D RI'!U264</f>
        <v>42220.114424522842</v>
      </c>
      <c r="H263" s="41">
        <f>'B) D RI'!T264</f>
        <v>2609909.2399999998</v>
      </c>
      <c r="I263" s="10">
        <f t="shared" si="39"/>
        <v>78493.510977443599</v>
      </c>
      <c r="J263" s="31">
        <f t="shared" si="36"/>
        <v>67351.55727832808</v>
      </c>
      <c r="K263" s="10">
        <f t="shared" si="37"/>
        <v>67351.55727832808</v>
      </c>
      <c r="L263" s="10">
        <f>'D) Ecrêtage'!C263</f>
        <v>42220.114424522842</v>
      </c>
      <c r="M263" s="10">
        <f t="shared" si="38"/>
        <v>49265.043299622499</v>
      </c>
      <c r="N263" s="55">
        <f t="shared" si="40"/>
        <v>116616.60057795058</v>
      </c>
      <c r="O263" s="216"/>
      <c r="P263" s="217"/>
      <c r="Q263" s="213"/>
      <c r="R263" s="213"/>
      <c r="S263" s="218"/>
    </row>
    <row r="264" spans="1:19" s="212" customFormat="1" x14ac:dyDescent="0.25">
      <c r="A264" s="302">
        <f>'A) Base RI'!A265</f>
        <v>5857</v>
      </c>
      <c r="B264" s="225" t="str">
        <f>'A) Base RI'!B265</f>
        <v>Gilly</v>
      </c>
      <c r="C264" s="240">
        <v>0</v>
      </c>
      <c r="D264" s="214">
        <f>'B) D RI'!AA265</f>
        <v>1438</v>
      </c>
      <c r="E264" s="215">
        <f>'B) D RI'!S265</f>
        <v>64.5</v>
      </c>
      <c r="F264" s="10">
        <f>'B) D RI'!R265</f>
        <v>5731892.7300000004</v>
      </c>
      <c r="G264" s="10">
        <f>'B) D RI'!U265</f>
        <v>88866.553953488372</v>
      </c>
      <c r="H264" s="41">
        <f>'B) D RI'!T265</f>
        <v>5290364.53</v>
      </c>
      <c r="I264" s="10">
        <f t="shared" si="39"/>
        <v>164042.31100775194</v>
      </c>
      <c r="J264" s="31">
        <f t="shared" si="36"/>
        <v>128620.90221279651</v>
      </c>
      <c r="K264" s="10">
        <f t="shared" si="37"/>
        <v>128620.90221279651</v>
      </c>
      <c r="L264" s="10">
        <f>'D) Ecrêtage'!C264</f>
        <v>88866.553953488372</v>
      </c>
      <c r="M264" s="10">
        <f t="shared" si="38"/>
        <v>103694.99675879485</v>
      </c>
      <c r="N264" s="55">
        <f t="shared" si="40"/>
        <v>232315.89897159138</v>
      </c>
      <c r="O264" s="216"/>
      <c r="P264" s="217"/>
      <c r="Q264" s="213"/>
      <c r="R264" s="213"/>
      <c r="S264" s="218"/>
    </row>
    <row r="265" spans="1:19" s="212" customFormat="1" x14ac:dyDescent="0.25">
      <c r="A265" s="302">
        <f>'A) Base RI'!A266</f>
        <v>5858</v>
      </c>
      <c r="B265" s="225" t="str">
        <f>'A) Base RI'!B266</f>
        <v>Luins</v>
      </c>
      <c r="C265" s="240">
        <v>0</v>
      </c>
      <c r="D265" s="214">
        <f>'B) D RI'!AA266</f>
        <v>630</v>
      </c>
      <c r="E265" s="215">
        <f>'B) D RI'!S266</f>
        <v>58.5</v>
      </c>
      <c r="F265" s="10">
        <f>'B) D RI'!R266</f>
        <v>2237823.7366666663</v>
      </c>
      <c r="G265" s="10">
        <f>'B) D RI'!U266</f>
        <v>38253.397207977199</v>
      </c>
      <c r="H265" s="41">
        <f>'B) D RI'!T266</f>
        <v>2078052.47</v>
      </c>
      <c r="I265" s="10">
        <f t="shared" si="39"/>
        <v>71044.52888888889</v>
      </c>
      <c r="J265" s="31">
        <f t="shared" si="36"/>
        <v>56349.908479876081</v>
      </c>
      <c r="K265" s="10">
        <f t="shared" si="37"/>
        <v>56349.908479876081</v>
      </c>
      <c r="L265" s="10">
        <f>'D) Ecrêtage'!C265</f>
        <v>38253.397207977199</v>
      </c>
      <c r="M265" s="10">
        <f t="shared" si="38"/>
        <v>44636.432077361751</v>
      </c>
      <c r="N265" s="55">
        <f t="shared" si="40"/>
        <v>100986.34055723783</v>
      </c>
      <c r="O265" s="216"/>
      <c r="P265" s="217"/>
      <c r="Q265" s="213"/>
      <c r="R265" s="213"/>
      <c r="S265" s="218"/>
    </row>
    <row r="266" spans="1:19" s="212" customFormat="1" x14ac:dyDescent="0.25">
      <c r="A266" s="302">
        <f>'A) Base RI'!A267</f>
        <v>5859</v>
      </c>
      <c r="B266" s="225" t="str">
        <f>'A) Base RI'!B267</f>
        <v>Mont-sur-Rolle</v>
      </c>
      <c r="C266" s="240">
        <v>0</v>
      </c>
      <c r="D266" s="214">
        <f>'B) D RI'!AA267</f>
        <v>2739</v>
      </c>
      <c r="E266" s="215">
        <f>'B) D RI'!S267</f>
        <v>63.5</v>
      </c>
      <c r="F266" s="10">
        <f>'B) D RI'!R267</f>
        <v>10217844.550000001</v>
      </c>
      <c r="G266" s="10">
        <f>'B) D RI'!U267</f>
        <v>160910.93779527559</v>
      </c>
      <c r="H266" s="41">
        <f>'B) D RI'!T267</f>
        <v>9508454.6500000004</v>
      </c>
      <c r="I266" s="10">
        <f t="shared" si="39"/>
        <v>299478.88661417324</v>
      </c>
      <c r="J266" s="31">
        <f t="shared" si="36"/>
        <v>244987.93543869935</v>
      </c>
      <c r="K266" s="10">
        <f t="shared" si="37"/>
        <v>244987.93543869935</v>
      </c>
      <c r="L266" s="10">
        <f>'D) Ecrêtage'!C266</f>
        <v>160910.93779527559</v>
      </c>
      <c r="M266" s="10">
        <f t="shared" si="38"/>
        <v>187760.84399389228</v>
      </c>
      <c r="N266" s="55">
        <f t="shared" si="40"/>
        <v>432748.77943259163</v>
      </c>
      <c r="O266" s="216"/>
      <c r="P266" s="217"/>
      <c r="Q266" s="213"/>
      <c r="R266" s="213"/>
      <c r="S266" s="218"/>
    </row>
    <row r="267" spans="1:19" s="212" customFormat="1" x14ac:dyDescent="0.25">
      <c r="A267" s="302">
        <f>'A) Base RI'!A268</f>
        <v>5860</v>
      </c>
      <c r="B267" s="225" t="str">
        <f>'A) Base RI'!B268</f>
        <v>Perroy</v>
      </c>
      <c r="C267" s="240">
        <v>0</v>
      </c>
      <c r="D267" s="214">
        <f>'B) D RI'!AA268</f>
        <v>1514</v>
      </c>
      <c r="E267" s="215">
        <f>'B) D RI'!S268</f>
        <v>58.5</v>
      </c>
      <c r="F267" s="10">
        <f>'B) D RI'!R268</f>
        <v>7268162.9207692323</v>
      </c>
      <c r="G267" s="10">
        <f>'B) D RI'!U268</f>
        <v>124242.10120973046</v>
      </c>
      <c r="H267" s="41">
        <f>'B) D RI'!T268</f>
        <v>6721153.790000001</v>
      </c>
      <c r="I267" s="10">
        <f t="shared" si="39"/>
        <v>229783.0355555556</v>
      </c>
      <c r="J267" s="31">
        <f t="shared" si="36"/>
        <v>135418.66895005142</v>
      </c>
      <c r="K267" s="10">
        <f t="shared" si="37"/>
        <v>135418.66895005142</v>
      </c>
      <c r="L267" s="10">
        <f>'D) Ecrêtage'!C267</f>
        <v>124242.10120973046</v>
      </c>
      <c r="M267" s="10">
        <f t="shared" si="38"/>
        <v>144973.37534874829</v>
      </c>
      <c r="N267" s="55">
        <f t="shared" si="40"/>
        <v>280392.04429879971</v>
      </c>
      <c r="O267" s="216"/>
      <c r="P267" s="217"/>
      <c r="Q267" s="213"/>
      <c r="R267" s="213"/>
      <c r="S267" s="218"/>
    </row>
    <row r="268" spans="1:19" s="212" customFormat="1" x14ac:dyDescent="0.25">
      <c r="A268" s="302">
        <f>'A) Base RI'!A269</f>
        <v>5861</v>
      </c>
      <c r="B268" s="225" t="str">
        <f>'A) Base RI'!B269</f>
        <v>Rolle</v>
      </c>
      <c r="C268" s="240">
        <v>0</v>
      </c>
      <c r="D268" s="214">
        <f>'B) D RI'!AA269</f>
        <v>6291</v>
      </c>
      <c r="E268" s="215">
        <f>'B) D RI'!S269</f>
        <v>59.5</v>
      </c>
      <c r="F268" s="10">
        <f>'B) D RI'!R269</f>
        <v>37968650.750000007</v>
      </c>
      <c r="G268" s="10">
        <f>'B) D RI'!U269</f>
        <v>638128.58403361356</v>
      </c>
      <c r="H268" s="41">
        <f>'B) D RI'!T269</f>
        <v>35765779.250000007</v>
      </c>
      <c r="I268" s="10">
        <f t="shared" si="39"/>
        <v>1202211.0672268909</v>
      </c>
      <c r="J268" s="31">
        <f t="shared" si="36"/>
        <v>562694.08610619116</v>
      </c>
      <c r="K268" s="10">
        <f t="shared" si="37"/>
        <v>562694.08610619116</v>
      </c>
      <c r="L268" s="10">
        <f>'D) Ecrêtage'!C268</f>
        <v>638128.58403361356</v>
      </c>
      <c r="M268" s="10">
        <f t="shared" si="38"/>
        <v>744607.93751148297</v>
      </c>
      <c r="N268" s="55">
        <f t="shared" si="40"/>
        <v>1307302.0236176741</v>
      </c>
      <c r="O268" s="216"/>
      <c r="P268" s="217"/>
      <c r="Q268" s="213"/>
      <c r="R268" s="213"/>
      <c r="S268" s="218"/>
    </row>
    <row r="269" spans="1:19" s="212" customFormat="1" x14ac:dyDescent="0.25">
      <c r="A269" s="302">
        <f>'A) Base RI'!A270</f>
        <v>5862</v>
      </c>
      <c r="B269" s="225" t="str">
        <f>'A) Base RI'!B270</f>
        <v>Tartegnin</v>
      </c>
      <c r="C269" s="240">
        <v>0</v>
      </c>
      <c r="D269" s="214">
        <f>'B) D RI'!AA270</f>
        <v>241</v>
      </c>
      <c r="E269" s="215">
        <f>'B) D RI'!S270</f>
        <v>79</v>
      </c>
      <c r="F269" s="10">
        <f>'B) D RI'!R270</f>
        <v>623390.76</v>
      </c>
      <c r="G269" s="10">
        <f>'B) D RI'!U270</f>
        <v>7891.022278481013</v>
      </c>
      <c r="H269" s="41">
        <f>'B) D RI'!T270</f>
        <v>573151.26</v>
      </c>
      <c r="I269" s="10">
        <f t="shared" si="39"/>
        <v>14510.158481012659</v>
      </c>
      <c r="J269" s="31">
        <f t="shared" si="36"/>
        <v>21556.076101031962</v>
      </c>
      <c r="K269" s="10">
        <f t="shared" si="37"/>
        <v>14510.158481012659</v>
      </c>
      <c r="L269" s="10">
        <f>'D) Ecrêtage'!C269</f>
        <v>7891.022278481013</v>
      </c>
      <c r="M269" s="10">
        <f t="shared" si="38"/>
        <v>9207.7333168441892</v>
      </c>
      <c r="N269" s="55">
        <f t="shared" si="40"/>
        <v>23717.89179785685</v>
      </c>
      <c r="O269" s="216"/>
      <c r="P269" s="217"/>
      <c r="Q269" s="213"/>
      <c r="R269" s="213"/>
      <c r="S269" s="218"/>
    </row>
    <row r="270" spans="1:19" s="212" customFormat="1" x14ac:dyDescent="0.25">
      <c r="A270" s="302">
        <f>'A) Base RI'!A271</f>
        <v>5863</v>
      </c>
      <c r="B270" s="225" t="str">
        <f>'A) Base RI'!B271</f>
        <v>Vinzel</v>
      </c>
      <c r="C270" s="240">
        <v>0</v>
      </c>
      <c r="D270" s="214">
        <f>'B) D RI'!AA271</f>
        <v>369</v>
      </c>
      <c r="E270" s="215">
        <f>'B) D RI'!S271</f>
        <v>67</v>
      </c>
      <c r="F270" s="10">
        <f>'B) D RI'!R271</f>
        <v>1435416.6099999999</v>
      </c>
      <c r="G270" s="10">
        <f>'B) D RI'!U271</f>
        <v>21424.128507462683</v>
      </c>
      <c r="H270" s="41">
        <f>'B) D RI'!T271</f>
        <v>1349004.01</v>
      </c>
      <c r="I270" s="10">
        <f t="shared" si="39"/>
        <v>40268.776417910449</v>
      </c>
      <c r="J270" s="31">
        <f t="shared" si="36"/>
        <v>33004.94639535599</v>
      </c>
      <c r="K270" s="10">
        <f t="shared" si="37"/>
        <v>33004.94639535599</v>
      </c>
      <c r="L270" s="10">
        <f>'D) Ecrêtage'!C270</f>
        <v>21424.128507462683</v>
      </c>
      <c r="M270" s="10">
        <f t="shared" si="38"/>
        <v>24998.999480773062</v>
      </c>
      <c r="N270" s="55">
        <f t="shared" si="40"/>
        <v>58003.945876129052</v>
      </c>
      <c r="O270" s="216"/>
      <c r="P270" s="217"/>
      <c r="Q270" s="213"/>
      <c r="R270" s="213"/>
      <c r="S270" s="218"/>
    </row>
    <row r="271" spans="1:19" s="212" customFormat="1" x14ac:dyDescent="0.25">
      <c r="A271" s="302">
        <f>'A) Base RI'!A272</f>
        <v>5871</v>
      </c>
      <c r="B271" s="225" t="str">
        <f>'A) Base RI'!B272</f>
        <v>L'Abbaye</v>
      </c>
      <c r="C271" s="240">
        <v>0</v>
      </c>
      <c r="D271" s="214">
        <f>'B) D RI'!AA272</f>
        <v>1521</v>
      </c>
      <c r="E271" s="215">
        <f>'B) D RI'!S272</f>
        <v>76</v>
      </c>
      <c r="F271" s="10">
        <f>'B) D RI'!R272</f>
        <v>4048479.92</v>
      </c>
      <c r="G271" s="10">
        <f>'B) D RI'!U272</f>
        <v>53269.472631578945</v>
      </c>
      <c r="H271" s="41">
        <f>'B) D RI'!T272</f>
        <v>3770309.52</v>
      </c>
      <c r="I271" s="10">
        <f t="shared" si="39"/>
        <v>99218.671578947367</v>
      </c>
      <c r="J271" s="31">
        <f t="shared" si="36"/>
        <v>136044.77904427226</v>
      </c>
      <c r="K271" s="10">
        <f t="shared" si="37"/>
        <v>99218.671578947367</v>
      </c>
      <c r="L271" s="10">
        <f>'D) Ecrêtage'!C271</f>
        <v>53269.472631578945</v>
      </c>
      <c r="M271" s="10">
        <f t="shared" si="38"/>
        <v>62158.118506152096</v>
      </c>
      <c r="N271" s="55">
        <f t="shared" si="40"/>
        <v>161376.79008509946</v>
      </c>
      <c r="O271" s="216"/>
      <c r="P271" s="217"/>
      <c r="Q271" s="213"/>
      <c r="R271" s="213"/>
      <c r="S271" s="218"/>
    </row>
    <row r="272" spans="1:19" s="212" customFormat="1" x14ac:dyDescent="0.25">
      <c r="A272" s="302">
        <f>'A) Base RI'!A273</f>
        <v>5872</v>
      </c>
      <c r="B272" s="225" t="str">
        <f>'A) Base RI'!B273</f>
        <v>Le Chenit</v>
      </c>
      <c r="C272" s="240">
        <v>0</v>
      </c>
      <c r="D272" s="214">
        <f>'B) D RI'!AA273</f>
        <v>4569</v>
      </c>
      <c r="E272" s="215">
        <f>'B) D RI'!S273</f>
        <v>58.5</v>
      </c>
      <c r="F272" s="10">
        <f>'B) D RI'!R273</f>
        <v>13340827.770000003</v>
      </c>
      <c r="G272" s="10">
        <f>'B) D RI'!U273</f>
        <v>228048.33794871799</v>
      </c>
      <c r="H272" s="41">
        <f>'B) D RI'!T273</f>
        <v>12507011.420000002</v>
      </c>
      <c r="I272" s="10">
        <f t="shared" si="39"/>
        <v>427590.1340170941</v>
      </c>
      <c r="J272" s="31">
        <f t="shared" si="36"/>
        <v>408671.00292786321</v>
      </c>
      <c r="K272" s="10">
        <f t="shared" si="37"/>
        <v>408671.00292786321</v>
      </c>
      <c r="L272" s="10">
        <f>'D) Ecrêtage'!C272</f>
        <v>228048.33794871799</v>
      </c>
      <c r="M272" s="10">
        <f t="shared" si="38"/>
        <v>266100.91887683247</v>
      </c>
      <c r="N272" s="55">
        <f t="shared" si="40"/>
        <v>674771.92180469562</v>
      </c>
      <c r="O272" s="216"/>
      <c r="P272" s="217"/>
      <c r="Q272" s="213"/>
      <c r="R272" s="213"/>
      <c r="S272" s="218"/>
    </row>
    <row r="273" spans="1:19" s="212" customFormat="1" x14ac:dyDescent="0.25">
      <c r="A273" s="302">
        <f>'A) Base RI'!A274</f>
        <v>5873</v>
      </c>
      <c r="B273" s="225" t="str">
        <f>'A) Base RI'!B274</f>
        <v>Le Lieu</v>
      </c>
      <c r="C273" s="240">
        <v>0</v>
      </c>
      <c r="D273" s="214">
        <f>'B) D RI'!AA274</f>
        <v>881</v>
      </c>
      <c r="E273" s="215">
        <f>'B) D RI'!S274</f>
        <v>70</v>
      </c>
      <c r="F273" s="10">
        <f>'B) D RI'!R274</f>
        <v>2203259.0575000001</v>
      </c>
      <c r="G273" s="10">
        <f>'B) D RI'!U274</f>
        <v>31475.129392857143</v>
      </c>
      <c r="H273" s="41">
        <f>'B) D RI'!T274</f>
        <v>2054542.6200000003</v>
      </c>
      <c r="I273" s="10">
        <f t="shared" si="39"/>
        <v>58701.217714285725</v>
      </c>
      <c r="J273" s="31">
        <f t="shared" si="36"/>
        <v>78800.427572652115</v>
      </c>
      <c r="K273" s="10">
        <f t="shared" si="37"/>
        <v>58701.217714285725</v>
      </c>
      <c r="L273" s="10">
        <f>'D) Ecrêtage'!C273</f>
        <v>31475.129392857143</v>
      </c>
      <c r="M273" s="10">
        <f t="shared" si="38"/>
        <v>36727.129557462176</v>
      </c>
      <c r="N273" s="55">
        <f t="shared" si="40"/>
        <v>95428.347271747902</v>
      </c>
      <c r="O273" s="216"/>
      <c r="P273" s="217"/>
      <c r="Q273" s="213"/>
      <c r="R273" s="213"/>
      <c r="S273" s="218"/>
    </row>
    <row r="274" spans="1:19" s="212" customFormat="1" x14ac:dyDescent="0.25">
      <c r="A274" s="302">
        <f>'A) Base RI'!A275</f>
        <v>5881</v>
      </c>
      <c r="B274" s="225" t="str">
        <f>'A) Base RI'!B275</f>
        <v>Blonay</v>
      </c>
      <c r="C274" s="240">
        <v>1</v>
      </c>
      <c r="D274" s="214">
        <f>'B) D RI'!AA275</f>
        <v>6291</v>
      </c>
      <c r="E274" s="215">
        <f>'B) D RI'!S275</f>
        <v>68.5</v>
      </c>
      <c r="F274" s="10">
        <f>'B) D RI'!R275</f>
        <v>25441032.77</v>
      </c>
      <c r="G274" s="10">
        <f>'B) D RI'!U275</f>
        <v>371401.9382481752</v>
      </c>
      <c r="H274" s="41">
        <f>'B) D RI'!T275</f>
        <v>23630241.469999999</v>
      </c>
      <c r="I274" s="10">
        <f t="shared" si="39"/>
        <v>689934.0575182481</v>
      </c>
      <c r="J274" s="31">
        <f t="shared" si="36"/>
        <v>562694.08610619116</v>
      </c>
      <c r="K274" s="10">
        <f t="shared" si="37"/>
        <v>0</v>
      </c>
      <c r="L274" s="10">
        <f>'D) Ecrêtage'!C274</f>
        <v>371401.9382481752</v>
      </c>
      <c r="M274" s="10">
        <f t="shared" si="38"/>
        <v>433374.77453003993</v>
      </c>
      <c r="N274" s="55">
        <f t="shared" si="40"/>
        <v>433374.77453003993</v>
      </c>
      <c r="O274" s="216"/>
      <c r="P274" s="217"/>
      <c r="Q274" s="213"/>
      <c r="R274" s="213"/>
      <c r="S274" s="218"/>
    </row>
    <row r="275" spans="1:19" s="212" customFormat="1" x14ac:dyDescent="0.25">
      <c r="A275" s="302">
        <f>'A) Base RI'!A276</f>
        <v>5882</v>
      </c>
      <c r="B275" s="225" t="str">
        <f>'A) Base RI'!B276</f>
        <v>Chardonne</v>
      </c>
      <c r="C275" s="240">
        <v>1</v>
      </c>
      <c r="D275" s="214">
        <f>'B) D RI'!AA276</f>
        <v>3078</v>
      </c>
      <c r="E275" s="215">
        <f>'B) D RI'!S276</f>
        <v>68</v>
      </c>
      <c r="F275" s="10">
        <f>'B) D RI'!R276</f>
        <v>12712782.640000001</v>
      </c>
      <c r="G275" s="10">
        <f>'B) D RI'!U276</f>
        <v>186952.68588235296</v>
      </c>
      <c r="H275" s="41">
        <f>'B) D RI'!T276</f>
        <v>11656174.630000001</v>
      </c>
      <c r="I275" s="10">
        <f t="shared" si="39"/>
        <v>342828.66558823531</v>
      </c>
      <c r="J275" s="31">
        <f t="shared" si="36"/>
        <v>275309.55285882315</v>
      </c>
      <c r="K275" s="10">
        <f t="shared" si="37"/>
        <v>0</v>
      </c>
      <c r="L275" s="10">
        <f>'D) Ecrêtage'!C275</f>
        <v>186952.68588235296</v>
      </c>
      <c r="M275" s="10">
        <f t="shared" si="38"/>
        <v>218147.96787062316</v>
      </c>
      <c r="N275" s="55">
        <f t="shared" si="40"/>
        <v>218147.96787062316</v>
      </c>
      <c r="O275" s="216"/>
      <c r="P275" s="217"/>
      <c r="Q275" s="213"/>
      <c r="R275" s="213"/>
      <c r="S275" s="218"/>
    </row>
    <row r="276" spans="1:19" s="212" customFormat="1" x14ac:dyDescent="0.25">
      <c r="A276" s="302">
        <f>'A) Base RI'!A277</f>
        <v>5883</v>
      </c>
      <c r="B276" s="225" t="str">
        <f>'A) Base RI'!B277</f>
        <v>Corseaux</v>
      </c>
      <c r="C276" s="240">
        <v>1</v>
      </c>
      <c r="D276" s="214">
        <f>'B) D RI'!AA277</f>
        <v>2330</v>
      </c>
      <c r="E276" s="215">
        <f>'B) D RI'!S277</f>
        <v>67.5</v>
      </c>
      <c r="F276" s="10">
        <f>'B) D RI'!R277</f>
        <v>13033932.83</v>
      </c>
      <c r="G276" s="10">
        <f>'B) D RI'!U277</f>
        <v>193095.30118518518</v>
      </c>
      <c r="H276" s="41">
        <f>'B) D RI'!T277</f>
        <v>12332183.08</v>
      </c>
      <c r="I276" s="10">
        <f t="shared" si="39"/>
        <v>365398.01718518516</v>
      </c>
      <c r="J276" s="31">
        <f t="shared" ref="J276:J307" si="41">+$I$314/$D$314*D276</f>
        <v>208405.21707636709</v>
      </c>
      <c r="K276" s="10">
        <f t="shared" si="37"/>
        <v>0</v>
      </c>
      <c r="L276" s="10">
        <f>'D) Ecrêtage'!C276</f>
        <v>193095.30118518518</v>
      </c>
      <c r="M276" s="10">
        <f t="shared" si="38"/>
        <v>225315.5516868144</v>
      </c>
      <c r="N276" s="55">
        <f t="shared" si="40"/>
        <v>225315.5516868144</v>
      </c>
      <c r="O276" s="216"/>
      <c r="P276" s="217"/>
      <c r="Q276" s="213"/>
      <c r="R276" s="213"/>
      <c r="S276" s="218"/>
    </row>
    <row r="277" spans="1:19" s="212" customFormat="1" x14ac:dyDescent="0.25">
      <c r="A277" s="302">
        <f>'A) Base RI'!A278</f>
        <v>5884</v>
      </c>
      <c r="B277" s="225" t="str">
        <f>'A) Base RI'!B278</f>
        <v>Corsier-sur-Vevey</v>
      </c>
      <c r="C277" s="240">
        <v>1</v>
      </c>
      <c r="D277" s="214">
        <f>'B) D RI'!AA278</f>
        <v>3390</v>
      </c>
      <c r="E277" s="215">
        <f>'B) D RI'!S278</f>
        <v>64.5</v>
      </c>
      <c r="F277" s="10">
        <f>'B) D RI'!R278</f>
        <v>9603842.9633333366</v>
      </c>
      <c r="G277" s="10">
        <f>'B) D RI'!U278</f>
        <v>148896.79012919901</v>
      </c>
      <c r="H277" s="41">
        <f>'B) D RI'!T278</f>
        <v>8593001.2300000023</v>
      </c>
      <c r="I277" s="10">
        <f t="shared" si="39"/>
        <v>266449.6505426357</v>
      </c>
      <c r="J277" s="31">
        <f t="shared" si="41"/>
        <v>303216.17420123797</v>
      </c>
      <c r="K277" s="10">
        <f t="shared" si="37"/>
        <v>0</v>
      </c>
      <c r="L277" s="10">
        <f>'D) Ecrêtage'!C277</f>
        <v>148896.79012919901</v>
      </c>
      <c r="M277" s="10">
        <f t="shared" si="38"/>
        <v>173741.99271779202</v>
      </c>
      <c r="N277" s="55">
        <f t="shared" si="40"/>
        <v>173741.99271779202</v>
      </c>
      <c r="O277" s="216"/>
      <c r="P277" s="217"/>
      <c r="Q277" s="213"/>
      <c r="R277" s="213"/>
      <c r="S277" s="218"/>
    </row>
    <row r="278" spans="1:19" s="212" customFormat="1" x14ac:dyDescent="0.25">
      <c r="A278" s="302">
        <f>'A) Base RI'!A279</f>
        <v>5885</v>
      </c>
      <c r="B278" s="225" t="str">
        <f>'A) Base RI'!B279</f>
        <v>Jongny</v>
      </c>
      <c r="C278" s="240">
        <v>1</v>
      </c>
      <c r="D278" s="214">
        <f>'B) D RI'!AA279</f>
        <v>1805</v>
      </c>
      <c r="E278" s="215">
        <f>'B) D RI'!S279</f>
        <v>69.5</v>
      </c>
      <c r="F278" s="10">
        <f>'B) D RI'!R279</f>
        <v>6746847.3666666662</v>
      </c>
      <c r="G278" s="10">
        <f>'B) D RI'!U279</f>
        <v>97076.940527577928</v>
      </c>
      <c r="H278" s="41">
        <f>'B) D RI'!T279</f>
        <v>6313583.6499999994</v>
      </c>
      <c r="I278" s="10">
        <f t="shared" si="39"/>
        <v>181685.86043165467</v>
      </c>
      <c r="J278" s="31">
        <f t="shared" si="41"/>
        <v>161446.9600098037</v>
      </c>
      <c r="K278" s="10">
        <f t="shared" si="37"/>
        <v>0</v>
      </c>
      <c r="L278" s="10">
        <f>'D) Ecrêtage'!C278</f>
        <v>97076.940527577928</v>
      </c>
      <c r="M278" s="10">
        <f t="shared" si="38"/>
        <v>113275.38410715842</v>
      </c>
      <c r="N278" s="55">
        <f t="shared" si="40"/>
        <v>113275.38410715842</v>
      </c>
      <c r="O278" s="216"/>
      <c r="P278" s="217"/>
      <c r="Q278" s="213"/>
      <c r="R278" s="213"/>
      <c r="S278" s="218"/>
    </row>
    <row r="279" spans="1:19" s="212" customFormat="1" x14ac:dyDescent="0.25">
      <c r="A279" s="302">
        <f>'A) Base RI'!A280</f>
        <v>5886</v>
      </c>
      <c r="B279" s="225" t="str">
        <f>'A) Base RI'!B280</f>
        <v>Montreux</v>
      </c>
      <c r="C279" s="240">
        <v>1</v>
      </c>
      <c r="D279" s="214">
        <f>'B) D RI'!AA280</f>
        <v>26012</v>
      </c>
      <c r="E279" s="215">
        <f>'B) D RI'!S280</f>
        <v>65</v>
      </c>
      <c r="F279" s="10">
        <f>'B) D RI'!R280</f>
        <v>79521327.799999982</v>
      </c>
      <c r="G279" s="10">
        <f>'B) D RI'!U280</f>
        <v>1223405.0430769229</v>
      </c>
      <c r="H279" s="41">
        <f>'B) D RI'!T280</f>
        <v>72035260.919999987</v>
      </c>
      <c r="I279" s="10">
        <f t="shared" si="39"/>
        <v>2216469.5667692302</v>
      </c>
      <c r="J279" s="31">
        <f t="shared" si="41"/>
        <v>2326625.1101246616</v>
      </c>
      <c r="K279" s="10">
        <f t="shared" si="37"/>
        <v>0</v>
      </c>
      <c r="L279" s="10">
        <f>'D) Ecrêtage'!C279</f>
        <v>1223405.0430769229</v>
      </c>
      <c r="M279" s="10">
        <f t="shared" si="38"/>
        <v>1427544.7435820703</v>
      </c>
      <c r="N279" s="55">
        <f t="shared" si="40"/>
        <v>1427544.7435820703</v>
      </c>
      <c r="O279" s="216"/>
      <c r="P279" s="217"/>
      <c r="Q279" s="213"/>
      <c r="R279" s="213"/>
      <c r="S279" s="218"/>
    </row>
    <row r="280" spans="1:19" s="212" customFormat="1" x14ac:dyDescent="0.25">
      <c r="A280" s="302">
        <f>'A) Base RI'!A281</f>
        <v>5888</v>
      </c>
      <c r="B280" s="225" t="str">
        <f>'A) Base RI'!B281</f>
        <v>Saint-Légier-La Chiésaz</v>
      </c>
      <c r="C280" s="240">
        <v>1</v>
      </c>
      <c r="D280" s="214">
        <f>'B) D RI'!AA281</f>
        <v>5634</v>
      </c>
      <c r="E280" s="215">
        <f>'B) D RI'!S281</f>
        <v>68.5</v>
      </c>
      <c r="F280" s="10">
        <f>'B) D RI'!R281</f>
        <v>22880177.483333331</v>
      </c>
      <c r="G280" s="10">
        <f>'B) D RI'!U281</f>
        <v>334017.18953771284</v>
      </c>
      <c r="H280" s="41">
        <f>'B) D RI'!T281</f>
        <v>21160883.199999999</v>
      </c>
      <c r="I280" s="10">
        <f t="shared" si="39"/>
        <v>617836.00583941606</v>
      </c>
      <c r="J280" s="31">
        <f t="shared" si="41"/>
        <v>503929.18154860614</v>
      </c>
      <c r="K280" s="10">
        <f t="shared" si="37"/>
        <v>0</v>
      </c>
      <c r="L280" s="10">
        <f>'D) Ecrêtage'!C280</f>
        <v>334017.18953771284</v>
      </c>
      <c r="M280" s="10">
        <f t="shared" si="38"/>
        <v>389751.93529640965</v>
      </c>
      <c r="N280" s="55">
        <f t="shared" si="40"/>
        <v>389751.93529640965</v>
      </c>
      <c r="O280" s="216"/>
      <c r="P280" s="217"/>
      <c r="Q280" s="213"/>
      <c r="R280" s="213"/>
      <c r="S280" s="218"/>
    </row>
    <row r="281" spans="1:19" s="212" customFormat="1" x14ac:dyDescent="0.25">
      <c r="A281" s="302">
        <f>'A) Base RI'!A282</f>
        <v>5889</v>
      </c>
      <c r="B281" s="225" t="str">
        <f>'A) Base RI'!B282</f>
        <v>La Tour-de-Peilz</v>
      </c>
      <c r="C281" s="240">
        <v>1</v>
      </c>
      <c r="D281" s="214">
        <f>'B) D RI'!AA282</f>
        <v>12222</v>
      </c>
      <c r="E281" s="215">
        <f>'B) D RI'!S282</f>
        <v>64</v>
      </c>
      <c r="F281" s="10">
        <f>'B) D RI'!R282</f>
        <v>47394278.363333337</v>
      </c>
      <c r="G281" s="10">
        <f>'B) D RI'!U282</f>
        <v>740535.59942708339</v>
      </c>
      <c r="H281" s="41">
        <f>'B) D RI'!T282</f>
        <v>44501857.730000004</v>
      </c>
      <c r="I281" s="10">
        <f t="shared" si="39"/>
        <v>1390683.0540625001</v>
      </c>
      <c r="J281" s="31">
        <f t="shared" si="41"/>
        <v>1093188.2245095961</v>
      </c>
      <c r="K281" s="10">
        <f t="shared" si="37"/>
        <v>0</v>
      </c>
      <c r="L281" s="10">
        <f>'D) Ecrêtage'!C281</f>
        <v>740535.59942708339</v>
      </c>
      <c r="M281" s="10">
        <f t="shared" si="38"/>
        <v>864102.78294975229</v>
      </c>
      <c r="N281" s="55">
        <f t="shared" si="40"/>
        <v>864102.78294975229</v>
      </c>
      <c r="O281" s="216"/>
      <c r="P281" s="217"/>
      <c r="Q281" s="213"/>
      <c r="R281" s="213"/>
      <c r="S281" s="218"/>
    </row>
    <row r="282" spans="1:19" s="212" customFormat="1" x14ac:dyDescent="0.25">
      <c r="A282" s="302">
        <f>'A) Base RI'!A283</f>
        <v>5890</v>
      </c>
      <c r="B282" s="225" t="str">
        <f>'A) Base RI'!B283</f>
        <v>Vevey</v>
      </c>
      <c r="C282" s="240">
        <v>1</v>
      </c>
      <c r="D282" s="214">
        <f>'B) D RI'!AA283</f>
        <v>19721</v>
      </c>
      <c r="E282" s="215">
        <f>'B) D RI'!S283</f>
        <v>74.5</v>
      </c>
      <c r="F282" s="10">
        <f>'B) D RI'!R283</f>
        <v>72248371.430000007</v>
      </c>
      <c r="G282" s="10">
        <f>'B) D RI'!U283</f>
        <v>969776.79771812086</v>
      </c>
      <c r="H282" s="41">
        <f>'B) D RI'!T283</f>
        <v>67599205.120000005</v>
      </c>
      <c r="I282" s="10">
        <f t="shared" si="39"/>
        <v>1814743.7616107385</v>
      </c>
      <c r="J282" s="31">
        <f t="shared" si="41"/>
        <v>1763931.0240184702</v>
      </c>
      <c r="K282" s="10">
        <f t="shared" si="37"/>
        <v>0</v>
      </c>
      <c r="L282" s="10">
        <f>'D) Ecrêtage'!C282</f>
        <v>969776.79771812086</v>
      </c>
      <c r="M282" s="10">
        <f t="shared" si="38"/>
        <v>1131595.6051223427</v>
      </c>
      <c r="N282" s="55">
        <f t="shared" si="40"/>
        <v>1131595.6051223427</v>
      </c>
      <c r="O282" s="216"/>
      <c r="P282" s="217"/>
      <c r="Q282" s="213"/>
      <c r="R282" s="213"/>
      <c r="S282" s="218"/>
    </row>
    <row r="283" spans="1:19" s="212" customFormat="1" x14ac:dyDescent="0.25">
      <c r="A283" s="302">
        <f>'A) Base RI'!A284</f>
        <v>5891</v>
      </c>
      <c r="B283" s="225" t="str">
        <f>'A) Base RI'!B284</f>
        <v>Veytaux</v>
      </c>
      <c r="C283" s="240">
        <v>1</v>
      </c>
      <c r="D283" s="214">
        <f>'B) D RI'!AA284</f>
        <v>952</v>
      </c>
      <c r="E283" s="215">
        <f>'B) D RI'!S284</f>
        <v>69.5</v>
      </c>
      <c r="F283" s="10">
        <f>'B) D RI'!R284</f>
        <v>2719073.0599999996</v>
      </c>
      <c r="G283" s="10">
        <f>'B) D RI'!U284</f>
        <v>39123.353381294961</v>
      </c>
      <c r="H283" s="41">
        <f>'B) D RI'!T284</f>
        <v>2409172.4099999997</v>
      </c>
      <c r="I283" s="10">
        <f t="shared" si="39"/>
        <v>69328.702446043157</v>
      </c>
      <c r="J283" s="31">
        <f t="shared" si="41"/>
        <v>85150.972814034976</v>
      </c>
      <c r="K283" s="10">
        <f t="shared" si="37"/>
        <v>0</v>
      </c>
      <c r="L283" s="10">
        <f>'D) Ecrêtage'!C283</f>
        <v>39123.353381294961</v>
      </c>
      <c r="M283" s="10">
        <f t="shared" si="38"/>
        <v>45651.550798176489</v>
      </c>
      <c r="N283" s="55">
        <f t="shared" si="40"/>
        <v>45651.550798176489</v>
      </c>
      <c r="O283" s="216"/>
      <c r="P283" s="217"/>
      <c r="Q283" s="213"/>
      <c r="R283" s="213"/>
      <c r="S283" s="218"/>
    </row>
    <row r="284" spans="1:19" s="212" customFormat="1" x14ac:dyDescent="0.25">
      <c r="A284" s="302">
        <f>'A) Base RI'!A285</f>
        <v>5902</v>
      </c>
      <c r="B284" s="225" t="str">
        <f>'A) Base RI'!B285</f>
        <v>Belmont-sur-Yverdon</v>
      </c>
      <c r="C284" s="240">
        <v>0</v>
      </c>
      <c r="D284" s="214">
        <f>'B) D RI'!AA285</f>
        <v>415</v>
      </c>
      <c r="E284" s="215">
        <f>'B) D RI'!S285</f>
        <v>70</v>
      </c>
      <c r="F284" s="10">
        <f>'B) D RI'!R285</f>
        <v>847640.5</v>
      </c>
      <c r="G284" s="10">
        <f>'B) D RI'!U285</f>
        <v>12109.15</v>
      </c>
      <c r="H284" s="41">
        <f>'B) D RI'!T285</f>
        <v>787853.95</v>
      </c>
      <c r="I284" s="10">
        <f t="shared" si="39"/>
        <v>22510.112857142856</v>
      </c>
      <c r="J284" s="31">
        <f t="shared" si="41"/>
        <v>37119.384157378692</v>
      </c>
      <c r="K284" s="10">
        <f t="shared" si="37"/>
        <v>22510.112857142856</v>
      </c>
      <c r="L284" s="10">
        <f>'D) Ecrêtage'!C284</f>
        <v>12109.15</v>
      </c>
      <c r="M284" s="10">
        <f t="shared" si="38"/>
        <v>14129.705880785657</v>
      </c>
      <c r="N284" s="55">
        <f t="shared" si="40"/>
        <v>36639.818737928515</v>
      </c>
      <c r="O284" s="216"/>
      <c r="P284" s="217"/>
      <c r="Q284" s="213"/>
      <c r="R284" s="213"/>
      <c r="S284" s="218"/>
    </row>
    <row r="285" spans="1:19" s="212" customFormat="1" x14ac:dyDescent="0.25">
      <c r="A285" s="302">
        <f>'A) Base RI'!A286</f>
        <v>5903</v>
      </c>
      <c r="B285" s="225" t="str">
        <f>'A) Base RI'!B286</f>
        <v>Bioley-Magnoux</v>
      </c>
      <c r="C285" s="240">
        <v>0</v>
      </c>
      <c r="D285" s="214">
        <f>'B) D RI'!AA286</f>
        <v>234</v>
      </c>
      <c r="E285" s="215">
        <f>'B) D RI'!S286</f>
        <v>72</v>
      </c>
      <c r="F285" s="10">
        <f>'B) D RI'!R286</f>
        <v>436262.35571428575</v>
      </c>
      <c r="G285" s="10">
        <f>'B) D RI'!U286</f>
        <v>6059.1993849206356</v>
      </c>
      <c r="H285" s="41">
        <f>'B) D RI'!T286</f>
        <v>397547.57</v>
      </c>
      <c r="I285" s="10">
        <f t="shared" si="39"/>
        <v>11042.988055555556</v>
      </c>
      <c r="J285" s="31">
        <f t="shared" si="41"/>
        <v>20929.966006811115</v>
      </c>
      <c r="K285" s="10">
        <f t="shared" si="37"/>
        <v>11042.988055555556</v>
      </c>
      <c r="L285" s="10">
        <f>'D) Ecrêtage'!C285</f>
        <v>6059.1993849206356</v>
      </c>
      <c r="M285" s="10">
        <f t="shared" si="38"/>
        <v>7070.2489590075229</v>
      </c>
      <c r="N285" s="55">
        <f t="shared" si="40"/>
        <v>18113.237014563078</v>
      </c>
      <c r="O285" s="216"/>
      <c r="P285" s="217"/>
      <c r="Q285" s="213"/>
      <c r="R285" s="213"/>
      <c r="S285" s="218"/>
    </row>
    <row r="286" spans="1:19" s="212" customFormat="1" x14ac:dyDescent="0.25">
      <c r="A286" s="302">
        <f>'A) Base RI'!A287</f>
        <v>5904</v>
      </c>
      <c r="B286" s="225" t="str">
        <f>'A) Base RI'!B287</f>
        <v>Chamblon</v>
      </c>
      <c r="C286" s="240">
        <v>1</v>
      </c>
      <c r="D286" s="214">
        <f>'B) D RI'!AA287</f>
        <v>561</v>
      </c>
      <c r="E286" s="215">
        <f>'B) D RI'!S287</f>
        <v>66</v>
      </c>
      <c r="F286" s="10">
        <f>'B) D RI'!R287</f>
        <v>1463762.1999999997</v>
      </c>
      <c r="G286" s="10">
        <f>'B) D RI'!U287</f>
        <v>22178.215151515149</v>
      </c>
      <c r="H286" s="41">
        <f>'B) D RI'!T287</f>
        <v>1364341.4499999997</v>
      </c>
      <c r="I286" s="10">
        <f t="shared" ref="I286:I313" si="42">+H286/E286*$I$5</f>
        <v>41343.680303030298</v>
      </c>
      <c r="J286" s="31">
        <f t="shared" si="41"/>
        <v>50178.251836842035</v>
      </c>
      <c r="K286" s="10">
        <f t="shared" si="37"/>
        <v>0</v>
      </c>
      <c r="L286" s="10">
        <f>'D) Ecrêtage'!C286</f>
        <v>22178.215151515149</v>
      </c>
      <c r="M286" s="10">
        <f t="shared" si="38"/>
        <v>25878.914461518205</v>
      </c>
      <c r="N286" s="55">
        <f t="shared" si="40"/>
        <v>25878.914461518205</v>
      </c>
      <c r="O286" s="216"/>
      <c r="P286" s="217"/>
      <c r="Q286" s="213"/>
      <c r="R286" s="213"/>
      <c r="S286" s="218"/>
    </row>
    <row r="287" spans="1:19" s="212" customFormat="1" x14ac:dyDescent="0.25">
      <c r="A287" s="302">
        <f>'A) Base RI'!A288</f>
        <v>5905</v>
      </c>
      <c r="B287" s="225" t="str">
        <f>'A) Base RI'!B288</f>
        <v>Champvent</v>
      </c>
      <c r="C287" s="240">
        <v>0</v>
      </c>
      <c r="D287" s="214">
        <f>'B) D RI'!AA288</f>
        <v>712</v>
      </c>
      <c r="E287" s="215">
        <f>'B) D RI'!S288</f>
        <v>70</v>
      </c>
      <c r="F287" s="10">
        <f>'B) D RI'!R288</f>
        <v>1626536.08</v>
      </c>
      <c r="G287" s="10">
        <f>'B) D RI'!U288</f>
        <v>23236.229714285717</v>
      </c>
      <c r="H287" s="41">
        <f>'B) D RI'!T288</f>
        <v>1519990.98</v>
      </c>
      <c r="I287" s="10">
        <f t="shared" si="42"/>
        <v>43428.313714285716</v>
      </c>
      <c r="J287" s="31">
        <f t="shared" si="41"/>
        <v>63684.341012177414</v>
      </c>
      <c r="K287" s="10">
        <f t="shared" si="37"/>
        <v>43428.313714285716</v>
      </c>
      <c r="L287" s="10">
        <f>'D) Ecrêtage'!C287</f>
        <v>23236.229714285717</v>
      </c>
      <c r="M287" s="10">
        <f t="shared" si="38"/>
        <v>27113.471353582154</v>
      </c>
      <c r="N287" s="55">
        <f t="shared" si="40"/>
        <v>70541.785067867866</v>
      </c>
      <c r="O287" s="216"/>
      <c r="P287" s="217"/>
      <c r="Q287" s="213"/>
      <c r="R287" s="213"/>
      <c r="S287" s="218"/>
    </row>
    <row r="288" spans="1:19" s="212" customFormat="1" x14ac:dyDescent="0.25">
      <c r="A288" s="302">
        <f>'A) Base RI'!A289</f>
        <v>5907</v>
      </c>
      <c r="B288" s="225" t="str">
        <f>'A) Base RI'!B289</f>
        <v>Chavannes-le-Chêne</v>
      </c>
      <c r="C288" s="240">
        <v>0</v>
      </c>
      <c r="D288" s="214">
        <f>'B) D RI'!AA289</f>
        <v>325</v>
      </c>
      <c r="E288" s="215">
        <f>'B) D RI'!S289</f>
        <v>75</v>
      </c>
      <c r="F288" s="10">
        <f>'B) D RI'!R289</f>
        <v>586376.07999999996</v>
      </c>
      <c r="G288" s="10">
        <f>'B) D RI'!U289</f>
        <v>7818.3477333333331</v>
      </c>
      <c r="H288" s="41">
        <f>'B) D RI'!T289</f>
        <v>535749.63</v>
      </c>
      <c r="I288" s="10">
        <f t="shared" si="42"/>
        <v>14286.656800000001</v>
      </c>
      <c r="J288" s="31">
        <f t="shared" si="41"/>
        <v>29069.397231682105</v>
      </c>
      <c r="K288" s="10">
        <f t="shared" si="37"/>
        <v>14286.656800000001</v>
      </c>
      <c r="L288" s="10">
        <f>'D) Ecrêtage'!C288</f>
        <v>7818.3477333333331</v>
      </c>
      <c r="M288" s="10">
        <f t="shared" si="38"/>
        <v>9122.9321583849578</v>
      </c>
      <c r="N288" s="55">
        <f t="shared" si="40"/>
        <v>23409.588958384957</v>
      </c>
      <c r="O288" s="216"/>
      <c r="P288" s="217"/>
      <c r="Q288" s="213"/>
      <c r="R288" s="213"/>
      <c r="S288" s="218"/>
    </row>
    <row r="289" spans="1:19" s="212" customFormat="1" x14ac:dyDescent="0.25">
      <c r="A289" s="302">
        <f>'A) Base RI'!A290</f>
        <v>5908</v>
      </c>
      <c r="B289" s="225" t="str">
        <f>'A) Base RI'!B290</f>
        <v>Chêne-Pâquier</v>
      </c>
      <c r="C289" s="240">
        <v>0</v>
      </c>
      <c r="D289" s="214">
        <f>'B) D RI'!AA290</f>
        <v>153</v>
      </c>
      <c r="E289" s="215">
        <f>'B) D RI'!S290</f>
        <v>79</v>
      </c>
      <c r="F289" s="10">
        <f>'B) D RI'!R290</f>
        <v>348696.37</v>
      </c>
      <c r="G289" s="10">
        <f>'B) D RI'!U290</f>
        <v>4413.8781012658228</v>
      </c>
      <c r="H289" s="41">
        <f>'B) D RI'!T290</f>
        <v>324986.07</v>
      </c>
      <c r="I289" s="10">
        <f t="shared" si="42"/>
        <v>8227.4954430379748</v>
      </c>
      <c r="J289" s="31">
        <f t="shared" si="41"/>
        <v>13684.977773684192</v>
      </c>
      <c r="K289" s="10">
        <f t="shared" si="37"/>
        <v>8227.4954430379748</v>
      </c>
      <c r="L289" s="10">
        <f>'D) Ecrêtage'!C289</f>
        <v>4413.8781012658228</v>
      </c>
      <c r="M289" s="10">
        <f t="shared" si="38"/>
        <v>5150.3862256662715</v>
      </c>
      <c r="N289" s="55">
        <f t="shared" si="40"/>
        <v>13377.881668704245</v>
      </c>
      <c r="O289" s="216"/>
      <c r="P289" s="217"/>
      <c r="Q289" s="213"/>
      <c r="R289" s="213"/>
      <c r="S289" s="218"/>
    </row>
    <row r="290" spans="1:19" s="212" customFormat="1" x14ac:dyDescent="0.25">
      <c r="A290" s="302">
        <f>'A) Base RI'!A291</f>
        <v>5909</v>
      </c>
      <c r="B290" s="225" t="str">
        <f>'A) Base RI'!B291</f>
        <v>Cheseaux-Noréaz</v>
      </c>
      <c r="C290" s="240">
        <v>1</v>
      </c>
      <c r="D290" s="214">
        <f>'B) D RI'!AA291</f>
        <v>728</v>
      </c>
      <c r="E290" s="215">
        <f>'B) D RI'!S291</f>
        <v>67</v>
      </c>
      <c r="F290" s="10">
        <f>'B) D RI'!R291</f>
        <v>2472204.4</v>
      </c>
      <c r="G290" s="10">
        <f>'B) D RI'!U291</f>
        <v>36898.573134328355</v>
      </c>
      <c r="H290" s="41">
        <f>'B) D RI'!T291</f>
        <v>2308220.13</v>
      </c>
      <c r="I290" s="10">
        <f t="shared" si="42"/>
        <v>68902.093432835813</v>
      </c>
      <c r="J290" s="31">
        <f t="shared" si="41"/>
        <v>65115.449798967915</v>
      </c>
      <c r="K290" s="10">
        <f t="shared" si="37"/>
        <v>0</v>
      </c>
      <c r="L290" s="10">
        <f>'D) Ecrêtage'!C290</f>
        <v>36898.573134328355</v>
      </c>
      <c r="M290" s="10">
        <f t="shared" si="38"/>
        <v>43055.539472937329</v>
      </c>
      <c r="N290" s="55">
        <f t="shared" si="40"/>
        <v>43055.539472937329</v>
      </c>
      <c r="O290" s="216"/>
      <c r="P290" s="217"/>
      <c r="Q290" s="213"/>
      <c r="R290" s="213"/>
      <c r="S290" s="218"/>
    </row>
    <row r="291" spans="1:19" s="212" customFormat="1" x14ac:dyDescent="0.25">
      <c r="A291" s="302">
        <f>'A) Base RI'!A292</f>
        <v>5910</v>
      </c>
      <c r="B291" s="225" t="str">
        <f>'A) Base RI'!B292</f>
        <v>Cronay</v>
      </c>
      <c r="C291" s="240">
        <v>0</v>
      </c>
      <c r="D291" s="214">
        <f>'B) D RI'!AA292</f>
        <v>403</v>
      </c>
      <c r="E291" s="215">
        <f>'B) D RI'!S292</f>
        <v>77</v>
      </c>
      <c r="F291" s="10">
        <f>'B) D RI'!R292</f>
        <v>816232.03999999992</v>
      </c>
      <c r="G291" s="10">
        <f>'B) D RI'!U292</f>
        <v>10600.416103896103</v>
      </c>
      <c r="H291" s="41">
        <f>'B) D RI'!T292</f>
        <v>753014.03999999992</v>
      </c>
      <c r="I291" s="10">
        <f t="shared" si="42"/>
        <v>19558.80623376623</v>
      </c>
      <c r="J291" s="31">
        <f t="shared" si="41"/>
        <v>36046.052567285813</v>
      </c>
      <c r="K291" s="10">
        <f t="shared" si="37"/>
        <v>19558.80623376623</v>
      </c>
      <c r="L291" s="10">
        <f>'D) Ecrêtage'!C291</f>
        <v>10600.416103896103</v>
      </c>
      <c r="M291" s="10">
        <f t="shared" si="38"/>
        <v>12369.22176717571</v>
      </c>
      <c r="N291" s="55">
        <f t="shared" si="40"/>
        <v>31928.02800094194</v>
      </c>
      <c r="O291" s="216"/>
      <c r="P291" s="494"/>
      <c r="Q291" s="213"/>
      <c r="R291" s="213"/>
      <c r="S291" s="218"/>
    </row>
    <row r="292" spans="1:19" s="212" customFormat="1" x14ac:dyDescent="0.25">
      <c r="A292" s="302">
        <f>'A) Base RI'!A293</f>
        <v>5911</v>
      </c>
      <c r="B292" s="225" t="str">
        <f>'A) Base RI'!B293</f>
        <v>Cuarny</v>
      </c>
      <c r="C292" s="240">
        <v>0</v>
      </c>
      <c r="D292" s="214">
        <f>'B) D RI'!AA293</f>
        <v>245</v>
      </c>
      <c r="E292" s="215">
        <f>'B) D RI'!S293</f>
        <v>77</v>
      </c>
      <c r="F292" s="10">
        <f>'B) D RI'!R293</f>
        <v>577815.28</v>
      </c>
      <c r="G292" s="10">
        <f>'B) D RI'!U293</f>
        <v>7504.0945454545454</v>
      </c>
      <c r="H292" s="41">
        <f>'B) D RI'!T293</f>
        <v>538399.68000000005</v>
      </c>
      <c r="I292" s="10">
        <f t="shared" si="42"/>
        <v>13984.407272727274</v>
      </c>
      <c r="J292" s="31">
        <f t="shared" si="41"/>
        <v>21913.853297729587</v>
      </c>
      <c r="K292" s="10">
        <f t="shared" si="37"/>
        <v>13984.407272727274</v>
      </c>
      <c r="L292" s="10">
        <f>'D) Ecrêtage'!C292</f>
        <v>7504.0945454545454</v>
      </c>
      <c r="M292" s="10">
        <f t="shared" si="38"/>
        <v>8756.2420837862828</v>
      </c>
      <c r="N292" s="55">
        <f t="shared" si="40"/>
        <v>22740.649356513557</v>
      </c>
      <c r="O292" s="216"/>
      <c r="P292" s="217"/>
      <c r="Q292" s="213"/>
      <c r="R292" s="213"/>
      <c r="S292" s="218"/>
    </row>
    <row r="293" spans="1:19" s="212" customFormat="1" x14ac:dyDescent="0.25">
      <c r="A293" s="302">
        <f>'A) Base RI'!A294</f>
        <v>5912</v>
      </c>
      <c r="B293" s="225" t="str">
        <f>'A) Base RI'!B294</f>
        <v>Démoret</v>
      </c>
      <c r="C293" s="240">
        <v>0</v>
      </c>
      <c r="D293" s="214">
        <f>'B) D RI'!AA294</f>
        <v>164</v>
      </c>
      <c r="E293" s="215">
        <f>'B) D RI'!S294</f>
        <v>81</v>
      </c>
      <c r="F293" s="10">
        <f>'B) D RI'!R294</f>
        <v>382526.97</v>
      </c>
      <c r="G293" s="10">
        <f>'B) D RI'!U294</f>
        <v>4722.5551851851851</v>
      </c>
      <c r="H293" s="41">
        <f>'B) D RI'!T294</f>
        <v>359769.67</v>
      </c>
      <c r="I293" s="10">
        <f t="shared" si="42"/>
        <v>8883.2017283950609</v>
      </c>
      <c r="J293" s="31">
        <f t="shared" si="41"/>
        <v>14668.865064602664</v>
      </c>
      <c r="K293" s="10">
        <f t="shared" si="37"/>
        <v>8883.2017283950609</v>
      </c>
      <c r="L293" s="10">
        <f>'D) Ecrêtage'!C293</f>
        <v>4722.5551851851851</v>
      </c>
      <c r="M293" s="10">
        <f t="shared" si="38"/>
        <v>5510.5697569561789</v>
      </c>
      <c r="N293" s="55">
        <f t="shared" si="40"/>
        <v>14393.771485351241</v>
      </c>
      <c r="O293" s="216"/>
      <c r="P293" s="217"/>
      <c r="Q293" s="213"/>
      <c r="R293" s="213"/>
      <c r="S293" s="218"/>
    </row>
    <row r="294" spans="1:19" s="212" customFormat="1" x14ac:dyDescent="0.25">
      <c r="A294" s="302">
        <f>'A) Base RI'!A295</f>
        <v>5913</v>
      </c>
      <c r="B294" s="225" t="str">
        <f>'A) Base RI'!B295</f>
        <v>Donneloye</v>
      </c>
      <c r="C294" s="240">
        <v>0</v>
      </c>
      <c r="D294" s="214">
        <f>'B) D RI'!AA295</f>
        <v>891</v>
      </c>
      <c r="E294" s="215">
        <f>'B) D RI'!S295</f>
        <v>73</v>
      </c>
      <c r="F294" s="10">
        <f>'B) D RI'!R295</f>
        <v>1744212.5399999998</v>
      </c>
      <c r="G294" s="10">
        <f>'B) D RI'!U295</f>
        <v>23893.322465753423</v>
      </c>
      <c r="H294" s="41">
        <f>'B) D RI'!T295</f>
        <v>1620904.1899999997</v>
      </c>
      <c r="I294" s="10">
        <f t="shared" si="42"/>
        <v>44408.333972602733</v>
      </c>
      <c r="J294" s="31">
        <f t="shared" si="41"/>
        <v>79694.870564396173</v>
      </c>
      <c r="K294" s="10">
        <f t="shared" si="37"/>
        <v>44408.333972602733</v>
      </c>
      <c r="L294" s="10">
        <f>'D) Ecrêtage'!C294</f>
        <v>23893.322465753423</v>
      </c>
      <c r="M294" s="10">
        <f t="shared" si="38"/>
        <v>27880.207855701203</v>
      </c>
      <c r="N294" s="55">
        <f t="shared" si="40"/>
        <v>72288.541828303933</v>
      </c>
      <c r="O294" s="216"/>
      <c r="P294" s="217"/>
      <c r="Q294" s="213"/>
      <c r="R294" s="213"/>
      <c r="S294" s="218"/>
    </row>
    <row r="295" spans="1:19" s="212" customFormat="1" x14ac:dyDescent="0.25">
      <c r="A295" s="302">
        <f>'A) Base RI'!A296</f>
        <v>5914</v>
      </c>
      <c r="B295" s="225" t="str">
        <f>'A) Base RI'!B296</f>
        <v>Ependes</v>
      </c>
      <c r="C295" s="240">
        <v>1</v>
      </c>
      <c r="D295" s="214">
        <f>'B) D RI'!AA296</f>
        <v>381</v>
      </c>
      <c r="E295" s="215">
        <f>'B) D RI'!S296</f>
        <v>73.5</v>
      </c>
      <c r="F295" s="10">
        <f>'B) D RI'!R296</f>
        <v>722469.23</v>
      </c>
      <c r="G295" s="10">
        <f>'B) D RI'!U296</f>
        <v>9829.5133333333324</v>
      </c>
      <c r="H295" s="41">
        <f>'B) D RI'!T296</f>
        <v>647217.63</v>
      </c>
      <c r="I295" s="10">
        <f t="shared" si="42"/>
        <v>17611.364081632652</v>
      </c>
      <c r="J295" s="31">
        <f t="shared" si="41"/>
        <v>34078.277985448869</v>
      </c>
      <c r="K295" s="10">
        <f t="shared" si="37"/>
        <v>0</v>
      </c>
      <c r="L295" s="10">
        <f>'D) Ecrêtage'!C295</f>
        <v>9829.5133333333324</v>
      </c>
      <c r="M295" s="10">
        <f t="shared" si="38"/>
        <v>11469.684688955131</v>
      </c>
      <c r="N295" s="55">
        <f t="shared" si="40"/>
        <v>11469.684688955131</v>
      </c>
      <c r="O295" s="216"/>
      <c r="P295" s="217"/>
      <c r="Q295" s="213"/>
      <c r="R295" s="213"/>
      <c r="S295" s="218"/>
    </row>
    <row r="296" spans="1:19" s="212" customFormat="1" x14ac:dyDescent="0.25">
      <c r="A296" s="302">
        <f>'A) Base RI'!A297</f>
        <v>5919</v>
      </c>
      <c r="B296" s="225" t="str">
        <f>'A) Base RI'!B297</f>
        <v>Mathod</v>
      </c>
      <c r="C296" s="240">
        <v>1</v>
      </c>
      <c r="D296" s="214">
        <f>'B) D RI'!AA297</f>
        <v>655</v>
      </c>
      <c r="E296" s="215">
        <f>'B) D RI'!S297</f>
        <v>72</v>
      </c>
      <c r="F296" s="10">
        <f>'B) D RI'!R297</f>
        <v>1345311.79</v>
      </c>
      <c r="G296" s="10">
        <f>'B) D RI'!U297</f>
        <v>18684.885972222222</v>
      </c>
      <c r="H296" s="41">
        <f>'B) D RI'!T297</f>
        <v>1214866.24</v>
      </c>
      <c r="I296" s="10">
        <f t="shared" si="42"/>
        <v>33746.284444444442</v>
      </c>
      <c r="J296" s="31">
        <f t="shared" si="41"/>
        <v>58586.015959236247</v>
      </c>
      <c r="K296" s="10">
        <f t="shared" si="37"/>
        <v>0</v>
      </c>
      <c r="L296" s="10">
        <f>'D) Ecrêtage'!C296</f>
        <v>18684.885972222222</v>
      </c>
      <c r="M296" s="10">
        <f t="shared" si="38"/>
        <v>21802.681707924814</v>
      </c>
      <c r="N296" s="55">
        <f t="shared" si="40"/>
        <v>21802.681707924814</v>
      </c>
      <c r="O296" s="216"/>
      <c r="P296" s="217"/>
      <c r="Q296" s="213"/>
      <c r="R296" s="213"/>
      <c r="S296" s="218"/>
    </row>
    <row r="297" spans="1:19" s="212" customFormat="1" x14ac:dyDescent="0.25">
      <c r="A297" s="302">
        <f>'A) Base RI'!A298</f>
        <v>5921</v>
      </c>
      <c r="B297" s="225" t="str">
        <f>'A) Base RI'!B298</f>
        <v>Molondin</v>
      </c>
      <c r="C297" s="240">
        <v>0</v>
      </c>
      <c r="D297" s="214">
        <f>'B) D RI'!AA298</f>
        <v>239</v>
      </c>
      <c r="E297" s="215">
        <f>'B) D RI'!S298</f>
        <v>81</v>
      </c>
      <c r="F297" s="10">
        <f>'B) D RI'!R298</f>
        <v>475874.7300000001</v>
      </c>
      <c r="G297" s="10">
        <f>'B) D RI'!U298</f>
        <v>5874.9966666666678</v>
      </c>
      <c r="H297" s="41">
        <f>'B) D RI'!T298</f>
        <v>440037.18000000005</v>
      </c>
      <c r="I297" s="10">
        <f t="shared" si="42"/>
        <v>10865.115555555556</v>
      </c>
      <c r="J297" s="31">
        <f t="shared" si="41"/>
        <v>21377.187502683148</v>
      </c>
      <c r="K297" s="10">
        <f t="shared" si="37"/>
        <v>10865.115555555556</v>
      </c>
      <c r="L297" s="10">
        <f>'D) Ecrêtage'!C297</f>
        <v>5874.9966666666678</v>
      </c>
      <c r="M297" s="10">
        <f t="shared" si="38"/>
        <v>6855.3098236124051</v>
      </c>
      <c r="N297" s="55">
        <f t="shared" si="40"/>
        <v>17720.425379167962</v>
      </c>
      <c r="O297" s="216"/>
      <c r="P297" s="217"/>
      <c r="Q297" s="213"/>
      <c r="R297" s="213"/>
      <c r="S297" s="218"/>
    </row>
    <row r="298" spans="1:19" s="212" customFormat="1" x14ac:dyDescent="0.25">
      <c r="A298" s="302">
        <f>'A) Base RI'!A299</f>
        <v>5922</v>
      </c>
      <c r="B298" s="225" t="str">
        <f>'A) Base RI'!B299</f>
        <v>Montagny-près-Yverdon</v>
      </c>
      <c r="C298" s="240">
        <v>0</v>
      </c>
      <c r="D298" s="214">
        <f>'B) D RI'!AA299</f>
        <v>775</v>
      </c>
      <c r="E298" s="215">
        <f>'B) D RI'!S299</f>
        <v>64.5</v>
      </c>
      <c r="F298" s="10">
        <f>'B) D RI'!R299</f>
        <v>2555104.6100000003</v>
      </c>
      <c r="G298" s="10">
        <f>'B) D RI'!U299</f>
        <v>39614.024961240313</v>
      </c>
      <c r="H298" s="41">
        <f>'B) D RI'!T299</f>
        <v>2197239.4600000004</v>
      </c>
      <c r="I298" s="10">
        <f t="shared" si="42"/>
        <v>68131.456124031014</v>
      </c>
      <c r="J298" s="31">
        <f t="shared" si="41"/>
        <v>69319.331860165024</v>
      </c>
      <c r="K298" s="10">
        <f t="shared" si="37"/>
        <v>68131.456124031014</v>
      </c>
      <c r="L298" s="10">
        <f>'D) Ecrêtage'!C298</f>
        <v>39614.024961240313</v>
      </c>
      <c r="M298" s="10">
        <f t="shared" si="38"/>
        <v>46224.096774457917</v>
      </c>
      <c r="N298" s="55">
        <f t="shared" si="40"/>
        <v>114355.55289848894</v>
      </c>
      <c r="O298" s="216"/>
      <c r="P298" s="217"/>
      <c r="Q298" s="213"/>
      <c r="R298" s="213"/>
      <c r="S298" s="218"/>
    </row>
    <row r="299" spans="1:19" s="212" customFormat="1" x14ac:dyDescent="0.25">
      <c r="A299" s="302">
        <f>'A) Base RI'!A300</f>
        <v>5923</v>
      </c>
      <c r="B299" s="225" t="str">
        <f>'A) Base RI'!B300</f>
        <v>Oppens</v>
      </c>
      <c r="C299" s="240">
        <v>0</v>
      </c>
      <c r="D299" s="214">
        <f>'B) D RI'!AA300</f>
        <v>201</v>
      </c>
      <c r="E299" s="215">
        <f>'B) D RI'!S300</f>
        <v>81</v>
      </c>
      <c r="F299" s="10">
        <f>'B) D RI'!R300</f>
        <v>412681.71</v>
      </c>
      <c r="G299" s="10">
        <f>'B) D RI'!U300</f>
        <v>5094.8359259259259</v>
      </c>
      <c r="H299" s="41">
        <f>'B) D RI'!T300</f>
        <v>386278.31</v>
      </c>
      <c r="I299" s="10">
        <f t="shared" si="42"/>
        <v>9537.7360493827164</v>
      </c>
      <c r="J299" s="31">
        <f t="shared" si="41"/>
        <v>17978.304134055703</v>
      </c>
      <c r="K299" s="10">
        <f t="shared" si="37"/>
        <v>9537.7360493827164</v>
      </c>
      <c r="L299" s="10">
        <f>'D) Ecrêtage'!C299</f>
        <v>5094.8359259259259</v>
      </c>
      <c r="M299" s="10">
        <f t="shared" si="38"/>
        <v>5944.9699726399949</v>
      </c>
      <c r="N299" s="55">
        <f t="shared" si="40"/>
        <v>15482.70602202271</v>
      </c>
      <c r="O299" s="216"/>
      <c r="P299" s="217"/>
      <c r="Q299" s="213"/>
      <c r="R299" s="213"/>
      <c r="S299" s="218"/>
    </row>
    <row r="300" spans="1:19" s="212" customFormat="1" x14ac:dyDescent="0.25">
      <c r="A300" s="302">
        <f>'A) Base RI'!A301</f>
        <v>5924</v>
      </c>
      <c r="B300" s="225" t="str">
        <f>'A) Base RI'!B301</f>
        <v>Orges</v>
      </c>
      <c r="C300" s="240">
        <v>0</v>
      </c>
      <c r="D300" s="214">
        <f>'B) D RI'!AA301</f>
        <v>367</v>
      </c>
      <c r="E300" s="215">
        <f>'B) D RI'!S301</f>
        <v>74</v>
      </c>
      <c r="F300" s="10">
        <f>'B) D RI'!R301</f>
        <v>970152.57000000018</v>
      </c>
      <c r="G300" s="10">
        <f>'B) D RI'!U301</f>
        <v>13110.169864864867</v>
      </c>
      <c r="H300" s="41">
        <f>'B) D RI'!T301</f>
        <v>911996.82000000018</v>
      </c>
      <c r="I300" s="10">
        <f t="shared" si="42"/>
        <v>24648.562702702708</v>
      </c>
      <c r="J300" s="31">
        <f t="shared" si="41"/>
        <v>32826.057797007175</v>
      </c>
      <c r="K300" s="10">
        <f t="shared" si="37"/>
        <v>24648.562702702708</v>
      </c>
      <c r="L300" s="10">
        <f>'D) Ecrêtage'!C300</f>
        <v>13110.169864864867</v>
      </c>
      <c r="M300" s="10">
        <f t="shared" si="38"/>
        <v>15297.757830870047</v>
      </c>
      <c r="N300" s="55">
        <f t="shared" si="40"/>
        <v>39946.320533572754</v>
      </c>
      <c r="O300" s="216"/>
      <c r="P300" s="217"/>
      <c r="Q300" s="213"/>
      <c r="R300" s="213"/>
      <c r="S300" s="218"/>
    </row>
    <row r="301" spans="1:19" s="212" customFormat="1" x14ac:dyDescent="0.25">
      <c r="A301" s="302">
        <f>'A) Base RI'!A302</f>
        <v>5925</v>
      </c>
      <c r="B301" s="225" t="str">
        <f>'A) Base RI'!B302</f>
        <v>Orzens</v>
      </c>
      <c r="C301" s="240">
        <v>0</v>
      </c>
      <c r="D301" s="214">
        <f>'B) D RI'!AA302</f>
        <v>202</v>
      </c>
      <c r="E301" s="215">
        <f>'B) D RI'!S302</f>
        <v>79</v>
      </c>
      <c r="F301" s="10">
        <f>'B) D RI'!R302</f>
        <v>413216.36</v>
      </c>
      <c r="G301" s="10">
        <f>'B) D RI'!U302</f>
        <v>5230.5868354430377</v>
      </c>
      <c r="H301" s="41">
        <f>'B) D RI'!T302</f>
        <v>380697.95999999996</v>
      </c>
      <c r="I301" s="10">
        <f t="shared" si="42"/>
        <v>9637.9230379746823</v>
      </c>
      <c r="J301" s="31">
        <f t="shared" si="41"/>
        <v>18067.74843323011</v>
      </c>
      <c r="K301" s="10">
        <f t="shared" si="37"/>
        <v>9637.9230379746823</v>
      </c>
      <c r="L301" s="10">
        <f>'D) Ecrêtage'!C301</f>
        <v>5230.5868354430377</v>
      </c>
      <c r="M301" s="10">
        <f t="shared" si="38"/>
        <v>6103.372538016255</v>
      </c>
      <c r="N301" s="55">
        <f t="shared" si="40"/>
        <v>15741.295575990938</v>
      </c>
      <c r="O301" s="216"/>
      <c r="P301" s="217"/>
      <c r="Q301" s="213"/>
      <c r="R301" s="213"/>
      <c r="S301" s="218"/>
    </row>
    <row r="302" spans="1:19" s="212" customFormat="1" x14ac:dyDescent="0.25">
      <c r="A302" s="302">
        <f>'A) Base RI'!A303</f>
        <v>5926</v>
      </c>
      <c r="B302" s="225" t="str">
        <f>'A) Base RI'!B303</f>
        <v>Pomy</v>
      </c>
      <c r="C302" s="240">
        <v>1</v>
      </c>
      <c r="D302" s="214">
        <f>'B) D RI'!AA303</f>
        <v>838</v>
      </c>
      <c r="E302" s="215">
        <f>'B) D RI'!S303</f>
        <v>71</v>
      </c>
      <c r="F302" s="10">
        <f>'B) D RI'!R303</f>
        <v>1979132.3800000001</v>
      </c>
      <c r="G302" s="10">
        <f>'B) D RI'!U303</f>
        <v>27875.103943661972</v>
      </c>
      <c r="H302" s="41">
        <f>'B) D RI'!T303</f>
        <v>1846892.3800000001</v>
      </c>
      <c r="I302" s="10">
        <f t="shared" si="42"/>
        <v>52025.137464788735</v>
      </c>
      <c r="J302" s="31">
        <f t="shared" si="41"/>
        <v>74954.322708152627</v>
      </c>
      <c r="K302" s="10">
        <f t="shared" si="37"/>
        <v>0</v>
      </c>
      <c r="L302" s="10">
        <f>'D) Ecrêtage'!C302</f>
        <v>27875.103943661972</v>
      </c>
      <c r="M302" s="10">
        <f t="shared" si="38"/>
        <v>32526.396990727841</v>
      </c>
      <c r="N302" s="55">
        <f t="shared" si="40"/>
        <v>32526.396990727841</v>
      </c>
      <c r="O302" s="216"/>
      <c r="P302" s="217"/>
      <c r="Q302" s="213"/>
      <c r="R302" s="213"/>
      <c r="S302" s="218"/>
    </row>
    <row r="303" spans="1:19" s="212" customFormat="1" x14ac:dyDescent="0.25">
      <c r="A303" s="302">
        <f>'A) Base RI'!A304</f>
        <v>5928</v>
      </c>
      <c r="B303" s="225" t="str">
        <f>'A) Base RI'!B304</f>
        <v>Rovray</v>
      </c>
      <c r="C303" s="240">
        <v>0</v>
      </c>
      <c r="D303" s="214">
        <f>'B) D RI'!AA304</f>
        <v>206</v>
      </c>
      <c r="E303" s="215">
        <f>'B) D RI'!S304</f>
        <v>71.5</v>
      </c>
      <c r="F303" s="10">
        <f>'B) D RI'!R304</f>
        <v>390351.43999999994</v>
      </c>
      <c r="G303" s="10">
        <f>'B) D RI'!U304</f>
        <v>5459.4606993006983</v>
      </c>
      <c r="H303" s="41">
        <f>'B) D RI'!T304</f>
        <v>366878.13999999996</v>
      </c>
      <c r="I303" s="10">
        <f t="shared" si="42"/>
        <v>10262.325594405593</v>
      </c>
      <c r="J303" s="31">
        <f t="shared" si="41"/>
        <v>18425.525629927735</v>
      </c>
      <c r="K303" s="10">
        <f t="shared" ref="K303:K313" si="43">IF(C303=1,0,IF(J303&gt;I303,I303,J303))</f>
        <v>10262.325594405593</v>
      </c>
      <c r="L303" s="10">
        <f>'D) Ecrêtage'!C303</f>
        <v>5459.4606993006983</v>
      </c>
      <c r="M303" s="10">
        <f t="shared" si="38"/>
        <v>6370.4367316308126</v>
      </c>
      <c r="N303" s="55">
        <f t="shared" si="40"/>
        <v>16632.762326036405</v>
      </c>
      <c r="O303" s="216"/>
      <c r="P303" s="217"/>
      <c r="Q303" s="213"/>
      <c r="R303" s="213"/>
      <c r="S303" s="218"/>
    </row>
    <row r="304" spans="1:19" s="212" customFormat="1" x14ac:dyDescent="0.25">
      <c r="A304" s="302">
        <f>'A) Base RI'!A305</f>
        <v>5929</v>
      </c>
      <c r="B304" s="225" t="str">
        <f>'A) Base RI'!B305</f>
        <v>Suchy</v>
      </c>
      <c r="C304" s="240">
        <v>1</v>
      </c>
      <c r="D304" s="214">
        <f>'B) D RI'!AA305</f>
        <v>656</v>
      </c>
      <c r="E304" s="215">
        <f>'B) D RI'!S305</f>
        <v>70</v>
      </c>
      <c r="F304" s="10">
        <f>'B) D RI'!R305</f>
        <v>1418689.1875</v>
      </c>
      <c r="G304" s="10">
        <f>'B) D RI'!U305</f>
        <v>20266.988392857143</v>
      </c>
      <c r="H304" s="41">
        <f>'B) D RI'!T305</f>
        <v>1302581.5</v>
      </c>
      <c r="I304" s="10">
        <f t="shared" si="42"/>
        <v>37216.614285714284</v>
      </c>
      <c r="J304" s="31">
        <f t="shared" si="41"/>
        <v>58675.460258410654</v>
      </c>
      <c r="K304" s="10">
        <f t="shared" si="43"/>
        <v>0</v>
      </c>
      <c r="L304" s="10">
        <f>'D) Ecrêtage'!C304</f>
        <v>20266.988392857143</v>
      </c>
      <c r="M304" s="10">
        <f t="shared" si="38"/>
        <v>23648.776758101787</v>
      </c>
      <c r="N304" s="55">
        <f t="shared" si="40"/>
        <v>23648.776758101787</v>
      </c>
      <c r="O304" s="216"/>
      <c r="P304" s="217"/>
      <c r="Q304" s="213"/>
      <c r="R304" s="213"/>
      <c r="S304" s="218"/>
    </row>
    <row r="305" spans="1:19" s="212" customFormat="1" x14ac:dyDescent="0.25">
      <c r="A305" s="302">
        <f>'A) Base RI'!A306</f>
        <v>5930</v>
      </c>
      <c r="B305" s="225" t="str">
        <f>'A) Base RI'!B306</f>
        <v>Suscévaz</v>
      </c>
      <c r="C305" s="240">
        <v>1</v>
      </c>
      <c r="D305" s="214">
        <f>'B) D RI'!AA306</f>
        <v>215</v>
      </c>
      <c r="E305" s="215">
        <f>'B) D RI'!S306</f>
        <v>72</v>
      </c>
      <c r="F305" s="10">
        <f>'B) D RI'!R306</f>
        <v>479650.6</v>
      </c>
      <c r="G305" s="10">
        <f>'B) D RI'!U306</f>
        <v>6661.8138888888889</v>
      </c>
      <c r="H305" s="41">
        <f>'B) D RI'!T306</f>
        <v>447727.5</v>
      </c>
      <c r="I305" s="10">
        <f t="shared" si="42"/>
        <v>12436.875</v>
      </c>
      <c r="J305" s="31">
        <f t="shared" si="41"/>
        <v>19230.524322497393</v>
      </c>
      <c r="K305" s="10">
        <f t="shared" si="43"/>
        <v>0</v>
      </c>
      <c r="L305" s="10">
        <f>'D) Ecrêtage'!C305</f>
        <v>6661.8138888888889</v>
      </c>
      <c r="M305" s="10">
        <f t="shared" si="38"/>
        <v>7773.4168692709982</v>
      </c>
      <c r="N305" s="55">
        <f t="shared" si="40"/>
        <v>7773.4168692709982</v>
      </c>
      <c r="O305" s="216"/>
      <c r="P305" s="217"/>
      <c r="Q305" s="213"/>
      <c r="R305" s="213"/>
      <c r="S305" s="218"/>
    </row>
    <row r="306" spans="1:19" s="212" customFormat="1" x14ac:dyDescent="0.25">
      <c r="A306" s="302">
        <f>'A) Base RI'!A307</f>
        <v>5931</v>
      </c>
      <c r="B306" s="225" t="str">
        <f>'A) Base RI'!B307</f>
        <v>Treycovagnes</v>
      </c>
      <c r="C306" s="240">
        <v>1</v>
      </c>
      <c r="D306" s="214">
        <f>'B) D RI'!AA307</f>
        <v>490</v>
      </c>
      <c r="E306" s="215">
        <f>'B) D RI'!S307</f>
        <v>75</v>
      </c>
      <c r="F306" s="10">
        <f>'B) D RI'!R307</f>
        <v>1145332.0099999998</v>
      </c>
      <c r="G306" s="10">
        <f>'B) D RI'!U307</f>
        <v>15271.093466666664</v>
      </c>
      <c r="H306" s="41">
        <f>'B) D RI'!T307</f>
        <v>1064178.8099999998</v>
      </c>
      <c r="I306" s="10">
        <f t="shared" si="42"/>
        <v>28378.101599999995</v>
      </c>
      <c r="J306" s="31">
        <f t="shared" si="41"/>
        <v>43827.706595459174</v>
      </c>
      <c r="K306" s="10">
        <f t="shared" si="43"/>
        <v>0</v>
      </c>
      <c r="L306" s="10">
        <f>'D) Ecrêtage'!C306</f>
        <v>15271.093466666664</v>
      </c>
      <c r="M306" s="10">
        <f t="shared" si="38"/>
        <v>17819.257269254027</v>
      </c>
      <c r="N306" s="55">
        <f t="shared" si="40"/>
        <v>17819.257269254027</v>
      </c>
      <c r="O306" s="216"/>
      <c r="P306" s="217"/>
      <c r="Q306" s="213"/>
      <c r="R306" s="213"/>
      <c r="S306" s="218"/>
    </row>
    <row r="307" spans="1:19" s="212" customFormat="1" x14ac:dyDescent="0.25">
      <c r="A307" s="302">
        <f>'A) Base RI'!A308</f>
        <v>5932</v>
      </c>
      <c r="B307" s="225" t="str">
        <f>'A) Base RI'!B308</f>
        <v>Ursins</v>
      </c>
      <c r="C307" s="240">
        <v>0</v>
      </c>
      <c r="D307" s="214">
        <f>'B) D RI'!AA308</f>
        <v>228</v>
      </c>
      <c r="E307" s="215">
        <f>'B) D RI'!S308</f>
        <v>75</v>
      </c>
      <c r="F307" s="10">
        <f>'B) D RI'!R308</f>
        <v>577749.33000000019</v>
      </c>
      <c r="G307" s="10">
        <f>'B) D RI'!U308</f>
        <v>7703.3244000000022</v>
      </c>
      <c r="H307" s="41">
        <f>'B) D RI'!T308</f>
        <v>542620.53000000014</v>
      </c>
      <c r="I307" s="10">
        <f t="shared" si="42"/>
        <v>14469.880800000004</v>
      </c>
      <c r="J307" s="31">
        <f t="shared" si="41"/>
        <v>20393.300211764679</v>
      </c>
      <c r="K307" s="10">
        <f t="shared" si="43"/>
        <v>14469.880800000004</v>
      </c>
      <c r="L307" s="10">
        <f>'D) Ecrêtage'!C307</f>
        <v>7703.3244000000022</v>
      </c>
      <c r="M307" s="10">
        <f t="shared" si="38"/>
        <v>8988.7158121156044</v>
      </c>
      <c r="N307" s="55">
        <f t="shared" si="40"/>
        <v>23458.596612115609</v>
      </c>
      <c r="O307" s="216"/>
      <c r="P307" s="217"/>
      <c r="Q307" s="213"/>
      <c r="R307" s="213"/>
      <c r="S307" s="218"/>
    </row>
    <row r="308" spans="1:19" s="212" customFormat="1" x14ac:dyDescent="0.25">
      <c r="A308" s="302">
        <f>'A) Base RI'!A309</f>
        <v>5933</v>
      </c>
      <c r="B308" s="225" t="str">
        <f>'A) Base RI'!B309</f>
        <v>Valeyres-sous-Montagny</v>
      </c>
      <c r="C308" s="240">
        <v>0</v>
      </c>
      <c r="D308" s="214">
        <f>'B) D RI'!AA309</f>
        <v>697</v>
      </c>
      <c r="E308" s="215">
        <f>'B) D RI'!S309</f>
        <v>70.5</v>
      </c>
      <c r="F308" s="10">
        <f>'B) D RI'!R309</f>
        <v>1382298.6499999997</v>
      </c>
      <c r="G308" s="10">
        <f>'B) D RI'!U309</f>
        <v>19607.073049645387</v>
      </c>
      <c r="H308" s="41">
        <f>'B) D RI'!T309</f>
        <v>1255842.4499999997</v>
      </c>
      <c r="I308" s="10">
        <f t="shared" si="42"/>
        <v>35626.73617021276</v>
      </c>
      <c r="J308" s="31">
        <f t="shared" ref="J308:J313" si="44">+$I$314/$D$314*D308</f>
        <v>62342.676524561321</v>
      </c>
      <c r="K308" s="10">
        <f t="shared" si="43"/>
        <v>35626.73617021276</v>
      </c>
      <c r="L308" s="10">
        <f>'D) Ecrêtage'!C308</f>
        <v>19607.073049645387</v>
      </c>
      <c r="M308" s="10">
        <f t="shared" si="38"/>
        <v>22878.746681193017</v>
      </c>
      <c r="N308" s="55">
        <f t="shared" si="40"/>
        <v>58505.482851405774</v>
      </c>
      <c r="O308" s="216"/>
      <c r="P308" s="217"/>
      <c r="Q308" s="213"/>
      <c r="R308" s="213"/>
      <c r="S308" s="218"/>
    </row>
    <row r="309" spans="1:19" s="212" customFormat="1" x14ac:dyDescent="0.25">
      <c r="A309" s="302">
        <f>'A) Base RI'!A310</f>
        <v>5934</v>
      </c>
      <c r="B309" s="225" t="str">
        <f>'A) Base RI'!B310</f>
        <v>Valeyres-sous-Ursins</v>
      </c>
      <c r="C309" s="240">
        <v>0</v>
      </c>
      <c r="D309" s="214">
        <f>'B) D RI'!AA310</f>
        <v>247</v>
      </c>
      <c r="E309" s="215">
        <f>'B) D RI'!S310</f>
        <v>77</v>
      </c>
      <c r="F309" s="10">
        <f>'B) D RI'!R310</f>
        <v>540407.84000000008</v>
      </c>
      <c r="G309" s="10">
        <f>'B) D RI'!U310</f>
        <v>7018.283636363637</v>
      </c>
      <c r="H309" s="41">
        <f>'B) D RI'!T310</f>
        <v>510294.79000000004</v>
      </c>
      <c r="I309" s="10">
        <f t="shared" si="42"/>
        <v>13254.410129870132</v>
      </c>
      <c r="J309" s="31">
        <f t="shared" si="44"/>
        <v>22092.741896078402</v>
      </c>
      <c r="K309" s="10">
        <f t="shared" si="43"/>
        <v>13254.410129870132</v>
      </c>
      <c r="L309" s="10">
        <f>'D) Ecrêtage'!C309</f>
        <v>7018.283636363637</v>
      </c>
      <c r="M309" s="10">
        <f t="shared" si="38"/>
        <v>8189.3678391752546</v>
      </c>
      <c r="N309" s="55">
        <f t="shared" si="40"/>
        <v>21443.777969045386</v>
      </c>
      <c r="O309" s="216"/>
      <c r="P309" s="217"/>
      <c r="Q309" s="213"/>
      <c r="R309" s="213"/>
      <c r="S309" s="218"/>
    </row>
    <row r="310" spans="1:19" s="212" customFormat="1" x14ac:dyDescent="0.25">
      <c r="A310" s="302">
        <f>'A) Base RI'!A311</f>
        <v>5935</v>
      </c>
      <c r="B310" s="225" t="str">
        <f>'A) Base RI'!B311</f>
        <v>Villars-Epeney</v>
      </c>
      <c r="C310" s="240">
        <v>0</v>
      </c>
      <c r="D310" s="214">
        <f>'B) D RI'!AA311</f>
        <v>95</v>
      </c>
      <c r="E310" s="215">
        <f>'B) D RI'!S311</f>
        <v>60</v>
      </c>
      <c r="F310" s="10">
        <f>'B) D RI'!R311</f>
        <v>206893.83</v>
      </c>
      <c r="G310" s="10">
        <f>'B) D RI'!U311</f>
        <v>3448.2304999999997</v>
      </c>
      <c r="H310" s="41">
        <f>'B) D RI'!T311</f>
        <v>186344.28</v>
      </c>
      <c r="I310" s="10">
        <f t="shared" si="42"/>
        <v>6211.4759999999997</v>
      </c>
      <c r="J310" s="31">
        <f t="shared" si="44"/>
        <v>8497.2084215686154</v>
      </c>
      <c r="K310" s="10">
        <f t="shared" si="43"/>
        <v>6211.4759999999997</v>
      </c>
      <c r="L310" s="10">
        <f>'D) Ecrêtage'!C310</f>
        <v>3448.2304999999997</v>
      </c>
      <c r="M310" s="10">
        <f t="shared" si="38"/>
        <v>4023.6088225973303</v>
      </c>
      <c r="N310" s="55">
        <f t="shared" si="40"/>
        <v>10235.08482259733</v>
      </c>
      <c r="O310" s="216"/>
      <c r="P310" s="217"/>
      <c r="Q310" s="213"/>
      <c r="R310" s="213"/>
      <c r="S310" s="218"/>
    </row>
    <row r="311" spans="1:19" s="212" customFormat="1" x14ac:dyDescent="0.25">
      <c r="A311" s="302">
        <f>'A) Base RI'!A312</f>
        <v>5937</v>
      </c>
      <c r="B311" s="225" t="str">
        <f>'A) Base RI'!B312</f>
        <v>Vugelles-La Mothe</v>
      </c>
      <c r="C311" s="240">
        <v>0</v>
      </c>
      <c r="D311" s="214">
        <f>'B) D RI'!AA312</f>
        <v>140</v>
      </c>
      <c r="E311" s="215">
        <f>'B) D RI'!S312</f>
        <v>70</v>
      </c>
      <c r="F311" s="10">
        <f>'B) D RI'!R312</f>
        <v>243018.20142857142</v>
      </c>
      <c r="G311" s="10">
        <f>'B) D RI'!U312</f>
        <v>3471.6885918367348</v>
      </c>
      <c r="H311" s="41">
        <f>'B) D RI'!T312</f>
        <v>226206.03</v>
      </c>
      <c r="I311" s="10">
        <f t="shared" si="42"/>
        <v>6463.029428571429</v>
      </c>
      <c r="J311" s="31">
        <f t="shared" si="44"/>
        <v>12522.201884416907</v>
      </c>
      <c r="K311" s="10">
        <f t="shared" si="43"/>
        <v>6463.029428571429</v>
      </c>
      <c r="L311" s="10">
        <f>'D) Ecrêtage'!C311</f>
        <v>3471.6885918367348</v>
      </c>
      <c r="M311" s="10">
        <f t="shared" si="38"/>
        <v>4050.9811764105648</v>
      </c>
      <c r="N311" s="55">
        <f t="shared" si="40"/>
        <v>10514.010604981993</v>
      </c>
      <c r="O311" s="216"/>
      <c r="P311" s="217"/>
      <c r="Q311" s="213"/>
      <c r="R311" s="213"/>
      <c r="S311" s="218"/>
    </row>
    <row r="312" spans="1:19" s="212" customFormat="1" x14ac:dyDescent="0.25">
      <c r="A312" s="302">
        <f>'A) Base RI'!A313</f>
        <v>5938</v>
      </c>
      <c r="B312" s="225" t="str">
        <f>'A) Base RI'!B313</f>
        <v>Yverdon-les-Bains</v>
      </c>
      <c r="C312" s="240">
        <v>1</v>
      </c>
      <c r="D312" s="214">
        <f>'B) D RI'!AA313</f>
        <v>29710</v>
      </c>
      <c r="E312" s="215">
        <f>'B) D RI'!S313</f>
        <v>75</v>
      </c>
      <c r="F312" s="10">
        <f>'B) D RI'!R313</f>
        <v>57207772.360000007</v>
      </c>
      <c r="G312" s="10">
        <f>'B) D RI'!U313</f>
        <v>762770.29813333345</v>
      </c>
      <c r="H312" s="41">
        <f>'B) D RI'!T313</f>
        <v>52106933.510000005</v>
      </c>
      <c r="I312" s="10">
        <f t="shared" si="42"/>
        <v>1389518.2269333336</v>
      </c>
      <c r="J312" s="31">
        <f t="shared" si="44"/>
        <v>2657390.1284716167</v>
      </c>
      <c r="K312" s="10">
        <f t="shared" si="43"/>
        <v>0</v>
      </c>
      <c r="L312" s="10">
        <f>'D) Ecrêtage'!C312</f>
        <v>762770.29813333345</v>
      </c>
      <c r="M312" s="10">
        <f t="shared" si="38"/>
        <v>890047.60591975413</v>
      </c>
      <c r="N312" s="55">
        <f t="shared" si="40"/>
        <v>890047.60591975413</v>
      </c>
      <c r="O312" s="216"/>
      <c r="P312" s="217"/>
      <c r="Q312" s="213"/>
      <c r="R312" s="213"/>
      <c r="S312" s="218"/>
    </row>
    <row r="313" spans="1:19" s="212" customFormat="1" x14ac:dyDescent="0.25">
      <c r="A313" s="303">
        <f>'A) Base RI'!A314</f>
        <v>5939</v>
      </c>
      <c r="B313" s="225" t="str">
        <f>'A) Base RI'!B314</f>
        <v>Yvonand</v>
      </c>
      <c r="C313" s="240">
        <v>0</v>
      </c>
      <c r="D313" s="214">
        <f>'B) D RI'!AA314</f>
        <v>3512</v>
      </c>
      <c r="E313" s="215">
        <f>'B) D RI'!S314</f>
        <v>71.5</v>
      </c>
      <c r="F313" s="10">
        <f>'B) D RI'!R314</f>
        <v>7531586.1100000013</v>
      </c>
      <c r="G313" s="10">
        <f>'B) D RI'!U314</f>
        <v>105336.86867132869</v>
      </c>
      <c r="H313" s="41">
        <f>'B) D RI'!T314</f>
        <v>6888938.3100000005</v>
      </c>
      <c r="I313" s="18">
        <f t="shared" si="42"/>
        <v>192697.57510489511</v>
      </c>
      <c r="J313" s="106">
        <f t="shared" si="44"/>
        <v>314128.37870051555</v>
      </c>
      <c r="K313" s="10">
        <f t="shared" si="43"/>
        <v>192697.57510489511</v>
      </c>
      <c r="L313" s="18">
        <f>'D) Ecrêtage'!C313</f>
        <v>105336.86867132869</v>
      </c>
      <c r="M313" s="18">
        <f>+$M$5*L313</f>
        <v>122913.57962605298</v>
      </c>
      <c r="N313" s="101">
        <f t="shared" si="40"/>
        <v>315611.1547309481</v>
      </c>
      <c r="O313" s="216"/>
      <c r="P313" s="217"/>
      <c r="Q313" s="213"/>
      <c r="R313" s="213"/>
      <c r="S313" s="218"/>
    </row>
    <row r="314" spans="1:19" s="212" customFormat="1" x14ac:dyDescent="0.25">
      <c r="A314" s="30"/>
      <c r="B314" s="118">
        <f>COUNTA(B6:B313)</f>
        <v>308</v>
      </c>
      <c r="C314" s="234">
        <f>SUM(C6:C313)</f>
        <v>52</v>
      </c>
      <c r="D314" s="227">
        <f>SUM(D6:D313)</f>
        <v>823881</v>
      </c>
      <c r="E314" s="227"/>
      <c r="F314" s="227">
        <f t="shared" ref="F314:L314" si="45">SUM(F6:F313)</f>
        <v>2695032316.8617716</v>
      </c>
      <c r="G314" s="227">
        <f t="shared" si="45"/>
        <v>39896757.238841556</v>
      </c>
      <c r="H314" s="227">
        <f t="shared" si="45"/>
        <v>2488036803.1700006</v>
      </c>
      <c r="I314" s="242">
        <f>SUM(I6:I313)</f>
        <v>73691458.648109183</v>
      </c>
      <c r="J314" s="227">
        <f t="shared" si="45"/>
        <v>73691458.648109183</v>
      </c>
      <c r="K314" s="355">
        <f t="shared" si="45"/>
        <v>23421798.142374571</v>
      </c>
      <c r="L314" s="227">
        <f t="shared" si="45"/>
        <v>39896757.238841556</v>
      </c>
      <c r="M314" s="235">
        <f>Paramètres!B61-K314</f>
        <v>46554006.299528643</v>
      </c>
      <c r="N314" s="229">
        <f>SUM(N6:N313)</f>
        <v>69975804.441903159</v>
      </c>
      <c r="O314" s="213"/>
      <c r="P314" s="487"/>
      <c r="Q314" s="213"/>
      <c r="R314" s="213"/>
    </row>
    <row r="315" spans="1:19" s="212" customFormat="1" x14ac:dyDescent="0.25">
      <c r="A315" s="211"/>
      <c r="B315" s="211"/>
      <c r="C315" s="211"/>
      <c r="D315" s="211"/>
      <c r="E315" s="211"/>
      <c r="F315" s="211"/>
      <c r="G315" s="211"/>
      <c r="H315" s="211"/>
      <c r="I315" s="241"/>
      <c r="J315" s="211"/>
      <c r="K315" s="211"/>
      <c r="L315" s="211"/>
      <c r="M315" s="219"/>
      <c r="N315" s="211"/>
      <c r="O315" s="213"/>
      <c r="Q315" s="213"/>
      <c r="R315" s="213"/>
    </row>
    <row r="316" spans="1:19" x14ac:dyDescent="0.25">
      <c r="I316" s="241"/>
      <c r="J316" s="241"/>
      <c r="K316" s="241"/>
      <c r="L316" s="241"/>
      <c r="M316" s="417"/>
      <c r="N316" s="241"/>
    </row>
  </sheetData>
  <protectedRanges>
    <protectedRange sqref="C6:C313" name="Plage1"/>
  </protectedRanges>
  <mergeCells count="12">
    <mergeCell ref="N4:N5"/>
    <mergeCell ref="B4:B5"/>
    <mergeCell ref="A4:A5"/>
    <mergeCell ref="L4:L5"/>
    <mergeCell ref="K4:K5"/>
    <mergeCell ref="J4:J5"/>
    <mergeCell ref="H4:H5"/>
    <mergeCell ref="G4:G5"/>
    <mergeCell ref="F4:F5"/>
    <mergeCell ref="E4:E5"/>
    <mergeCell ref="D4:D5"/>
    <mergeCell ref="C4:C5"/>
  </mergeCells>
  <printOptions horizontalCentered="1" verticalCentered="1"/>
  <pageMargins left="0.78740157480314965" right="0.78740157480314965" top="0.98425196850393704" bottom="0.98425196850393704" header="0.51181102362204722" footer="0.51181102362204722"/>
  <pageSetup paperSize="8" fitToHeight="9" orientation="landscape" r:id="rId1"/>
  <headerFooter alignWithMargins="0">
    <oddFooter>&amp;L&amp;8SCL - Division finances communales&amp;C- &amp;N -&amp;R&amp;8ASFiCo/FW/Juillet 2014</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Feuil17">
    <tabColor rgb="FF00B0F0"/>
  </sheetPr>
  <dimension ref="A1:Q316"/>
  <sheetViews>
    <sheetView workbookViewId="0">
      <selection activeCell="B35" sqref="B35"/>
    </sheetView>
  </sheetViews>
  <sheetFormatPr baseColWidth="10" defaultColWidth="10.75" defaultRowHeight="15" x14ac:dyDescent="0.25"/>
  <cols>
    <col min="1" max="1" width="7.5" style="13" customWidth="1"/>
    <col min="2" max="2" width="20.25" style="13" bestFit="1" customWidth="1"/>
    <col min="3" max="3" width="6.125" style="15" bestFit="1" customWidth="1"/>
    <col min="4" max="4" width="10.875" style="149" customWidth="1"/>
    <col min="5" max="5" width="11.875" style="149" customWidth="1"/>
    <col min="6" max="6" width="9.5" style="13" bestFit="1" customWidth="1"/>
    <col min="7" max="7" width="14.375" style="13" customWidth="1"/>
    <col min="8" max="8" width="10.75" style="13" customWidth="1"/>
    <col min="9" max="9" width="12.125" style="13" customWidth="1"/>
    <col min="10" max="10" width="12.375" style="13" customWidth="1"/>
    <col min="11" max="11" width="13.125" style="13" customWidth="1"/>
    <col min="12" max="12" width="12.625" style="13" customWidth="1"/>
    <col min="13" max="13" width="8.625" style="13" bestFit="1" customWidth="1"/>
    <col min="14" max="14" width="9.5" style="13" bestFit="1" customWidth="1"/>
    <col min="15" max="15" width="10.75" style="400" customWidth="1"/>
    <col min="16" max="16" width="10.75" style="13"/>
    <col min="17" max="17" width="15.25" style="13" bestFit="1" customWidth="1"/>
    <col min="18" max="16384" width="10.75" style="13"/>
  </cols>
  <sheetData>
    <row r="1" spans="1:16" s="43" customFormat="1" ht="20.25" customHeight="1" x14ac:dyDescent="0.2">
      <c r="A1" s="624" t="s">
        <v>456</v>
      </c>
      <c r="B1" s="625"/>
      <c r="C1" s="625"/>
      <c r="D1" s="625"/>
      <c r="E1" s="625"/>
      <c r="F1" s="68"/>
      <c r="G1" s="68"/>
      <c r="H1" s="68"/>
      <c r="I1" s="68"/>
      <c r="J1" s="68"/>
      <c r="K1" s="68"/>
      <c r="L1" s="68"/>
      <c r="M1" s="68"/>
      <c r="N1" s="68"/>
    </row>
    <row r="2" spans="1:16" s="43" customFormat="1" ht="20.25" customHeight="1" x14ac:dyDescent="0.2">
      <c r="A2" s="474" t="str">
        <f>Paramètres!B5</f>
        <v>décompte provisoire 2021</v>
      </c>
      <c r="B2" s="501"/>
      <c r="C2" s="502"/>
      <c r="D2" s="476"/>
      <c r="E2" s="476"/>
      <c r="F2" s="68"/>
      <c r="G2" s="68"/>
      <c r="H2" s="68"/>
      <c r="I2" s="68"/>
      <c r="J2" s="68"/>
      <c r="K2" s="68"/>
      <c r="L2" s="68"/>
      <c r="M2" s="68"/>
      <c r="N2" s="68"/>
    </row>
    <row r="3" spans="1:16" x14ac:dyDescent="0.25">
      <c r="D3" s="13"/>
      <c r="E3" s="13"/>
    </row>
    <row r="4" spans="1:16" ht="53.25" customHeight="1" x14ac:dyDescent="0.25">
      <c r="A4" s="581" t="s">
        <v>46</v>
      </c>
      <c r="B4" s="581" t="s">
        <v>94</v>
      </c>
      <c r="C4" s="602" t="s">
        <v>352</v>
      </c>
      <c r="D4" s="620" t="s">
        <v>297</v>
      </c>
      <c r="E4" s="620" t="s">
        <v>511</v>
      </c>
      <c r="F4" s="620" t="s">
        <v>562</v>
      </c>
      <c r="G4" s="620" t="s">
        <v>565</v>
      </c>
      <c r="H4" s="620" t="s">
        <v>137</v>
      </c>
      <c r="I4" s="615" t="s">
        <v>576</v>
      </c>
      <c r="J4" s="616"/>
      <c r="K4" s="617"/>
      <c r="L4" s="620" t="s">
        <v>577</v>
      </c>
      <c r="M4" s="620" t="s">
        <v>571</v>
      </c>
      <c r="N4" s="622" t="s">
        <v>136</v>
      </c>
      <c r="O4" s="618" t="s">
        <v>523</v>
      </c>
    </row>
    <row r="5" spans="1:16" ht="14.25" customHeight="1" x14ac:dyDescent="0.25">
      <c r="A5" s="583"/>
      <c r="B5" s="583"/>
      <c r="C5" s="603"/>
      <c r="D5" s="626"/>
      <c r="E5" s="621"/>
      <c r="F5" s="626"/>
      <c r="G5" s="621"/>
      <c r="H5" s="621"/>
      <c r="I5" s="497" t="s">
        <v>573</v>
      </c>
      <c r="J5" s="498" t="s">
        <v>574</v>
      </c>
      <c r="K5" s="497" t="s">
        <v>575</v>
      </c>
      <c r="L5" s="621"/>
      <c r="M5" s="621"/>
      <c r="N5" s="623"/>
      <c r="O5" s="619"/>
    </row>
    <row r="6" spans="1:16" s="153" customFormat="1" x14ac:dyDescent="0.25">
      <c r="A6" s="304">
        <f>'B) D RI'!A7</f>
        <v>5401</v>
      </c>
      <c r="B6" s="151" t="str">
        <f>'B) D RI'!B7</f>
        <v>Aigle</v>
      </c>
      <c r="C6" s="309">
        <f>'B) D RI'!S7</f>
        <v>66</v>
      </c>
      <c r="D6" s="310">
        <f>'B) D RI'!AA7</f>
        <v>10828</v>
      </c>
      <c r="E6" s="307">
        <f>'D) Ecrêtage'!C6</f>
        <v>280991.46517676767</v>
      </c>
      <c r="F6" s="156">
        <f>'E) PCS'!G12</f>
        <v>4887728.1198747866</v>
      </c>
      <c r="G6" s="308">
        <f>'H) Péréquation directe'!I16</f>
        <v>-4718179.2383087287</v>
      </c>
      <c r="H6" s="156" t="e">
        <f>+'I) Dépenses thématiques'!S6</f>
        <v>#DIV/0!</v>
      </c>
      <c r="I6" s="308">
        <f>'K) Plafonnement aide'!J6</f>
        <v>0</v>
      </c>
      <c r="J6" s="156">
        <f>'J) Plafonnement effort'!J6</f>
        <v>0</v>
      </c>
      <c r="K6" s="308">
        <f>'L) Plafonnement taux'!Q7</f>
        <v>0</v>
      </c>
      <c r="L6" s="305" t="e">
        <f>F6+G6+H6+I6+J6+K6</f>
        <v>#DIV/0!</v>
      </c>
      <c r="M6" s="231">
        <f>'M) Police'!N6</f>
        <v>327878.23736255249</v>
      </c>
      <c r="N6" s="230" t="e">
        <f>L6+M6</f>
        <v>#DIV/0!</v>
      </c>
      <c r="O6" s="311" t="e">
        <f>SUM(G6:K6)</f>
        <v>#DIV/0!</v>
      </c>
      <c r="P6" s="313"/>
    </row>
    <row r="7" spans="1:16" s="153" customFormat="1" x14ac:dyDescent="0.25">
      <c r="A7" s="150">
        <f>'B) D RI'!A8</f>
        <v>5402</v>
      </c>
      <c r="B7" s="151" t="str">
        <f>'B) D RI'!B8</f>
        <v>Bex</v>
      </c>
      <c r="C7" s="309">
        <f>'B) D RI'!S8</f>
        <v>71</v>
      </c>
      <c r="D7" s="152">
        <f>'B) D RI'!AA8</f>
        <v>8063</v>
      </c>
      <c r="E7" s="307">
        <f>'D) Ecrêtage'!C7</f>
        <v>192706.98084507044</v>
      </c>
      <c r="F7" s="311">
        <f>'E) PCS'!G13</f>
        <v>3250955.9582697703</v>
      </c>
      <c r="G7" s="308">
        <f>'H) Péréquation directe'!I17</f>
        <v>-4014556.2611432574</v>
      </c>
      <c r="H7" s="311" t="e">
        <f>+'I) Dépenses thématiques'!S7</f>
        <v>#DIV/0!</v>
      </c>
      <c r="I7" s="308">
        <f>'K) Plafonnement aide'!J7</f>
        <v>0</v>
      </c>
      <c r="J7" s="311">
        <f>'J) Plafonnement effort'!J7</f>
        <v>0</v>
      </c>
      <c r="K7" s="308">
        <f>'L) Plafonnement taux'!Q8</f>
        <v>0</v>
      </c>
      <c r="L7" s="306" t="e">
        <f t="shared" ref="L7:L60" si="0">F7+G7+H7+I7+J7+K7</f>
        <v>#DIV/0!</v>
      </c>
      <c r="M7" s="231">
        <f>'M) Police'!N7</f>
        <v>224862.43547359153</v>
      </c>
      <c r="N7" s="231" t="e">
        <f t="shared" ref="N7:N69" si="1">L7+M7</f>
        <v>#DIV/0!</v>
      </c>
      <c r="O7" s="311" t="e">
        <f t="shared" ref="O7:O69" si="2">SUM(G7:K7)</f>
        <v>#DIV/0!</v>
      </c>
      <c r="P7" s="313"/>
    </row>
    <row r="8" spans="1:16" s="153" customFormat="1" x14ac:dyDescent="0.25">
      <c r="A8" s="150">
        <f>'B) D RI'!A9</f>
        <v>5403</v>
      </c>
      <c r="B8" s="151" t="str">
        <f>'B) D RI'!B9</f>
        <v>Chessel</v>
      </c>
      <c r="C8" s="309">
        <f>'B) D RI'!S9</f>
        <v>74</v>
      </c>
      <c r="D8" s="152">
        <f>'B) D RI'!AA9</f>
        <v>497</v>
      </c>
      <c r="E8" s="307">
        <f>'D) Ecrêtage'!C8</f>
        <v>12090.332702702703</v>
      </c>
      <c r="F8" s="311">
        <f>'E) PCS'!G14</f>
        <v>187975.57160490082</v>
      </c>
      <c r="G8" s="308">
        <f>'H) Péréquation directe'!I18</f>
        <v>-96703.015043797699</v>
      </c>
      <c r="H8" s="311" t="e">
        <f>+'I) Dépenses thématiques'!S8</f>
        <v>#DIV/0!</v>
      </c>
      <c r="I8" s="308">
        <f>'K) Plafonnement aide'!J8</f>
        <v>0</v>
      </c>
      <c r="J8" s="311">
        <f>'J) Plafonnement effort'!J8</f>
        <v>0</v>
      </c>
      <c r="K8" s="308">
        <f>'L) Plafonnement taux'!Q9</f>
        <v>0</v>
      </c>
      <c r="L8" s="306" t="e">
        <f t="shared" si="0"/>
        <v>#DIV/0!</v>
      </c>
      <c r="M8" s="231">
        <f>'M) Police'!N8</f>
        <v>35670.751936589477</v>
      </c>
      <c r="N8" s="231" t="e">
        <f t="shared" si="1"/>
        <v>#DIV/0!</v>
      </c>
      <c r="O8" s="311" t="e">
        <f t="shared" si="2"/>
        <v>#DIV/0!</v>
      </c>
      <c r="P8" s="313"/>
    </row>
    <row r="9" spans="1:16" s="153" customFormat="1" x14ac:dyDescent="0.25">
      <c r="A9" s="150">
        <f>'B) D RI'!A10</f>
        <v>5404</v>
      </c>
      <c r="B9" s="151" t="str">
        <f>'B) D RI'!B10</f>
        <v>Corbeyrier</v>
      </c>
      <c r="C9" s="309">
        <f>'B) D RI'!S10</f>
        <v>74</v>
      </c>
      <c r="D9" s="152">
        <f>'B) D RI'!AA10</f>
        <v>439</v>
      </c>
      <c r="E9" s="307">
        <f>'D) Ecrêtage'!C9</f>
        <v>11581.118783783784</v>
      </c>
      <c r="F9" s="311">
        <f>'E) PCS'!G15</f>
        <v>195961.25987517159</v>
      </c>
      <c r="G9" s="308">
        <f>'H) Péréquation directe'!I19</f>
        <v>-48717.201147477841</v>
      </c>
      <c r="H9" s="311" t="e">
        <f>+'I) Dépenses thématiques'!S9</f>
        <v>#DIV/0!</v>
      </c>
      <c r="I9" s="308">
        <f>'K) Plafonnement aide'!J9</f>
        <v>0</v>
      </c>
      <c r="J9" s="311">
        <f>'J) Plafonnement effort'!J9</f>
        <v>0</v>
      </c>
      <c r="K9" s="308">
        <f>'L) Plafonnement taux'!Q10</f>
        <v>0</v>
      </c>
      <c r="L9" s="306" t="e">
        <f t="shared" si="0"/>
        <v>#DIV/0!</v>
      </c>
      <c r="M9" s="231">
        <f>'M) Police'!N9</f>
        <v>34231.075557208991</v>
      </c>
      <c r="N9" s="231" t="e">
        <f t="shared" si="1"/>
        <v>#DIV/0!</v>
      </c>
      <c r="O9" s="311" t="e">
        <f t="shared" si="2"/>
        <v>#DIV/0!</v>
      </c>
      <c r="P9" s="313"/>
    </row>
    <row r="10" spans="1:16" s="153" customFormat="1" x14ac:dyDescent="0.25">
      <c r="A10" s="150">
        <f>'B) D RI'!A11</f>
        <v>5405</v>
      </c>
      <c r="B10" s="151" t="str">
        <f>'B) D RI'!B11</f>
        <v>Gryon</v>
      </c>
      <c r="C10" s="309">
        <f>'B) D RI'!S11</f>
        <v>73.5</v>
      </c>
      <c r="D10" s="152">
        <f>'B) D RI'!AA11</f>
        <v>1382</v>
      </c>
      <c r="E10" s="307">
        <f>'D) Ecrêtage'!C10</f>
        <v>78111.135102040818</v>
      </c>
      <c r="F10" s="311">
        <f>'E) PCS'!G16</f>
        <v>1844854.3197749271</v>
      </c>
      <c r="G10" s="308">
        <f>'H) Péréquation directe'!I20</f>
        <v>1211278.9513726053</v>
      </c>
      <c r="H10" s="311" t="e">
        <f>+'I) Dépenses thématiques'!S10</f>
        <v>#DIV/0!</v>
      </c>
      <c r="I10" s="308">
        <f>'K) Plafonnement aide'!J10</f>
        <v>0</v>
      </c>
      <c r="J10" s="311">
        <f>'J) Plafonnement effort'!J10</f>
        <v>0</v>
      </c>
      <c r="K10" s="308">
        <f>'L) Plafonnement taux'!Q11</f>
        <v>0</v>
      </c>
      <c r="L10" s="306" t="e">
        <f t="shared" si="0"/>
        <v>#DIV/0!</v>
      </c>
      <c r="M10" s="231">
        <f>'M) Police'!N10</f>
        <v>214756.92964879941</v>
      </c>
      <c r="N10" s="231" t="e">
        <f t="shared" si="1"/>
        <v>#DIV/0!</v>
      </c>
      <c r="O10" s="311" t="e">
        <f t="shared" si="2"/>
        <v>#DIV/0!</v>
      </c>
      <c r="P10" s="313"/>
    </row>
    <row r="11" spans="1:16" s="153" customFormat="1" x14ac:dyDescent="0.25">
      <c r="A11" s="150">
        <f>'B) D RI'!A12</f>
        <v>5406</v>
      </c>
      <c r="B11" s="151" t="str">
        <f>'B) D RI'!B12</f>
        <v>Lavey-Morcles</v>
      </c>
      <c r="C11" s="309">
        <f>'B) D RI'!S12</f>
        <v>71.5</v>
      </c>
      <c r="D11" s="152">
        <f>'B) D RI'!AA12</f>
        <v>966</v>
      </c>
      <c r="E11" s="307">
        <f>'D) Ecrêtage'!C11</f>
        <v>21513.822183969878</v>
      </c>
      <c r="F11" s="311">
        <f>'E) PCS'!G17</f>
        <v>312907.98607313639</v>
      </c>
      <c r="G11" s="308">
        <f>'H) Péréquation directe'!I21</f>
        <v>-232042.72348155873</v>
      </c>
      <c r="H11" s="311" t="e">
        <f>+'I) Dépenses thématiques'!S11</f>
        <v>#DIV/0!</v>
      </c>
      <c r="I11" s="308">
        <f>'K) Plafonnement aide'!J11</f>
        <v>0</v>
      </c>
      <c r="J11" s="311">
        <f>'J) Plafonnement effort'!J11</f>
        <v>0</v>
      </c>
      <c r="K11" s="308">
        <f>'L) Plafonnement taux'!Q12</f>
        <v>0</v>
      </c>
      <c r="L11" s="306" t="e">
        <f t="shared" si="0"/>
        <v>#DIV/0!</v>
      </c>
      <c r="M11" s="231">
        <f>'M) Police'!N11</f>
        <v>63458.483111837035</v>
      </c>
      <c r="N11" s="231" t="e">
        <f t="shared" si="1"/>
        <v>#DIV/0!</v>
      </c>
      <c r="O11" s="311" t="e">
        <f t="shared" si="2"/>
        <v>#DIV/0!</v>
      </c>
      <c r="P11" s="313"/>
    </row>
    <row r="12" spans="1:16" s="153" customFormat="1" x14ac:dyDescent="0.25">
      <c r="A12" s="150">
        <f>'B) D RI'!A13</f>
        <v>5407</v>
      </c>
      <c r="B12" s="151" t="str">
        <f>'B) D RI'!B13</f>
        <v>Leysin</v>
      </c>
      <c r="C12" s="309">
        <f>'B) D RI'!S13</f>
        <v>78</v>
      </c>
      <c r="D12" s="152">
        <f>'B) D RI'!AA13</f>
        <v>3637</v>
      </c>
      <c r="E12" s="307">
        <f>'D) Ecrêtage'!C12</f>
        <v>90687.443803418792</v>
      </c>
      <c r="F12" s="311">
        <f>'E) PCS'!G18</f>
        <v>1682631.2053504041</v>
      </c>
      <c r="G12" s="308">
        <f>'H) Péréquation directe'!I22</f>
        <v>-1512769.2720664437</v>
      </c>
      <c r="H12" s="311" t="e">
        <f>+'I) Dépenses thématiques'!S12</f>
        <v>#DIV/0!</v>
      </c>
      <c r="I12" s="308">
        <f>'K) Plafonnement aide'!J12</f>
        <v>0</v>
      </c>
      <c r="J12" s="311">
        <f>'J) Plafonnement effort'!J12</f>
        <v>0</v>
      </c>
      <c r="K12" s="308">
        <f>'L) Plafonnement taux'!Q13</f>
        <v>0</v>
      </c>
      <c r="L12" s="306" t="e">
        <f t="shared" si="0"/>
        <v>#DIV/0!</v>
      </c>
      <c r="M12" s="231">
        <f>'M) Police'!N12</f>
        <v>263977.77761062828</v>
      </c>
      <c r="N12" s="231" t="e">
        <f t="shared" si="1"/>
        <v>#DIV/0!</v>
      </c>
      <c r="O12" s="311" t="e">
        <f t="shared" si="2"/>
        <v>#DIV/0!</v>
      </c>
      <c r="P12" s="313"/>
    </row>
    <row r="13" spans="1:16" s="153" customFormat="1" x14ac:dyDescent="0.25">
      <c r="A13" s="150">
        <f>'B) D RI'!A14</f>
        <v>5408</v>
      </c>
      <c r="B13" s="151" t="str">
        <f>'B) D RI'!B14</f>
        <v>Noville</v>
      </c>
      <c r="C13" s="309">
        <f>'B) D RI'!S14</f>
        <v>78.5</v>
      </c>
      <c r="D13" s="152">
        <f>'B) D RI'!AA14</f>
        <v>1169</v>
      </c>
      <c r="E13" s="307">
        <f>'D) Ecrêtage'!C13</f>
        <v>41389.442632696395</v>
      </c>
      <c r="F13" s="311">
        <f>'E) PCS'!G19</f>
        <v>768959.50692166411</v>
      </c>
      <c r="G13" s="308">
        <f>'H) Péréquation directe'!I23</f>
        <v>219980.37422709924</v>
      </c>
      <c r="H13" s="311" t="e">
        <f>+'I) Dépenses thématiques'!S13</f>
        <v>#DIV/0!</v>
      </c>
      <c r="I13" s="308">
        <f>'K) Plafonnement aide'!J13</f>
        <v>0</v>
      </c>
      <c r="J13" s="311">
        <f>'J) Plafonnement effort'!J13</f>
        <v>0</v>
      </c>
      <c r="K13" s="308">
        <f>'L) Plafonnement taux'!Q14</f>
        <v>0</v>
      </c>
      <c r="L13" s="306" t="e">
        <f t="shared" si="0"/>
        <v>#DIV/0!</v>
      </c>
      <c r="M13" s="231">
        <f>'M) Police'!N13</f>
        <v>121620.57625647311</v>
      </c>
      <c r="N13" s="231" t="e">
        <f t="shared" si="1"/>
        <v>#DIV/0!</v>
      </c>
      <c r="O13" s="311" t="e">
        <f t="shared" si="2"/>
        <v>#DIV/0!</v>
      </c>
      <c r="P13" s="313"/>
    </row>
    <row r="14" spans="1:16" s="153" customFormat="1" x14ac:dyDescent="0.25">
      <c r="A14" s="150">
        <f>'B) D RI'!A15</f>
        <v>5409</v>
      </c>
      <c r="B14" s="151" t="str">
        <f>'B) D RI'!B15</f>
        <v>Ollon</v>
      </c>
      <c r="C14" s="309">
        <f>'B) D RI'!S15</f>
        <v>68</v>
      </c>
      <c r="D14" s="152">
        <f>'B) D RI'!AA15</f>
        <v>7904</v>
      </c>
      <c r="E14" s="307">
        <f>'D) Ecrêtage'!C14</f>
        <v>428262.96074660635</v>
      </c>
      <c r="F14" s="311">
        <f>'E) PCS'!G20</f>
        <v>9773902.6802805942</v>
      </c>
      <c r="G14" s="308">
        <f>'H) Péréquation directe'!I24</f>
        <v>4496434.7874661498</v>
      </c>
      <c r="H14" s="311" t="e">
        <f>+'I) Dépenses thématiques'!S14</f>
        <v>#DIV/0!</v>
      </c>
      <c r="I14" s="308">
        <f>'K) Plafonnement aide'!J14</f>
        <v>0</v>
      </c>
      <c r="J14" s="311">
        <f>'J) Plafonnement effort'!J14</f>
        <v>0</v>
      </c>
      <c r="K14" s="308">
        <f>'L) Plafonnement taux'!Q15</f>
        <v>0</v>
      </c>
      <c r="L14" s="306" t="e">
        <f t="shared" si="0"/>
        <v>#DIV/0!</v>
      </c>
      <c r="M14" s="231">
        <f>'M) Police'!N14</f>
        <v>499723.73576873692</v>
      </c>
      <c r="N14" s="231" t="e">
        <f t="shared" si="1"/>
        <v>#DIV/0!</v>
      </c>
      <c r="O14" s="311" t="e">
        <f t="shared" si="2"/>
        <v>#DIV/0!</v>
      </c>
      <c r="P14" s="313"/>
    </row>
    <row r="15" spans="1:16" s="153" customFormat="1" x14ac:dyDescent="0.25">
      <c r="A15" s="150">
        <f>'B) D RI'!A16</f>
        <v>5410</v>
      </c>
      <c r="B15" s="151" t="str">
        <f>'B) D RI'!B16</f>
        <v>Ormont-Dessous</v>
      </c>
      <c r="C15" s="309">
        <f>'B) D RI'!S16</f>
        <v>77</v>
      </c>
      <c r="D15" s="152">
        <f>'B) D RI'!AA16</f>
        <v>1162</v>
      </c>
      <c r="E15" s="307">
        <f>'D) Ecrêtage'!C15</f>
        <v>38607.205194805196</v>
      </c>
      <c r="F15" s="311">
        <f>'E) PCS'!G21</f>
        <v>799840.04925867473</v>
      </c>
      <c r="G15" s="308">
        <f>'H) Péréquation directe'!I25</f>
        <v>126373.10489081673</v>
      </c>
      <c r="H15" s="311" t="e">
        <f>+'I) Dépenses thématiques'!S15</f>
        <v>#DIV/0!</v>
      </c>
      <c r="I15" s="308">
        <f>'K) Plafonnement aide'!J15</f>
        <v>0</v>
      </c>
      <c r="J15" s="311">
        <f>'J) Plafonnement effort'!J15</f>
        <v>0</v>
      </c>
      <c r="K15" s="308">
        <f>'L) Plafonnement taux'!Q16</f>
        <v>0</v>
      </c>
      <c r="L15" s="306" t="e">
        <f t="shared" si="0"/>
        <v>#DIV/0!</v>
      </c>
      <c r="M15" s="231">
        <f>'M) Police'!N15</f>
        <v>111752.82389340419</v>
      </c>
      <c r="N15" s="231" t="e">
        <f t="shared" si="1"/>
        <v>#DIV/0!</v>
      </c>
      <c r="O15" s="311" t="e">
        <f t="shared" si="2"/>
        <v>#DIV/0!</v>
      </c>
      <c r="P15" s="313"/>
    </row>
    <row r="16" spans="1:16" s="153" customFormat="1" x14ac:dyDescent="0.25">
      <c r="A16" s="150">
        <f>'B) D RI'!A17</f>
        <v>5411</v>
      </c>
      <c r="B16" s="151" t="str">
        <f>'B) D RI'!B17</f>
        <v>Ormont-Dessus</v>
      </c>
      <c r="C16" s="309">
        <f>'B) D RI'!S17</f>
        <v>76</v>
      </c>
      <c r="D16" s="152">
        <f>'B) D RI'!AA17</f>
        <v>1451</v>
      </c>
      <c r="E16" s="307">
        <f>'D) Ecrêtage'!C16</f>
        <v>77411.411228070181</v>
      </c>
      <c r="F16" s="311">
        <f>'E) PCS'!G22</f>
        <v>1567921.6103437145</v>
      </c>
      <c r="G16" s="308">
        <f>'H) Péréquation directe'!I26</f>
        <v>1174014.0529444562</v>
      </c>
      <c r="H16" s="311" t="e">
        <f>+'I) Dépenses thématiques'!S16</f>
        <v>#DIV/0!</v>
      </c>
      <c r="I16" s="308">
        <f>'K) Plafonnement aide'!J16</f>
        <v>0</v>
      </c>
      <c r="J16" s="311">
        <f>'J) Plafonnement effort'!J16</f>
        <v>0</v>
      </c>
      <c r="K16" s="308">
        <f>'L) Plafonnement taux'!Q17</f>
        <v>0</v>
      </c>
      <c r="L16" s="306" t="e">
        <f t="shared" si="0"/>
        <v>#DIV/0!</v>
      </c>
      <c r="M16" s="231">
        <f>'M) Police'!N16</f>
        <v>220112.10515674396</v>
      </c>
      <c r="N16" s="231" t="e">
        <f t="shared" si="1"/>
        <v>#DIV/0!</v>
      </c>
      <c r="O16" s="311" t="e">
        <f t="shared" si="2"/>
        <v>#DIV/0!</v>
      </c>
      <c r="P16" s="313"/>
    </row>
    <row r="17" spans="1:16" s="153" customFormat="1" x14ac:dyDescent="0.25">
      <c r="A17" s="150">
        <f>'B) D RI'!A18</f>
        <v>5412</v>
      </c>
      <c r="B17" s="151" t="str">
        <f>'B) D RI'!B18</f>
        <v>Rennaz</v>
      </c>
      <c r="C17" s="309">
        <f>'B) D RI'!S18</f>
        <v>69</v>
      </c>
      <c r="D17" s="152">
        <f>'B) D RI'!AA18</f>
        <v>883</v>
      </c>
      <c r="E17" s="307">
        <f>'D) Ecrêtage'!C17</f>
        <v>28875.999420289856</v>
      </c>
      <c r="F17" s="311">
        <f>'E) PCS'!G23</f>
        <v>695319.96144052828</v>
      </c>
      <c r="G17" s="308">
        <f>'H) Péréquation directe'!I27</f>
        <v>168870.82553199946</v>
      </c>
      <c r="H17" s="311" t="e">
        <f>+'I) Dépenses thématiques'!S17</f>
        <v>#DIV/0!</v>
      </c>
      <c r="I17" s="308">
        <f>'K) Plafonnement aide'!J17</f>
        <v>0</v>
      </c>
      <c r="J17" s="311">
        <f>'J) Plafonnement effort'!J17</f>
        <v>0</v>
      </c>
      <c r="K17" s="308">
        <f>'L) Plafonnement taux'!Q18</f>
        <v>0</v>
      </c>
      <c r="L17" s="306" t="e">
        <f t="shared" si="0"/>
        <v>#DIV/0!</v>
      </c>
      <c r="M17" s="231">
        <f>'M) Police'!N17</f>
        <v>79833.721478076041</v>
      </c>
      <c r="N17" s="231" t="e">
        <f t="shared" si="1"/>
        <v>#DIV/0!</v>
      </c>
      <c r="O17" s="311" t="e">
        <f t="shared" si="2"/>
        <v>#DIV/0!</v>
      </c>
      <c r="P17" s="313"/>
    </row>
    <row r="18" spans="1:16" s="153" customFormat="1" x14ac:dyDescent="0.25">
      <c r="A18" s="150">
        <f>'B) D RI'!A19</f>
        <v>5413</v>
      </c>
      <c r="B18" s="151" t="str">
        <f>'B) D RI'!B19</f>
        <v>Roche</v>
      </c>
      <c r="C18" s="309">
        <f>'B) D RI'!S19</f>
        <v>68</v>
      </c>
      <c r="D18" s="152">
        <f>'B) D RI'!AA19</f>
        <v>1874</v>
      </c>
      <c r="E18" s="307">
        <f>'D) Ecrêtage'!C18</f>
        <v>43148.541249999987</v>
      </c>
      <c r="F18" s="311">
        <f>'E) PCS'!G24</f>
        <v>1027328.6235266721</v>
      </c>
      <c r="G18" s="308">
        <f>'H) Péréquation directe'!I28</f>
        <v>-498072.70668004779</v>
      </c>
      <c r="H18" s="311" t="e">
        <f>+'I) Dépenses thématiques'!S18</f>
        <v>#DIV/0!</v>
      </c>
      <c r="I18" s="308">
        <f>'K) Plafonnement aide'!J18</f>
        <v>0</v>
      </c>
      <c r="J18" s="311">
        <f>'J) Plafonnement effort'!J18</f>
        <v>0</v>
      </c>
      <c r="K18" s="308">
        <f>'L) Plafonnement taux'!Q19</f>
        <v>0</v>
      </c>
      <c r="L18" s="306" t="e">
        <f t="shared" si="0"/>
        <v>#DIV/0!</v>
      </c>
      <c r="M18" s="231">
        <f>'M) Police'!N18</f>
        <v>127290.48860897898</v>
      </c>
      <c r="N18" s="231" t="e">
        <f t="shared" si="1"/>
        <v>#DIV/0!</v>
      </c>
      <c r="O18" s="311" t="e">
        <f t="shared" si="2"/>
        <v>#DIV/0!</v>
      </c>
      <c r="P18" s="313"/>
    </row>
    <row r="19" spans="1:16" s="153" customFormat="1" x14ac:dyDescent="0.25">
      <c r="A19" s="150">
        <f>'B) D RI'!A20</f>
        <v>5414</v>
      </c>
      <c r="B19" s="151" t="str">
        <f>'B) D RI'!B20</f>
        <v>Villeneuve</v>
      </c>
      <c r="C19" s="309">
        <f>'B) D RI'!S20</f>
        <v>67.5</v>
      </c>
      <c r="D19" s="152">
        <f>'B) D RI'!AA20</f>
        <v>5921</v>
      </c>
      <c r="E19" s="307">
        <f>'D) Ecrêtage'!C19</f>
        <v>185712.20711111111</v>
      </c>
      <c r="F19" s="311">
        <f>'E) PCS'!G25</f>
        <v>3556129.5324854637</v>
      </c>
      <c r="G19" s="308">
        <f>'H) Péréquation directe'!I29</f>
        <v>-718745.08641132666</v>
      </c>
      <c r="H19" s="311" t="e">
        <f>+'I) Dépenses thématiques'!S19</f>
        <v>#DIV/0!</v>
      </c>
      <c r="I19" s="308">
        <f>'K) Plafonnement aide'!J19</f>
        <v>0</v>
      </c>
      <c r="J19" s="311">
        <f>'J) Plafonnement effort'!J19</f>
        <v>0</v>
      </c>
      <c r="K19" s="308">
        <f>'L) Plafonnement taux'!Q20</f>
        <v>0</v>
      </c>
      <c r="L19" s="306" t="e">
        <f t="shared" si="0"/>
        <v>#DIV/0!</v>
      </c>
      <c r="M19" s="231">
        <f>'M) Police'!N19</f>
        <v>545269.48207363696</v>
      </c>
      <c r="N19" s="231" t="e">
        <f t="shared" si="1"/>
        <v>#DIV/0!</v>
      </c>
      <c r="O19" s="311" t="e">
        <f t="shared" si="2"/>
        <v>#DIV/0!</v>
      </c>
      <c r="P19" s="313"/>
    </row>
    <row r="20" spans="1:16" s="153" customFormat="1" x14ac:dyDescent="0.25">
      <c r="A20" s="150">
        <f>'B) D RI'!A21</f>
        <v>5415</v>
      </c>
      <c r="B20" s="151" t="str">
        <f>'B) D RI'!B21</f>
        <v>Yvorne</v>
      </c>
      <c r="C20" s="309">
        <f>'B) D RI'!S21</f>
        <v>71.5</v>
      </c>
      <c r="D20" s="152">
        <f>'B) D RI'!AA21</f>
        <v>1038</v>
      </c>
      <c r="E20" s="307">
        <f>'D) Ecrêtage'!C20</f>
        <v>35910.274638694631</v>
      </c>
      <c r="F20" s="311">
        <f>'E) PCS'!G26</f>
        <v>721713.37212203664</v>
      </c>
      <c r="G20" s="308">
        <f>'H) Péréquation directe'!I30</f>
        <v>244203.84613669087</v>
      </c>
      <c r="H20" s="311" t="e">
        <f>+'I) Dépenses thématiques'!S20</f>
        <v>#DIV/0!</v>
      </c>
      <c r="I20" s="308">
        <f>'K) Plafonnement aide'!J20</f>
        <v>0</v>
      </c>
      <c r="J20" s="311">
        <f>'J) Plafonnement effort'!J20</f>
        <v>0</v>
      </c>
      <c r="K20" s="308">
        <f>'L) Plafonnement taux'!Q21</f>
        <v>0</v>
      </c>
      <c r="L20" s="306" t="e">
        <f t="shared" si="0"/>
        <v>#DIV/0!</v>
      </c>
      <c r="M20" s="231">
        <f>'M) Police'!N20</f>
        <v>106730.99090473355</v>
      </c>
      <c r="N20" s="231" t="e">
        <f t="shared" si="1"/>
        <v>#DIV/0!</v>
      </c>
      <c r="O20" s="311" t="e">
        <f t="shared" si="2"/>
        <v>#DIV/0!</v>
      </c>
      <c r="P20" s="313"/>
    </row>
    <row r="21" spans="1:16" s="153" customFormat="1" x14ac:dyDescent="0.25">
      <c r="A21" s="150">
        <f>'B) D RI'!A22</f>
        <v>5421</v>
      </c>
      <c r="B21" s="151" t="str">
        <f>'B) D RI'!B22</f>
        <v>Apples</v>
      </c>
      <c r="C21" s="309">
        <f>'B) D RI'!S22</f>
        <v>74</v>
      </c>
      <c r="D21" s="152">
        <f>'B) D RI'!AA22</f>
        <v>1469</v>
      </c>
      <c r="E21" s="307">
        <f>'D) Ecrêtage'!C21</f>
        <v>68531.648243243253</v>
      </c>
      <c r="F21" s="311">
        <f>'E) PCS'!G27</f>
        <v>1261950.8017941117</v>
      </c>
      <c r="G21" s="308">
        <f>'H) Péréquation directe'!I31</f>
        <v>943654.06170190265</v>
      </c>
      <c r="H21" s="311" t="e">
        <f>+'I) Dépenses thématiques'!S21</f>
        <v>#DIV/0!</v>
      </c>
      <c r="I21" s="308">
        <f>'K) Plafonnement aide'!J21</f>
        <v>0</v>
      </c>
      <c r="J21" s="311">
        <f>'J) Plafonnement effort'!J21</f>
        <v>0</v>
      </c>
      <c r="K21" s="308">
        <f>'L) Plafonnement taux'!Q22</f>
        <v>0</v>
      </c>
      <c r="L21" s="306" t="e">
        <f t="shared" si="0"/>
        <v>#DIV/0!</v>
      </c>
      <c r="M21" s="231">
        <f>'M) Police'!N21</f>
        <v>208470.54743766488</v>
      </c>
      <c r="N21" s="231" t="e">
        <f t="shared" si="1"/>
        <v>#DIV/0!</v>
      </c>
      <c r="O21" s="311" t="e">
        <f t="shared" si="2"/>
        <v>#DIV/0!</v>
      </c>
      <c r="P21" s="313"/>
    </row>
    <row r="22" spans="1:16" s="153" customFormat="1" x14ac:dyDescent="0.25">
      <c r="A22" s="150">
        <f>'B) D RI'!A23</f>
        <v>5422</v>
      </c>
      <c r="B22" s="151" t="str">
        <f>'B) D RI'!B23</f>
        <v>Aubonne</v>
      </c>
      <c r="C22" s="309">
        <f>'B) D RI'!S23</f>
        <v>70</v>
      </c>
      <c r="D22" s="152">
        <f>'B) D RI'!AA23</f>
        <v>3781</v>
      </c>
      <c r="E22" s="307">
        <f>'D) Ecrêtage'!C22</f>
        <v>364706.48499999999</v>
      </c>
      <c r="F22" s="311">
        <f>'E) PCS'!G28</f>
        <v>9655397.8974429723</v>
      </c>
      <c r="G22" s="308">
        <f>'H) Péréquation directe'!I32</f>
        <v>5647952.3348060269</v>
      </c>
      <c r="H22" s="311" t="e">
        <f>+'I) Dépenses thématiques'!S22</f>
        <v>#DIV/0!</v>
      </c>
      <c r="I22" s="308">
        <f>'K) Plafonnement aide'!J22</f>
        <v>0</v>
      </c>
      <c r="J22" s="311">
        <f>'J) Plafonnement effort'!J22</f>
        <v>0</v>
      </c>
      <c r="K22" s="308">
        <f>'L) Plafonnement taux'!Q23</f>
        <v>0</v>
      </c>
      <c r="L22" s="306" t="e">
        <f t="shared" si="0"/>
        <v>#DIV/0!</v>
      </c>
      <c r="M22" s="231">
        <f>'M) Police'!N22</f>
        <v>763751.00035221817</v>
      </c>
      <c r="N22" s="231" t="e">
        <f t="shared" si="1"/>
        <v>#DIV/0!</v>
      </c>
      <c r="O22" s="311" t="e">
        <f t="shared" si="2"/>
        <v>#DIV/0!</v>
      </c>
      <c r="P22" s="313"/>
    </row>
    <row r="23" spans="1:16" s="153" customFormat="1" x14ac:dyDescent="0.25">
      <c r="A23" s="150">
        <f>'B) D RI'!A24</f>
        <v>5423</v>
      </c>
      <c r="B23" s="151" t="str">
        <f>'B) D RI'!B24</f>
        <v>Ballens</v>
      </c>
      <c r="C23" s="309">
        <f>'B) D RI'!S24</f>
        <v>73</v>
      </c>
      <c r="D23" s="152">
        <f>'B) D RI'!AA24</f>
        <v>567</v>
      </c>
      <c r="E23" s="307">
        <f>'D) Ecrêtage'!C23</f>
        <v>16194.440273972601</v>
      </c>
      <c r="F23" s="311">
        <f>'E) PCS'!G29</f>
        <v>277515.29178446135</v>
      </c>
      <c r="G23" s="308">
        <f>'H) Péréquation directe'!I33</f>
        <v>-5974.6124847701867</v>
      </c>
      <c r="H23" s="311" t="e">
        <f>+'I) Dépenses thématiques'!S23</f>
        <v>#DIV/0!</v>
      </c>
      <c r="I23" s="308">
        <f>'K) Plafonnement aide'!J23</f>
        <v>0</v>
      </c>
      <c r="J23" s="311">
        <f>'J) Plafonnement effort'!J23</f>
        <v>0</v>
      </c>
      <c r="K23" s="308">
        <f>'L) Plafonnement taux'!Q24</f>
        <v>0</v>
      </c>
      <c r="L23" s="306" t="e">
        <f t="shared" si="0"/>
        <v>#DIV/0!</v>
      </c>
      <c r="M23" s="231">
        <f>'M) Police'!N23</f>
        <v>48989.231377557677</v>
      </c>
      <c r="N23" s="231" t="e">
        <f t="shared" si="1"/>
        <v>#DIV/0!</v>
      </c>
      <c r="O23" s="311" t="e">
        <f t="shared" si="2"/>
        <v>#DIV/0!</v>
      </c>
      <c r="P23" s="313"/>
    </row>
    <row r="24" spans="1:16" s="153" customFormat="1" x14ac:dyDescent="0.25">
      <c r="A24" s="150">
        <f>'B) D RI'!A25</f>
        <v>5424</v>
      </c>
      <c r="B24" s="151" t="str">
        <f>'B) D RI'!B25</f>
        <v>Berolle</v>
      </c>
      <c r="C24" s="309">
        <f>'B) D RI'!S25</f>
        <v>75.5</v>
      </c>
      <c r="D24" s="152">
        <f>'B) D RI'!AA25</f>
        <v>308</v>
      </c>
      <c r="E24" s="307">
        <f>'D) Ecrêtage'!C24</f>
        <v>8301.8684768211915</v>
      </c>
      <c r="F24" s="311">
        <f>'E) PCS'!G30</f>
        <v>117011.95199047527</v>
      </c>
      <c r="G24" s="308">
        <f>'H) Péréquation directe'!I34</f>
        <v>-32918.901405014098</v>
      </c>
      <c r="H24" s="311" t="e">
        <f>+'I) Dépenses thématiques'!S24</f>
        <v>#DIV/0!</v>
      </c>
      <c r="I24" s="308">
        <f>'K) Plafonnement aide'!J24</f>
        <v>0</v>
      </c>
      <c r="J24" s="311">
        <f>'J) Plafonnement effort'!J24</f>
        <v>0</v>
      </c>
      <c r="K24" s="308">
        <f>'L) Plafonnement taux'!Q25</f>
        <v>0</v>
      </c>
      <c r="L24" s="306" t="e">
        <f t="shared" si="0"/>
        <v>#DIV/0!</v>
      </c>
      <c r="M24" s="231">
        <f>'M) Police'!N24</f>
        <v>24932.391579433061</v>
      </c>
      <c r="N24" s="231" t="e">
        <f t="shared" si="1"/>
        <v>#DIV/0!</v>
      </c>
      <c r="O24" s="311" t="e">
        <f t="shared" si="2"/>
        <v>#DIV/0!</v>
      </c>
      <c r="P24" s="313"/>
    </row>
    <row r="25" spans="1:16" s="153" customFormat="1" x14ac:dyDescent="0.25">
      <c r="A25" s="150">
        <f>'B) D RI'!A26</f>
        <v>5425</v>
      </c>
      <c r="B25" s="151" t="str">
        <f>'B) D RI'!B26</f>
        <v>Bière</v>
      </c>
      <c r="C25" s="309">
        <f>'B) D RI'!S26</f>
        <v>69</v>
      </c>
      <c r="D25" s="152">
        <f>'B) D RI'!AA26</f>
        <v>1634</v>
      </c>
      <c r="E25" s="307">
        <f>'D) Ecrêtage'!C25</f>
        <v>44230.498130934531</v>
      </c>
      <c r="F25" s="311">
        <f>'E) PCS'!G31</f>
        <v>702407.41799434926</v>
      </c>
      <c r="G25" s="308">
        <f>'H) Péréquation directe'!I35</f>
        <v>-178197.00822510058</v>
      </c>
      <c r="H25" s="311" t="e">
        <f>+'I) Dépenses thématiques'!S25</f>
        <v>#DIV/0!</v>
      </c>
      <c r="I25" s="308">
        <f>'K) Plafonnement aide'!J25</f>
        <v>0</v>
      </c>
      <c r="J25" s="311">
        <f>'J) Plafonnement effort'!J25</f>
        <v>0</v>
      </c>
      <c r="K25" s="308">
        <f>'L) Plafonnement taux'!Q26</f>
        <v>0</v>
      </c>
      <c r="L25" s="306" t="e">
        <f t="shared" si="0"/>
        <v>#DIV/0!</v>
      </c>
      <c r="M25" s="231">
        <f>'M) Police'!N25</f>
        <v>133312.87013501453</v>
      </c>
      <c r="N25" s="231" t="e">
        <f t="shared" si="1"/>
        <v>#DIV/0!</v>
      </c>
      <c r="O25" s="311" t="e">
        <f t="shared" si="2"/>
        <v>#DIV/0!</v>
      </c>
      <c r="P25" s="313"/>
    </row>
    <row r="26" spans="1:16" s="153" customFormat="1" x14ac:dyDescent="0.25">
      <c r="A26" s="150">
        <f>'B) D RI'!A27</f>
        <v>5426</v>
      </c>
      <c r="B26" s="151" t="str">
        <f>'B) D RI'!B27</f>
        <v>Bougy-Villars</v>
      </c>
      <c r="C26" s="309">
        <f>'B) D RI'!S27</f>
        <v>64.5</v>
      </c>
      <c r="D26" s="152">
        <f>'B) D RI'!AA27</f>
        <v>497</v>
      </c>
      <c r="E26" s="307">
        <f>'D) Ecrêtage'!C26</f>
        <v>53043.718423772611</v>
      </c>
      <c r="F26" s="311">
        <f>'E) PCS'!G32</f>
        <v>2425144.7833388913</v>
      </c>
      <c r="G26" s="308">
        <f>'H) Péréquation directe'!I36</f>
        <v>935879.99496931129</v>
      </c>
      <c r="H26" s="311" t="e">
        <f>+'I) Dépenses thématiques'!S26</f>
        <v>#DIV/0!</v>
      </c>
      <c r="I26" s="308">
        <f>'K) Plafonnement aide'!J26</f>
        <v>0</v>
      </c>
      <c r="J26" s="311">
        <f>'J) Plafonnement effort'!J26</f>
        <v>0</v>
      </c>
      <c r="K26" s="308">
        <f>'L) Plafonnement taux'!Q27</f>
        <v>0</v>
      </c>
      <c r="L26" s="306" t="e">
        <f t="shared" si="0"/>
        <v>#DIV/0!</v>
      </c>
      <c r="M26" s="231">
        <f>'M) Police'!N26</f>
        <v>106348.51121003185</v>
      </c>
      <c r="N26" s="231" t="e">
        <f t="shared" si="1"/>
        <v>#DIV/0!</v>
      </c>
      <c r="O26" s="311" t="e">
        <f t="shared" si="2"/>
        <v>#DIV/0!</v>
      </c>
      <c r="P26" s="313"/>
    </row>
    <row r="27" spans="1:16" s="153" customFormat="1" x14ac:dyDescent="0.25">
      <c r="A27" s="150">
        <f>'B) D RI'!A28</f>
        <v>5427</v>
      </c>
      <c r="B27" s="151" t="str">
        <f>'B) D RI'!B28</f>
        <v>Féchy</v>
      </c>
      <c r="C27" s="309">
        <f>'B) D RI'!S28</f>
        <v>64</v>
      </c>
      <c r="D27" s="152">
        <f>'B) D RI'!AA28</f>
        <v>893</v>
      </c>
      <c r="E27" s="307">
        <f>'D) Ecrêtage'!C27</f>
        <v>88218.508882211536</v>
      </c>
      <c r="F27" s="311">
        <f>'E) PCS'!G33</f>
        <v>2261042.18885773</v>
      </c>
      <c r="G27" s="308">
        <f>'H) Péréquation directe'!I37</f>
        <v>1548202.05034509</v>
      </c>
      <c r="H27" s="311" t="e">
        <f>+'I) Dépenses thématiques'!S27</f>
        <v>#DIV/0!</v>
      </c>
      <c r="I27" s="308">
        <f>'K) Plafonnement aide'!J27</f>
        <v>0</v>
      </c>
      <c r="J27" s="311">
        <f>'J) Plafonnement effort'!J27</f>
        <v>0</v>
      </c>
      <c r="K27" s="308">
        <f>'L) Plafonnement taux'!Q28</f>
        <v>0</v>
      </c>
      <c r="L27" s="306" t="e">
        <f t="shared" si="0"/>
        <v>#DIV/0!</v>
      </c>
      <c r="M27" s="231">
        <f>'M) Police'!N27</f>
        <v>182812.57681279691</v>
      </c>
      <c r="N27" s="231" t="e">
        <f t="shared" si="1"/>
        <v>#DIV/0!</v>
      </c>
      <c r="O27" s="311" t="e">
        <f t="shared" si="2"/>
        <v>#DIV/0!</v>
      </c>
      <c r="P27" s="313"/>
    </row>
    <row r="28" spans="1:16" s="153" customFormat="1" x14ac:dyDescent="0.25">
      <c r="A28" s="150">
        <f>'B) D RI'!A29</f>
        <v>5428</v>
      </c>
      <c r="B28" s="151" t="str">
        <f>'B) D RI'!B29</f>
        <v>Gimel</v>
      </c>
      <c r="C28" s="309">
        <f>'B) D RI'!S29</f>
        <v>74.5</v>
      </c>
      <c r="D28" s="152">
        <f>'B) D RI'!AA29</f>
        <v>2402</v>
      </c>
      <c r="E28" s="307">
        <f>'D) Ecrêtage'!C28</f>
        <v>70558.698881431759</v>
      </c>
      <c r="F28" s="311">
        <f>'E) PCS'!G34</f>
        <v>1280503.177590284</v>
      </c>
      <c r="G28" s="308">
        <f>'H) Péréquation directe'!I38</f>
        <v>-302225.2953616376</v>
      </c>
      <c r="H28" s="311" t="e">
        <f>+'I) Dépenses thématiques'!S28</f>
        <v>#DIV/0!</v>
      </c>
      <c r="I28" s="308">
        <f>'K) Plafonnement aide'!J28</f>
        <v>0</v>
      </c>
      <c r="J28" s="311">
        <f>'J) Plafonnement effort'!J28</f>
        <v>0</v>
      </c>
      <c r="K28" s="308">
        <f>'L) Plafonnement taux'!Q29</f>
        <v>0</v>
      </c>
      <c r="L28" s="306" t="e">
        <f t="shared" si="0"/>
        <v>#DIV/0!</v>
      </c>
      <c r="M28" s="231">
        <f>'M) Police'!N28</f>
        <v>212407.93724127748</v>
      </c>
      <c r="N28" s="231" t="e">
        <f t="shared" si="1"/>
        <v>#DIV/0!</v>
      </c>
      <c r="O28" s="311" t="e">
        <f t="shared" si="2"/>
        <v>#DIV/0!</v>
      </c>
      <c r="P28" s="313"/>
    </row>
    <row r="29" spans="1:16" s="153" customFormat="1" x14ac:dyDescent="0.25">
      <c r="A29" s="150">
        <f>'B) D RI'!A30</f>
        <v>5429</v>
      </c>
      <c r="B29" s="151" t="str">
        <f>'B) D RI'!B30</f>
        <v>Longirod</v>
      </c>
      <c r="C29" s="309">
        <f>'B) D RI'!S30</f>
        <v>77.5</v>
      </c>
      <c r="D29" s="152">
        <f>'B) D RI'!AA30</f>
        <v>520</v>
      </c>
      <c r="E29" s="307">
        <f>'D) Ecrêtage'!C29</f>
        <v>18574.452387096771</v>
      </c>
      <c r="F29" s="311">
        <f>'E) PCS'!G35</f>
        <v>307792.84566171654</v>
      </c>
      <c r="G29" s="308">
        <f>'H) Péréquation directe'!I39</f>
        <v>125951.64146100331</v>
      </c>
      <c r="H29" s="311" t="e">
        <f>+'I) Dépenses thématiques'!S29</f>
        <v>#DIV/0!</v>
      </c>
      <c r="I29" s="308">
        <f>'K) Plafonnement aide'!J29</f>
        <v>0</v>
      </c>
      <c r="J29" s="311">
        <f>'J) Plafonnement effort'!J29</f>
        <v>0</v>
      </c>
      <c r="K29" s="308">
        <f>'L) Plafonnement taux'!Q30</f>
        <v>0</v>
      </c>
      <c r="L29" s="306" t="e">
        <f t="shared" si="0"/>
        <v>#DIV/0!</v>
      </c>
      <c r="M29" s="231">
        <f>'M) Police'!N29</f>
        <v>56024.115415622306</v>
      </c>
      <c r="N29" s="231" t="e">
        <f t="shared" si="1"/>
        <v>#DIV/0!</v>
      </c>
      <c r="O29" s="311" t="e">
        <f t="shared" si="2"/>
        <v>#DIV/0!</v>
      </c>
      <c r="P29" s="313"/>
    </row>
    <row r="30" spans="1:16" s="153" customFormat="1" x14ac:dyDescent="0.25">
      <c r="A30" s="150">
        <f>'B) D RI'!A31</f>
        <v>5430</v>
      </c>
      <c r="B30" s="151" t="str">
        <f>'B) D RI'!B31</f>
        <v>Marchissy</v>
      </c>
      <c r="C30" s="309">
        <f>'B) D RI'!S31</f>
        <v>77.5</v>
      </c>
      <c r="D30" s="152">
        <f>'B) D RI'!AA31</f>
        <v>485</v>
      </c>
      <c r="E30" s="307">
        <f>'D) Ecrêtage'!C30</f>
        <v>15580.981548387101</v>
      </c>
      <c r="F30" s="311">
        <f>'E) PCS'!G36</f>
        <v>237769.68803518492</v>
      </c>
      <c r="G30" s="308">
        <f>'H) Péréquation directe'!I40</f>
        <v>42828.176151024585</v>
      </c>
      <c r="H30" s="311" t="e">
        <f>+'I) Dépenses thématiques'!S30</f>
        <v>#DIV/0!</v>
      </c>
      <c r="I30" s="308">
        <f>'K) Plafonnement aide'!J30</f>
        <v>0</v>
      </c>
      <c r="J30" s="311">
        <f>'J) Plafonnement effort'!J30</f>
        <v>0</v>
      </c>
      <c r="K30" s="308">
        <f>'L) Plafonnement taux'!Q31</f>
        <v>0</v>
      </c>
      <c r="L30" s="306" t="e">
        <f t="shared" si="0"/>
        <v>#DIV/0!</v>
      </c>
      <c r="M30" s="231">
        <f>'M) Police'!N30</f>
        <v>46886.151158072018</v>
      </c>
      <c r="N30" s="231" t="e">
        <f t="shared" si="1"/>
        <v>#DIV/0!</v>
      </c>
      <c r="O30" s="311" t="e">
        <f t="shared" si="2"/>
        <v>#DIV/0!</v>
      </c>
      <c r="P30" s="313"/>
    </row>
    <row r="31" spans="1:16" s="153" customFormat="1" x14ac:dyDescent="0.25">
      <c r="A31" s="150">
        <f>'B) D RI'!A32</f>
        <v>5431</v>
      </c>
      <c r="B31" s="151" t="str">
        <f>'B) D RI'!B32</f>
        <v>Mollens</v>
      </c>
      <c r="C31" s="309">
        <f>'B) D RI'!S32</f>
        <v>74</v>
      </c>
      <c r="D31" s="152">
        <f>'B) D RI'!AA32</f>
        <v>319</v>
      </c>
      <c r="E31" s="307">
        <f>'D) Ecrêtage'!C31</f>
        <v>10464.972567567567</v>
      </c>
      <c r="F31" s="311">
        <f>'E) PCS'!G37</f>
        <v>144770.24333327127</v>
      </c>
      <c r="G31" s="308">
        <f>'H) Péréquation directe'!I41</f>
        <v>48015.957045920106</v>
      </c>
      <c r="H31" s="311" t="e">
        <f>+'I) Dépenses thématiques'!S31</f>
        <v>#DIV/0!</v>
      </c>
      <c r="I31" s="308">
        <f>'K) Plafonnement aide'!J31</f>
        <v>0</v>
      </c>
      <c r="J31" s="311">
        <f>'J) Plafonnement effort'!J31</f>
        <v>0</v>
      </c>
      <c r="K31" s="308">
        <f>'L) Plafonnement taux'!Q32</f>
        <v>0</v>
      </c>
      <c r="L31" s="306" t="e">
        <f t="shared" si="0"/>
        <v>#DIV/0!</v>
      </c>
      <c r="M31" s="231">
        <f>'M) Police'!N31</f>
        <v>31678.552728729795</v>
      </c>
      <c r="N31" s="231" t="e">
        <f t="shared" si="1"/>
        <v>#DIV/0!</v>
      </c>
      <c r="O31" s="311" t="e">
        <f t="shared" si="2"/>
        <v>#DIV/0!</v>
      </c>
      <c r="P31" s="313"/>
    </row>
    <row r="32" spans="1:16" s="153" customFormat="1" x14ac:dyDescent="0.25">
      <c r="A32" s="150">
        <f>'B) D RI'!A33</f>
        <v>5434</v>
      </c>
      <c r="B32" s="151" t="str">
        <f>'B) D RI'!B33</f>
        <v>Saint-George</v>
      </c>
      <c r="C32" s="309">
        <f>'B) D RI'!S33</f>
        <v>69.5</v>
      </c>
      <c r="D32" s="152">
        <f>'B) D RI'!AA33</f>
        <v>1072</v>
      </c>
      <c r="E32" s="307">
        <f>'D) Ecrêtage'!C32</f>
        <v>43544.748513189443</v>
      </c>
      <c r="F32" s="311">
        <f>'E) PCS'!G38</f>
        <v>673624.53206173482</v>
      </c>
      <c r="G32" s="308">
        <f>'H) Péréquation directe'!I42</f>
        <v>507739.79106256267</v>
      </c>
      <c r="H32" s="311" t="e">
        <f>+'I) Dépenses thématiques'!S32</f>
        <v>#DIV/0!</v>
      </c>
      <c r="I32" s="308">
        <f>'K) Plafonnement aide'!J32</f>
        <v>0</v>
      </c>
      <c r="J32" s="311">
        <f>'J) Plafonnement effort'!J32</f>
        <v>0</v>
      </c>
      <c r="K32" s="308">
        <f>'L) Plafonnement taux'!Q33</f>
        <v>0</v>
      </c>
      <c r="L32" s="306" t="e">
        <f t="shared" si="0"/>
        <v>#DIV/0!</v>
      </c>
      <c r="M32" s="231">
        <f>'M) Police'!N32</f>
        <v>130853.98260515361</v>
      </c>
      <c r="N32" s="231" t="e">
        <f t="shared" si="1"/>
        <v>#DIV/0!</v>
      </c>
      <c r="O32" s="311" t="e">
        <f t="shared" si="2"/>
        <v>#DIV/0!</v>
      </c>
      <c r="P32" s="313"/>
    </row>
    <row r="33" spans="1:16" s="153" customFormat="1" x14ac:dyDescent="0.25">
      <c r="A33" s="150">
        <f>'B) D RI'!A34</f>
        <v>5435</v>
      </c>
      <c r="B33" s="151" t="str">
        <f>'B) D RI'!B34</f>
        <v>Saint-Livres</v>
      </c>
      <c r="C33" s="309">
        <f>'B) D RI'!S34</f>
        <v>69</v>
      </c>
      <c r="D33" s="152">
        <f>'B) D RI'!AA34</f>
        <v>674</v>
      </c>
      <c r="E33" s="307">
        <f>'D) Ecrêtage'!C33</f>
        <v>25854.309855072468</v>
      </c>
      <c r="F33" s="311">
        <f>'E) PCS'!G39</f>
        <v>452233.02838243649</v>
      </c>
      <c r="G33" s="308">
        <f>'H) Péréquation directe'!I43</f>
        <v>273195.09663590428</v>
      </c>
      <c r="H33" s="311" t="e">
        <f>+'I) Dépenses thématiques'!S33</f>
        <v>#DIV/0!</v>
      </c>
      <c r="I33" s="308">
        <f>'K) Plafonnement aide'!J33</f>
        <v>0</v>
      </c>
      <c r="J33" s="311">
        <f>'J) Plafonnement effort'!J33</f>
        <v>0</v>
      </c>
      <c r="K33" s="308">
        <f>'L) Plafonnement taux'!Q34</f>
        <v>0</v>
      </c>
      <c r="L33" s="306" t="e">
        <f t="shared" si="0"/>
        <v>#DIV/0!</v>
      </c>
      <c r="M33" s="231">
        <f>'M) Police'!N33</f>
        <v>78151.878329092229</v>
      </c>
      <c r="N33" s="231" t="e">
        <f t="shared" si="1"/>
        <v>#DIV/0!</v>
      </c>
      <c r="O33" s="311" t="e">
        <f t="shared" si="2"/>
        <v>#DIV/0!</v>
      </c>
      <c r="P33" s="313"/>
    </row>
    <row r="34" spans="1:16" s="153" customFormat="1" x14ac:dyDescent="0.25">
      <c r="A34" s="150">
        <f>'B) D RI'!A35</f>
        <v>5436</v>
      </c>
      <c r="B34" s="151" t="str">
        <f>'B) D RI'!B35</f>
        <v>Saint-Oyens</v>
      </c>
      <c r="C34" s="309">
        <f>'B) D RI'!S35</f>
        <v>81</v>
      </c>
      <c r="D34" s="152">
        <f>'B) D RI'!AA35</f>
        <v>458</v>
      </c>
      <c r="E34" s="307">
        <f>'D) Ecrêtage'!C34</f>
        <v>16868.339629629631</v>
      </c>
      <c r="F34" s="311">
        <f>'E) PCS'!G40</f>
        <v>281502.34348229005</v>
      </c>
      <c r="G34" s="308">
        <f>'H) Péréquation directe'!I44</f>
        <v>120934.29100513842</v>
      </c>
      <c r="H34" s="311" t="e">
        <f>+'I) Dépenses thématiques'!S34</f>
        <v>#DIV/0!</v>
      </c>
      <c r="I34" s="308">
        <f>'K) Plafonnement aide'!J34</f>
        <v>0</v>
      </c>
      <c r="J34" s="311">
        <f>'J) Plafonnement effort'!J34</f>
        <v>0</v>
      </c>
      <c r="K34" s="308">
        <f>'L) Plafonnement taux'!Q35</f>
        <v>0</v>
      </c>
      <c r="L34" s="306" t="e">
        <f t="shared" si="0"/>
        <v>#DIV/0!</v>
      </c>
      <c r="M34" s="231">
        <f>'M) Police'!N34</f>
        <v>51180.973839705104</v>
      </c>
      <c r="N34" s="231" t="e">
        <f t="shared" si="1"/>
        <v>#DIV/0!</v>
      </c>
      <c r="O34" s="311" t="e">
        <f t="shared" si="2"/>
        <v>#DIV/0!</v>
      </c>
      <c r="P34" s="313"/>
    </row>
    <row r="35" spans="1:16" s="153" customFormat="1" x14ac:dyDescent="0.25">
      <c r="A35" s="150">
        <f>'B) D RI'!A36</f>
        <v>5437</v>
      </c>
      <c r="B35" s="151" t="str">
        <f>'B) D RI'!B36</f>
        <v>Saubraz</v>
      </c>
      <c r="C35" s="309">
        <f>'B) D RI'!S36</f>
        <v>80</v>
      </c>
      <c r="D35" s="152">
        <f>'B) D RI'!AA36</f>
        <v>444</v>
      </c>
      <c r="E35" s="307">
        <f>'D) Ecrêtage'!C35</f>
        <v>13551.757374999997</v>
      </c>
      <c r="F35" s="311">
        <f>'E) PCS'!G41</f>
        <v>323771.23959266022</v>
      </c>
      <c r="G35" s="308">
        <f>'H) Péréquation directe'!I45</f>
        <v>-3793.3969400302449</v>
      </c>
      <c r="H35" s="311" t="e">
        <f>+'I) Dépenses thématiques'!S35</f>
        <v>#DIV/0!</v>
      </c>
      <c r="I35" s="308">
        <f>'K) Plafonnement aide'!J35</f>
        <v>0</v>
      </c>
      <c r="J35" s="311">
        <f>'J) Plafonnement effort'!J35</f>
        <v>0</v>
      </c>
      <c r="K35" s="308">
        <f>'L) Plafonnement taux'!Q36</f>
        <v>0</v>
      </c>
      <c r="L35" s="306" t="e">
        <f t="shared" si="0"/>
        <v>#DIV/0!</v>
      </c>
      <c r="M35" s="231">
        <f>'M) Police'!N35</f>
        <v>41143.311725769796</v>
      </c>
      <c r="N35" s="231" t="e">
        <f t="shared" si="1"/>
        <v>#DIV/0!</v>
      </c>
      <c r="O35" s="311" t="e">
        <f t="shared" si="2"/>
        <v>#DIV/0!</v>
      </c>
      <c r="P35" s="313"/>
    </row>
    <row r="36" spans="1:16" s="153" customFormat="1" x14ac:dyDescent="0.25">
      <c r="A36" s="150">
        <f>'B) D RI'!A37</f>
        <v>5451</v>
      </c>
      <c r="B36" s="151" t="str">
        <f>'B) D RI'!B37</f>
        <v>Avenches</v>
      </c>
      <c r="C36" s="309">
        <f>'B) D RI'!S37</f>
        <v>66.5</v>
      </c>
      <c r="D36" s="152">
        <f>'B) D RI'!AA37</f>
        <v>4616</v>
      </c>
      <c r="E36" s="307">
        <f>'D) Ecrêtage'!C36</f>
        <v>137890.8513283208</v>
      </c>
      <c r="F36" s="311">
        <f>'E) PCS'!G42</f>
        <v>2247178.8133539576</v>
      </c>
      <c r="G36" s="308">
        <f>'H) Péréquation directe'!I46</f>
        <v>-549429.70008621411</v>
      </c>
      <c r="H36" s="311" t="e">
        <f>+'I) Dépenses thématiques'!S36</f>
        <v>#DIV/0!</v>
      </c>
      <c r="I36" s="308">
        <f>'K) Plafonnement aide'!J36</f>
        <v>0</v>
      </c>
      <c r="J36" s="311">
        <f>'J) Plafonnement effort'!J36</f>
        <v>0</v>
      </c>
      <c r="K36" s="308">
        <f>'L) Plafonnement taux'!Q37</f>
        <v>0</v>
      </c>
      <c r="L36" s="306" t="e">
        <f t="shared" si="0"/>
        <v>#DIV/0!</v>
      </c>
      <c r="M36" s="231">
        <f>'M) Police'!N36</f>
        <v>403200.31669926853</v>
      </c>
      <c r="N36" s="231" t="e">
        <f t="shared" si="1"/>
        <v>#DIV/0!</v>
      </c>
      <c r="O36" s="311" t="e">
        <f t="shared" si="2"/>
        <v>#DIV/0!</v>
      </c>
      <c r="P36" s="313"/>
    </row>
    <row r="37" spans="1:16" s="153" customFormat="1" x14ac:dyDescent="0.25">
      <c r="A37" s="150">
        <f>'B) D RI'!A38</f>
        <v>5456</v>
      </c>
      <c r="B37" s="151" t="str">
        <f>'B) D RI'!B38</f>
        <v>Cudrefin</v>
      </c>
      <c r="C37" s="309">
        <f>'B) D RI'!S38</f>
        <v>59</v>
      </c>
      <c r="D37" s="152">
        <f>'B) D RI'!AA38</f>
        <v>1836</v>
      </c>
      <c r="E37" s="307">
        <f>'D) Ecrêtage'!C37</f>
        <v>64144.951694915253</v>
      </c>
      <c r="F37" s="311">
        <f>'E) PCS'!G43</f>
        <v>981612.21408953774</v>
      </c>
      <c r="G37" s="308">
        <f>'H) Péréquation directe'!I47</f>
        <v>445402.40743272798</v>
      </c>
      <c r="H37" s="311" t="e">
        <f>+'I) Dépenses thématiques'!S37</f>
        <v>#DIV/0!</v>
      </c>
      <c r="I37" s="308">
        <f>'K) Plafonnement aide'!J37</f>
        <v>0</v>
      </c>
      <c r="J37" s="311">
        <f>'J) Plafonnement effort'!J37</f>
        <v>0</v>
      </c>
      <c r="K37" s="308">
        <f>'L) Plafonnement taux'!Q38</f>
        <v>0</v>
      </c>
      <c r="L37" s="306" t="e">
        <f t="shared" si="0"/>
        <v>#DIV/0!</v>
      </c>
      <c r="M37" s="231">
        <f>'M) Police'!N37</f>
        <v>190768.07364452723</v>
      </c>
      <c r="N37" s="231" t="e">
        <f t="shared" si="1"/>
        <v>#DIV/0!</v>
      </c>
      <c r="O37" s="311" t="e">
        <f t="shared" si="2"/>
        <v>#DIV/0!</v>
      </c>
      <c r="P37" s="313"/>
    </row>
    <row r="38" spans="1:16" s="153" customFormat="1" x14ac:dyDescent="0.25">
      <c r="A38" s="150">
        <f>'B) D RI'!A39</f>
        <v>5458</v>
      </c>
      <c r="B38" s="151" t="str">
        <f>'B) D RI'!B39</f>
        <v>Faoug</v>
      </c>
      <c r="C38" s="309">
        <f>'B) D RI'!S39</f>
        <v>65</v>
      </c>
      <c r="D38" s="152">
        <f>'B) D RI'!AA39</f>
        <v>866</v>
      </c>
      <c r="E38" s="307">
        <f>'D) Ecrêtage'!C38</f>
        <v>34721.352769230762</v>
      </c>
      <c r="F38" s="311">
        <f>'E) PCS'!G44</f>
        <v>547509.87254166685</v>
      </c>
      <c r="G38" s="308">
        <f>'H) Péréquation directe'!I48</f>
        <v>423316.48857627151</v>
      </c>
      <c r="H38" s="311" t="e">
        <f>+'I) Dépenses thématiques'!S38</f>
        <v>#DIV/0!</v>
      </c>
      <c r="I38" s="308">
        <f>'K) Plafonnement aide'!J38</f>
        <v>0</v>
      </c>
      <c r="J38" s="311">
        <f>'J) Plafonnement effort'!J38</f>
        <v>0</v>
      </c>
      <c r="K38" s="308">
        <f>'L) Plafonnement taux'!Q39</f>
        <v>0</v>
      </c>
      <c r="L38" s="306" t="e">
        <f t="shared" si="0"/>
        <v>#DIV/0!</v>
      </c>
      <c r="M38" s="231">
        <f>'M) Police'!N38</f>
        <v>103717.3495006912</v>
      </c>
      <c r="N38" s="231" t="e">
        <f t="shared" si="1"/>
        <v>#DIV/0!</v>
      </c>
      <c r="O38" s="311" t="e">
        <f t="shared" si="2"/>
        <v>#DIV/0!</v>
      </c>
      <c r="P38" s="313"/>
    </row>
    <row r="39" spans="1:16" s="153" customFormat="1" x14ac:dyDescent="0.25">
      <c r="A39" s="150">
        <f>'B) D RI'!A40</f>
        <v>5464</v>
      </c>
      <c r="B39" s="151" t="str">
        <f>'B) D RI'!B40</f>
        <v>Vully-les-Lacs</v>
      </c>
      <c r="C39" s="309">
        <f>'B) D RI'!S40</f>
        <v>67</v>
      </c>
      <c r="D39" s="152">
        <f>'B) D RI'!AA40</f>
        <v>3465</v>
      </c>
      <c r="E39" s="307">
        <f>'D) Ecrêtage'!C39</f>
        <v>119169.3065671642</v>
      </c>
      <c r="F39" s="311">
        <f>'E) PCS'!G45</f>
        <v>2193472.8558597192</v>
      </c>
      <c r="G39" s="308">
        <f>'H) Péréquation directe'!I49</f>
        <v>314033.07652259921</v>
      </c>
      <c r="H39" s="311" t="e">
        <f>+'I) Dépenses thématiques'!S39</f>
        <v>#DIV/0!</v>
      </c>
      <c r="I39" s="308">
        <f>'K) Plafonnement aide'!J39</f>
        <v>0</v>
      </c>
      <c r="J39" s="311">
        <f>'J) Plafonnement effort'!J39</f>
        <v>0</v>
      </c>
      <c r="K39" s="308">
        <f>'L) Plafonnement taux'!Q40</f>
        <v>0</v>
      </c>
      <c r="L39" s="306" t="e">
        <f t="shared" si="0"/>
        <v>#DIV/0!</v>
      </c>
      <c r="M39" s="231">
        <f>'M) Police'!N39</f>
        <v>355547.96898768982</v>
      </c>
      <c r="N39" s="231" t="e">
        <f t="shared" si="1"/>
        <v>#DIV/0!</v>
      </c>
      <c r="O39" s="311" t="e">
        <f t="shared" si="2"/>
        <v>#DIV/0!</v>
      </c>
      <c r="P39" s="313"/>
    </row>
    <row r="40" spans="1:16" s="153" customFormat="1" x14ac:dyDescent="0.25">
      <c r="A40" s="150">
        <f>'B) D RI'!A41</f>
        <v>5471</v>
      </c>
      <c r="B40" s="151" t="str">
        <f>'B) D RI'!B41</f>
        <v>Bettens</v>
      </c>
      <c r="C40" s="309">
        <f>'B) D RI'!S41</f>
        <v>70</v>
      </c>
      <c r="D40" s="152">
        <f>'B) D RI'!AA41</f>
        <v>626</v>
      </c>
      <c r="E40" s="307">
        <f>'D) Ecrêtage'!C40</f>
        <v>22893.023698412693</v>
      </c>
      <c r="F40" s="311">
        <f>'E) PCS'!G46</f>
        <v>319592.25941844779</v>
      </c>
      <c r="G40" s="308">
        <f>'H) Péréquation directe'!I50</f>
        <v>207231.44429682766</v>
      </c>
      <c r="H40" s="311" t="e">
        <f>+'I) Dépenses thématiques'!S40</f>
        <v>#DIV/0!</v>
      </c>
      <c r="I40" s="308">
        <f>'K) Plafonnement aide'!J40</f>
        <v>0</v>
      </c>
      <c r="J40" s="311">
        <f>'J) Plafonnement effort'!J40</f>
        <v>0</v>
      </c>
      <c r="K40" s="308">
        <f>'L) Plafonnement taux'!Q41</f>
        <v>0</v>
      </c>
      <c r="L40" s="306" t="e">
        <f t="shared" si="0"/>
        <v>#DIV/0!</v>
      </c>
      <c r="M40" s="231">
        <f>'M) Police'!N40</f>
        <v>68457.312183992981</v>
      </c>
      <c r="N40" s="231" t="e">
        <f t="shared" si="1"/>
        <v>#DIV/0!</v>
      </c>
      <c r="O40" s="311" t="e">
        <f t="shared" si="2"/>
        <v>#DIV/0!</v>
      </c>
      <c r="P40" s="313"/>
    </row>
    <row r="41" spans="1:16" s="153" customFormat="1" x14ac:dyDescent="0.25">
      <c r="A41" s="150">
        <f>'B) D RI'!A42</f>
        <v>5472</v>
      </c>
      <c r="B41" s="151" t="str">
        <f>'B) D RI'!B42</f>
        <v>Bournens</v>
      </c>
      <c r="C41" s="309">
        <f>'B) D RI'!S42</f>
        <v>72</v>
      </c>
      <c r="D41" s="152">
        <f>'B) D RI'!AA42</f>
        <v>507</v>
      </c>
      <c r="E41" s="307">
        <f>'D) Ecrêtage'!C41</f>
        <v>22178.441944444447</v>
      </c>
      <c r="F41" s="311">
        <f>'E) PCS'!G47</f>
        <v>368805.35854312114</v>
      </c>
      <c r="G41" s="308">
        <f>'H) Péréquation directe'!I51</f>
        <v>304807.62874362944</v>
      </c>
      <c r="H41" s="311" t="e">
        <f>+'I) Dépenses thématiques'!S41</f>
        <v>#DIV/0!</v>
      </c>
      <c r="I41" s="308">
        <f>'K) Plafonnement aide'!J41</f>
        <v>0</v>
      </c>
      <c r="J41" s="311">
        <f>'J) Plafonnement effort'!J41</f>
        <v>0</v>
      </c>
      <c r="K41" s="308">
        <f>'L) Plafonnement taux'!Q42</f>
        <v>0</v>
      </c>
      <c r="L41" s="306" t="e">
        <f t="shared" si="0"/>
        <v>#DIV/0!</v>
      </c>
      <c r="M41" s="231">
        <f>'M) Police'!N41</f>
        <v>67104.462986437429</v>
      </c>
      <c r="N41" s="231" t="e">
        <f t="shared" si="1"/>
        <v>#DIV/0!</v>
      </c>
      <c r="O41" s="311" t="e">
        <f t="shared" si="2"/>
        <v>#DIV/0!</v>
      </c>
      <c r="P41" s="313"/>
    </row>
    <row r="42" spans="1:16" s="153" customFormat="1" x14ac:dyDescent="0.25">
      <c r="A42" s="150">
        <f>'B) D RI'!A43</f>
        <v>5473</v>
      </c>
      <c r="B42" s="151" t="str">
        <f>'B) D RI'!B43</f>
        <v>Boussens</v>
      </c>
      <c r="C42" s="309">
        <f>'B) D RI'!S43</f>
        <v>67.5</v>
      </c>
      <c r="D42" s="152">
        <f>'B) D RI'!AA43</f>
        <v>1001</v>
      </c>
      <c r="E42" s="307">
        <f>'D) Ecrêtage'!C42</f>
        <v>37059.012888888894</v>
      </c>
      <c r="F42" s="311">
        <f>'E) PCS'!G48</f>
        <v>580088.4343056666</v>
      </c>
      <c r="G42" s="308">
        <f>'H) Péréquation directe'!I52</f>
        <v>364191.16379271075</v>
      </c>
      <c r="H42" s="311" t="e">
        <f>+'I) Dépenses thématiques'!S42</f>
        <v>#DIV/0!</v>
      </c>
      <c r="I42" s="308">
        <f>'K) Plafonnement aide'!J42</f>
        <v>0</v>
      </c>
      <c r="J42" s="311">
        <f>'J) Plafonnement effort'!J42</f>
        <v>0</v>
      </c>
      <c r="K42" s="308">
        <f>'L) Plafonnement taux'!Q43</f>
        <v>0</v>
      </c>
      <c r="L42" s="306" t="e">
        <f t="shared" si="0"/>
        <v>#DIV/0!</v>
      </c>
      <c r="M42" s="231">
        <f>'M) Police'!N42</f>
        <v>111399.36591857004</v>
      </c>
      <c r="N42" s="231" t="e">
        <f t="shared" si="1"/>
        <v>#DIV/0!</v>
      </c>
      <c r="O42" s="311" t="e">
        <f t="shared" si="2"/>
        <v>#DIV/0!</v>
      </c>
      <c r="P42" s="313"/>
    </row>
    <row r="43" spans="1:16" s="153" customFormat="1" x14ac:dyDescent="0.25">
      <c r="A43" s="150">
        <f>'B) D RI'!A44</f>
        <v>5474</v>
      </c>
      <c r="B43" s="151" t="str">
        <f>'B) D RI'!B44</f>
        <v>La Chaux (Cossonay)</v>
      </c>
      <c r="C43" s="309">
        <f>'B) D RI'!S44</f>
        <v>76</v>
      </c>
      <c r="D43" s="152">
        <f>'B) D RI'!AA44</f>
        <v>398</v>
      </c>
      <c r="E43" s="307">
        <f>'D) Ecrêtage'!C43</f>
        <v>12905.016929824562</v>
      </c>
      <c r="F43" s="311">
        <f>'E) PCS'!G49</f>
        <v>204669.63563282002</v>
      </c>
      <c r="G43" s="308">
        <f>'H) Péréquation directe'!I53</f>
        <v>46100.863403908443</v>
      </c>
      <c r="H43" s="311" t="e">
        <f>+'I) Dépenses thématiques'!S43</f>
        <v>#DIV/0!</v>
      </c>
      <c r="I43" s="308">
        <f>'K) Plafonnement aide'!J43</f>
        <v>0</v>
      </c>
      <c r="J43" s="311">
        <f>'J) Plafonnement effort'!J43</f>
        <v>0</v>
      </c>
      <c r="K43" s="308">
        <f>'L) Plafonnement taux'!Q44</f>
        <v>0</v>
      </c>
      <c r="L43" s="306" t="e">
        <f t="shared" si="0"/>
        <v>#DIV/0!</v>
      </c>
      <c r="M43" s="231">
        <f>'M) Police'!N43</f>
        <v>38895.921896055908</v>
      </c>
      <c r="N43" s="231" t="e">
        <f t="shared" si="1"/>
        <v>#DIV/0!</v>
      </c>
      <c r="O43" s="311" t="e">
        <f t="shared" si="2"/>
        <v>#DIV/0!</v>
      </c>
      <c r="P43" s="313"/>
    </row>
    <row r="44" spans="1:16" s="153" customFormat="1" x14ac:dyDescent="0.25">
      <c r="A44" s="150">
        <f>'B) D RI'!A45</f>
        <v>5475</v>
      </c>
      <c r="B44" s="151" t="str">
        <f>'B) D RI'!B45</f>
        <v>Chavannes-le-Veyron</v>
      </c>
      <c r="C44" s="309">
        <f>'B) D RI'!S45</f>
        <v>75</v>
      </c>
      <c r="D44" s="152">
        <f>'B) D RI'!AA45</f>
        <v>155</v>
      </c>
      <c r="E44" s="307">
        <f>'D) Ecrêtage'!C44</f>
        <v>4277.2722666666668</v>
      </c>
      <c r="F44" s="311">
        <f>'E) PCS'!G50</f>
        <v>56854.495602852323</v>
      </c>
      <c r="G44" s="308">
        <f>'H) Péréquation directe'!I54</f>
        <v>-11461.203973205731</v>
      </c>
      <c r="H44" s="311" t="e">
        <f>+'I) Dépenses thématiques'!S44</f>
        <v>#DIV/0!</v>
      </c>
      <c r="I44" s="308">
        <f>'K) Plafonnement aide'!J44</f>
        <v>0</v>
      </c>
      <c r="J44" s="311">
        <f>'J) Plafonnement effort'!J44</f>
        <v>0</v>
      </c>
      <c r="K44" s="308">
        <f>'L) Plafonnement taux'!Q45</f>
        <v>0</v>
      </c>
      <c r="L44" s="306" t="e">
        <f t="shared" si="0"/>
        <v>#DIV/0!</v>
      </c>
      <c r="M44" s="231">
        <f>'M) Police'!N44</f>
        <v>12868.215947443716</v>
      </c>
      <c r="N44" s="231" t="e">
        <f t="shared" si="1"/>
        <v>#DIV/0!</v>
      </c>
      <c r="O44" s="311" t="e">
        <f t="shared" si="2"/>
        <v>#DIV/0!</v>
      </c>
      <c r="P44" s="313"/>
    </row>
    <row r="45" spans="1:16" s="153" customFormat="1" x14ac:dyDescent="0.25">
      <c r="A45" s="150">
        <f>'B) D RI'!A46</f>
        <v>5476</v>
      </c>
      <c r="B45" s="151" t="str">
        <f>'B) D RI'!B46</f>
        <v>Chevilly</v>
      </c>
      <c r="C45" s="309">
        <f>'B) D RI'!S46</f>
        <v>72.5</v>
      </c>
      <c r="D45" s="152">
        <f>'B) D RI'!AA46</f>
        <v>322</v>
      </c>
      <c r="E45" s="307">
        <f>'D) Ecrêtage'!C45</f>
        <v>12075.307586206898</v>
      </c>
      <c r="F45" s="311">
        <f>'E) PCS'!G51</f>
        <v>191849.31530157226</v>
      </c>
      <c r="G45" s="308">
        <f>'H) Péréquation directe'!I55</f>
        <v>113092.54239892001</v>
      </c>
      <c r="H45" s="311" t="e">
        <f>+'I) Dépenses thématiques'!S45</f>
        <v>#DIV/0!</v>
      </c>
      <c r="I45" s="308">
        <f>'K) Plafonnement aide'!J45</f>
        <v>0</v>
      </c>
      <c r="J45" s="311">
        <f>'J) Plafonnement effort'!J45</f>
        <v>0</v>
      </c>
      <c r="K45" s="308">
        <f>'L) Plafonnement taux'!Q46</f>
        <v>0</v>
      </c>
      <c r="L45" s="306" t="e">
        <f t="shared" si="0"/>
        <v>#DIV/0!</v>
      </c>
      <c r="M45" s="231">
        <f>'M) Police'!N45</f>
        <v>36537.733698613993</v>
      </c>
      <c r="N45" s="231" t="e">
        <f t="shared" si="1"/>
        <v>#DIV/0!</v>
      </c>
      <c r="O45" s="311" t="e">
        <f t="shared" si="2"/>
        <v>#DIV/0!</v>
      </c>
      <c r="P45" s="313"/>
    </row>
    <row r="46" spans="1:16" s="153" customFormat="1" x14ac:dyDescent="0.25">
      <c r="A46" s="150">
        <f>'B) D RI'!A47</f>
        <v>5477</v>
      </c>
      <c r="B46" s="151" t="str">
        <f>'B) D RI'!B47</f>
        <v>Cossonay</v>
      </c>
      <c r="C46" s="309">
        <f>'B) D RI'!S47</f>
        <v>69.5</v>
      </c>
      <c r="D46" s="152">
        <f>'B) D RI'!AA47</f>
        <v>4326</v>
      </c>
      <c r="E46" s="307">
        <f>'D) Ecrêtage'!C46</f>
        <v>142597.98359712231</v>
      </c>
      <c r="F46" s="311">
        <f>'E) PCS'!G52</f>
        <v>2307074.5166663337</v>
      </c>
      <c r="G46" s="308">
        <f>'H) Péréquation directe'!I56</f>
        <v>-93821.569762192667</v>
      </c>
      <c r="H46" s="311" t="e">
        <f>+'I) Dépenses thématiques'!S46</f>
        <v>#DIV/0!</v>
      </c>
      <c r="I46" s="308">
        <f>'K) Plafonnement aide'!J46</f>
        <v>0</v>
      </c>
      <c r="J46" s="311">
        <f>'J) Plafonnement effort'!J46</f>
        <v>0</v>
      </c>
      <c r="K46" s="308">
        <f>'L) Plafonnement taux'!Q47</f>
        <v>0</v>
      </c>
      <c r="L46" s="306" t="e">
        <f t="shared" si="0"/>
        <v>#DIV/0!</v>
      </c>
      <c r="M46" s="231">
        <f>'M) Police'!N46</f>
        <v>428175.36998199357</v>
      </c>
      <c r="N46" s="231" t="e">
        <f t="shared" si="1"/>
        <v>#DIV/0!</v>
      </c>
      <c r="O46" s="311" t="e">
        <f t="shared" si="2"/>
        <v>#DIV/0!</v>
      </c>
      <c r="P46" s="313"/>
    </row>
    <row r="47" spans="1:16" s="153" customFormat="1" x14ac:dyDescent="0.25">
      <c r="A47" s="150">
        <f>'B) D RI'!A48</f>
        <v>5478</v>
      </c>
      <c r="B47" s="151" t="str">
        <f>'B) D RI'!B48</f>
        <v>Cottens</v>
      </c>
      <c r="C47" s="309">
        <f>'B) D RI'!S48</f>
        <v>74</v>
      </c>
      <c r="D47" s="152">
        <f>'B) D RI'!AA48</f>
        <v>484</v>
      </c>
      <c r="E47" s="307">
        <f>'D) Ecrêtage'!C47</f>
        <v>15741.229189189189</v>
      </c>
      <c r="F47" s="311">
        <f>'E) PCS'!G53</f>
        <v>217496.88146354406</v>
      </c>
      <c r="G47" s="308">
        <f>'H) Péréquation directe'!I57</f>
        <v>67289.706434495689</v>
      </c>
      <c r="H47" s="311" t="e">
        <f>+'I) Dépenses thématiques'!S47</f>
        <v>#DIV/0!</v>
      </c>
      <c r="I47" s="308">
        <f>'K) Plafonnement aide'!J47</f>
        <v>0</v>
      </c>
      <c r="J47" s="311">
        <f>'J) Plafonnement effort'!J47</f>
        <v>0</v>
      </c>
      <c r="K47" s="308">
        <f>'L) Plafonnement taux'!Q48</f>
        <v>0</v>
      </c>
      <c r="L47" s="306" t="e">
        <f t="shared" si="0"/>
        <v>#DIV/0!</v>
      </c>
      <c r="M47" s="231">
        <f>'M) Police'!N47</f>
        <v>47683.60992493706</v>
      </c>
      <c r="N47" s="231" t="e">
        <f t="shared" si="1"/>
        <v>#DIV/0!</v>
      </c>
      <c r="O47" s="311" t="e">
        <f t="shared" si="2"/>
        <v>#DIV/0!</v>
      </c>
      <c r="P47" s="313"/>
    </row>
    <row r="48" spans="1:16" s="153" customFormat="1" x14ac:dyDescent="0.25">
      <c r="A48" s="150">
        <f>'B) D RI'!A49</f>
        <v>5479</v>
      </c>
      <c r="B48" s="151" t="str">
        <f>'B) D RI'!B49</f>
        <v>Cuarnens</v>
      </c>
      <c r="C48" s="309">
        <f>'B) D RI'!S49</f>
        <v>77</v>
      </c>
      <c r="D48" s="152">
        <f>'B) D RI'!AA49</f>
        <v>531</v>
      </c>
      <c r="E48" s="307">
        <f>'D) Ecrêtage'!C48</f>
        <v>17984.87649350649</v>
      </c>
      <c r="F48" s="311">
        <f>'E) PCS'!G54</f>
        <v>279374.12332262006</v>
      </c>
      <c r="G48" s="308">
        <f>'H) Péréquation directe'!I58</f>
        <v>88932.396221209085</v>
      </c>
      <c r="H48" s="311" t="e">
        <f>+'I) Dépenses thématiques'!S48</f>
        <v>#DIV/0!</v>
      </c>
      <c r="I48" s="308">
        <f>'K) Plafonnement aide'!J48</f>
        <v>0</v>
      </c>
      <c r="J48" s="311">
        <f>'J) Plafonnement effort'!J48</f>
        <v>0</v>
      </c>
      <c r="K48" s="308">
        <f>'L) Plafonnement taux'!Q49</f>
        <v>0</v>
      </c>
      <c r="L48" s="306" t="e">
        <f t="shared" si="0"/>
        <v>#DIV/0!</v>
      </c>
      <c r="M48" s="231">
        <f>'M) Police'!N48</f>
        <v>54559.056662186689</v>
      </c>
      <c r="N48" s="231" t="e">
        <f t="shared" si="1"/>
        <v>#DIV/0!</v>
      </c>
      <c r="O48" s="311" t="e">
        <f t="shared" si="2"/>
        <v>#DIV/0!</v>
      </c>
      <c r="P48" s="313"/>
    </row>
    <row r="49" spans="1:16" s="153" customFormat="1" x14ac:dyDescent="0.25">
      <c r="A49" s="150">
        <f>'B) D RI'!A50</f>
        <v>5480</v>
      </c>
      <c r="B49" s="151" t="str">
        <f>'B) D RI'!B50</f>
        <v>Daillens</v>
      </c>
      <c r="C49" s="309">
        <f>'B) D RI'!S50</f>
        <v>66</v>
      </c>
      <c r="D49" s="152">
        <f>'B) D RI'!AA50</f>
        <v>1051</v>
      </c>
      <c r="E49" s="307">
        <f>'D) Ecrêtage'!C49</f>
        <v>41284.66095959596</v>
      </c>
      <c r="F49" s="311">
        <f>'E) PCS'!G55</f>
        <v>721732.9387089638</v>
      </c>
      <c r="G49" s="308">
        <f>'H) Péréquation directe'!I59</f>
        <v>466773.59874864167</v>
      </c>
      <c r="H49" s="311" t="e">
        <f>+'I) Dépenses thématiques'!S49</f>
        <v>#DIV/0!</v>
      </c>
      <c r="I49" s="308">
        <f>'K) Plafonnement aide'!J49</f>
        <v>0</v>
      </c>
      <c r="J49" s="311">
        <f>'J) Plafonnement effort'!J49</f>
        <v>0</v>
      </c>
      <c r="K49" s="308">
        <f>'L) Plafonnement taux'!Q50</f>
        <v>0</v>
      </c>
      <c r="L49" s="306" t="e">
        <f t="shared" si="0"/>
        <v>#DIV/0!</v>
      </c>
      <c r="M49" s="231">
        <f>'M) Police'!N49</f>
        <v>120888.76010229302</v>
      </c>
      <c r="N49" s="231" t="e">
        <f t="shared" si="1"/>
        <v>#DIV/0!</v>
      </c>
      <c r="O49" s="311" t="e">
        <f t="shared" si="2"/>
        <v>#DIV/0!</v>
      </c>
      <c r="P49" s="313"/>
    </row>
    <row r="50" spans="1:16" s="153" customFormat="1" x14ac:dyDescent="0.25">
      <c r="A50" s="150">
        <f>'B) D RI'!A51</f>
        <v>5481</v>
      </c>
      <c r="B50" s="151" t="str">
        <f>'B) D RI'!B51</f>
        <v>Dizy</v>
      </c>
      <c r="C50" s="309">
        <f>'B) D RI'!S51</f>
        <v>75</v>
      </c>
      <c r="D50" s="152">
        <f>'B) D RI'!AA51</f>
        <v>225</v>
      </c>
      <c r="E50" s="307">
        <f>'D) Ecrêtage'!C50</f>
        <v>8120.887333333334</v>
      </c>
      <c r="F50" s="311">
        <f>'E) PCS'!G56</f>
        <v>107990.28798436301</v>
      </c>
      <c r="G50" s="308">
        <f>'H) Péréquation directe'!I60</f>
        <v>62317.820998809169</v>
      </c>
      <c r="H50" s="311" t="e">
        <f>+'I) Dépenses thématiques'!S50</f>
        <v>#DIV/0!</v>
      </c>
      <c r="I50" s="308">
        <f>'K) Plafonnement aide'!J50</f>
        <v>0</v>
      </c>
      <c r="J50" s="311">
        <f>'J) Plafonnement effort'!J50</f>
        <v>0</v>
      </c>
      <c r="K50" s="308">
        <f>'L) Plafonnement taux'!Q51</f>
        <v>0</v>
      </c>
      <c r="L50" s="306" t="e">
        <f t="shared" si="0"/>
        <v>#DIV/0!</v>
      </c>
      <c r="M50" s="231">
        <f>'M) Police'!N50</f>
        <v>24613.106093474587</v>
      </c>
      <c r="N50" s="231" t="e">
        <f t="shared" si="1"/>
        <v>#DIV/0!</v>
      </c>
      <c r="O50" s="311" t="e">
        <f t="shared" si="2"/>
        <v>#DIV/0!</v>
      </c>
      <c r="P50" s="313"/>
    </row>
    <row r="51" spans="1:16" s="153" customFormat="1" x14ac:dyDescent="0.25">
      <c r="A51" s="150">
        <f>'B) D RI'!A52</f>
        <v>5482</v>
      </c>
      <c r="B51" s="151" t="str">
        <f>'B) D RI'!B52</f>
        <v>Eclépens</v>
      </c>
      <c r="C51" s="309">
        <f>'B) D RI'!S52</f>
        <v>46</v>
      </c>
      <c r="D51" s="152">
        <f>'B) D RI'!AA52</f>
        <v>1198</v>
      </c>
      <c r="E51" s="307">
        <f>'D) Ecrêtage'!C51</f>
        <v>54196.336086956522</v>
      </c>
      <c r="F51" s="311">
        <f>'E) PCS'!G57</f>
        <v>857155.98498568498</v>
      </c>
      <c r="G51" s="308">
        <f>'H) Péréquation directe'!I61</f>
        <v>793368.99511262903</v>
      </c>
      <c r="H51" s="311" t="e">
        <f>+'I) Dépenses thématiques'!S51</f>
        <v>#DIV/0!</v>
      </c>
      <c r="I51" s="308">
        <f>'K) Plafonnement aide'!J51</f>
        <v>0</v>
      </c>
      <c r="J51" s="311">
        <f>'J) Plafonnement effort'!J51</f>
        <v>0</v>
      </c>
      <c r="K51" s="308">
        <f>'L) Plafonnement taux'!Q52</f>
        <v>0</v>
      </c>
      <c r="L51" s="306" t="e">
        <f t="shared" si="0"/>
        <v>#DIV/0!</v>
      </c>
      <c r="M51" s="231">
        <f>'M) Police'!N51</f>
        <v>149973.62103629083</v>
      </c>
      <c r="N51" s="231" t="e">
        <f t="shared" si="1"/>
        <v>#DIV/0!</v>
      </c>
      <c r="O51" s="311" t="e">
        <f t="shared" si="2"/>
        <v>#DIV/0!</v>
      </c>
      <c r="P51" s="313"/>
    </row>
    <row r="52" spans="1:16" s="153" customFormat="1" x14ac:dyDescent="0.25">
      <c r="A52" s="150">
        <f>'B) D RI'!A53</f>
        <v>5483</v>
      </c>
      <c r="B52" s="151" t="str">
        <f>'B) D RI'!B53</f>
        <v>Ferreyres</v>
      </c>
      <c r="C52" s="309">
        <f>'B) D RI'!S53</f>
        <v>76</v>
      </c>
      <c r="D52" s="152">
        <f>'B) D RI'!AA53</f>
        <v>319</v>
      </c>
      <c r="E52" s="307">
        <f>'D) Ecrêtage'!C52</f>
        <v>10537.122500000001</v>
      </c>
      <c r="F52" s="311">
        <f>'E) PCS'!G58</f>
        <v>135031.00674720484</v>
      </c>
      <c r="G52" s="308">
        <f>'H) Péréquation directe'!I62</f>
        <v>45064.153554956574</v>
      </c>
      <c r="H52" s="311" t="e">
        <f>+'I) Dépenses thématiques'!S52</f>
        <v>#DIV/0!</v>
      </c>
      <c r="I52" s="308">
        <f>'K) Plafonnement aide'!J52</f>
        <v>0</v>
      </c>
      <c r="J52" s="311">
        <f>'J) Plafonnement effort'!J52</f>
        <v>0</v>
      </c>
      <c r="K52" s="308">
        <f>'L) Plafonnement taux'!Q53</f>
        <v>0</v>
      </c>
      <c r="L52" s="306" t="e">
        <f t="shared" si="0"/>
        <v>#DIV/0!</v>
      </c>
      <c r="M52" s="231">
        <f>'M) Police'!N52</f>
        <v>31862.535555940492</v>
      </c>
      <c r="N52" s="231" t="e">
        <f t="shared" si="1"/>
        <v>#DIV/0!</v>
      </c>
      <c r="O52" s="311" t="e">
        <f t="shared" si="2"/>
        <v>#DIV/0!</v>
      </c>
      <c r="P52" s="313"/>
    </row>
    <row r="53" spans="1:16" s="153" customFormat="1" x14ac:dyDescent="0.25">
      <c r="A53" s="150">
        <f>'B) D RI'!A54</f>
        <v>5484</v>
      </c>
      <c r="B53" s="151" t="str">
        <f>'B) D RI'!B54</f>
        <v>Gollion</v>
      </c>
      <c r="C53" s="309">
        <f>'B) D RI'!S54</f>
        <v>74</v>
      </c>
      <c r="D53" s="152">
        <f>'B) D RI'!AA54</f>
        <v>1018</v>
      </c>
      <c r="E53" s="307">
        <f>'D) Ecrêtage'!C53</f>
        <v>35950.666081081094</v>
      </c>
      <c r="F53" s="311">
        <f>'E) PCS'!G59</f>
        <v>567466.09357599984</v>
      </c>
      <c r="G53" s="308">
        <f>'H) Péréquation directe'!I63</f>
        <v>253160.72018499556</v>
      </c>
      <c r="H53" s="311" t="e">
        <f>+'I) Dépenses thématiques'!S53</f>
        <v>#DIV/0!</v>
      </c>
      <c r="I53" s="308">
        <f>'K) Plafonnement aide'!J53</f>
        <v>0</v>
      </c>
      <c r="J53" s="311">
        <f>'J) Plafonnement effort'!J53</f>
        <v>0</v>
      </c>
      <c r="K53" s="308">
        <f>'L) Plafonnement taux'!Q54</f>
        <v>0</v>
      </c>
      <c r="L53" s="306" t="e">
        <f t="shared" si="0"/>
        <v>#DIV/0!</v>
      </c>
      <c r="M53" s="231">
        <f>'M) Police'!N53</f>
        <v>108298.11527202177</v>
      </c>
      <c r="N53" s="231" t="e">
        <f t="shared" si="1"/>
        <v>#DIV/0!</v>
      </c>
      <c r="O53" s="311" t="e">
        <f t="shared" si="2"/>
        <v>#DIV/0!</v>
      </c>
      <c r="P53" s="313"/>
    </row>
    <row r="54" spans="1:16" s="153" customFormat="1" x14ac:dyDescent="0.25">
      <c r="A54" s="150">
        <f>'B) D RI'!A55</f>
        <v>5485</v>
      </c>
      <c r="B54" s="151" t="str">
        <f>'B) D RI'!B55</f>
        <v>Grancy</v>
      </c>
      <c r="C54" s="309">
        <f>'B) D RI'!S55</f>
        <v>70</v>
      </c>
      <c r="D54" s="152">
        <f>'B) D RI'!AA55</f>
        <v>445</v>
      </c>
      <c r="E54" s="307">
        <f>'D) Ecrêtage'!C54</f>
        <v>24488.659571428572</v>
      </c>
      <c r="F54" s="311">
        <f>'E) PCS'!G60</f>
        <v>414874.36539675354</v>
      </c>
      <c r="G54" s="308">
        <f>'H) Péréquation directe'!I64</f>
        <v>405177.54081634973</v>
      </c>
      <c r="H54" s="311" t="e">
        <f>+'I) Dépenses thématiques'!S54</f>
        <v>#DIV/0!</v>
      </c>
      <c r="I54" s="308">
        <f>'K) Plafonnement aide'!J54</f>
        <v>0</v>
      </c>
      <c r="J54" s="311">
        <f>'J) Plafonnement effort'!J54</f>
        <v>0</v>
      </c>
      <c r="K54" s="308">
        <f>'L) Plafonnement taux'!Q55</f>
        <v>0</v>
      </c>
      <c r="L54" s="306" t="e">
        <f t="shared" si="0"/>
        <v>#DIV/0!</v>
      </c>
      <c r="M54" s="231">
        <f>'M) Police'!N54</f>
        <v>68377.59717971347</v>
      </c>
      <c r="N54" s="231" t="e">
        <f t="shared" si="1"/>
        <v>#DIV/0!</v>
      </c>
      <c r="O54" s="311" t="e">
        <f t="shared" si="2"/>
        <v>#DIV/0!</v>
      </c>
      <c r="P54" s="313"/>
    </row>
    <row r="55" spans="1:16" s="153" customFormat="1" x14ac:dyDescent="0.25">
      <c r="A55" s="150">
        <f>'B) D RI'!A56</f>
        <v>5486</v>
      </c>
      <c r="B55" s="151" t="str">
        <f>'B) D RI'!B56</f>
        <v>L'Isle</v>
      </c>
      <c r="C55" s="309">
        <f>'B) D RI'!S56</f>
        <v>75</v>
      </c>
      <c r="D55" s="152">
        <f>'B) D RI'!AA56</f>
        <v>1079</v>
      </c>
      <c r="E55" s="307">
        <f>'D) Ecrêtage'!C55</f>
        <v>29230.387866666671</v>
      </c>
      <c r="F55" s="311">
        <f>'E) PCS'!G61</f>
        <v>533594.42406475334</v>
      </c>
      <c r="G55" s="308">
        <f>'H) Péréquation directe'!I65</f>
        <v>-120027.93679098634</v>
      </c>
      <c r="H55" s="311" t="e">
        <f>+'I) Dépenses thématiques'!S55</f>
        <v>#DIV/0!</v>
      </c>
      <c r="I55" s="308">
        <f>'K) Plafonnement aide'!J55</f>
        <v>0</v>
      </c>
      <c r="J55" s="311">
        <f>'J) Plafonnement effort'!J55</f>
        <v>0</v>
      </c>
      <c r="K55" s="308">
        <f>'L) Plafonnement taux'!Q56</f>
        <v>0</v>
      </c>
      <c r="L55" s="306" t="e">
        <f t="shared" si="0"/>
        <v>#DIV/0!</v>
      </c>
      <c r="M55" s="231">
        <f>'M) Police'!N55</f>
        <v>86896.447242515991</v>
      </c>
      <c r="N55" s="231" t="e">
        <f t="shared" si="1"/>
        <v>#DIV/0!</v>
      </c>
      <c r="O55" s="311" t="e">
        <f t="shared" si="2"/>
        <v>#DIV/0!</v>
      </c>
      <c r="P55" s="313"/>
    </row>
    <row r="56" spans="1:16" s="153" customFormat="1" x14ac:dyDescent="0.25">
      <c r="A56" s="150">
        <f>'B) D RI'!A57</f>
        <v>5487</v>
      </c>
      <c r="B56" s="151" t="str">
        <f>'B) D RI'!B57</f>
        <v>Lussery-Villars</v>
      </c>
      <c r="C56" s="309">
        <f>'B) D RI'!S57</f>
        <v>75</v>
      </c>
      <c r="D56" s="152">
        <f>'B) D RI'!AA57</f>
        <v>475</v>
      </c>
      <c r="E56" s="307">
        <f>'D) Ecrêtage'!C56</f>
        <v>16622.441866666668</v>
      </c>
      <c r="F56" s="311">
        <f>'E) PCS'!G62</f>
        <v>220227.27928207835</v>
      </c>
      <c r="G56" s="308">
        <f>'H) Péréquation directe'!I66</f>
        <v>110017.7936195994</v>
      </c>
      <c r="H56" s="311" t="e">
        <f>+'I) Dépenses thématiques'!S56</f>
        <v>#DIV/0!</v>
      </c>
      <c r="I56" s="308">
        <f>'K) Plafonnement aide'!J56</f>
        <v>0</v>
      </c>
      <c r="J56" s="311">
        <f>'J) Plafonnement effort'!J56</f>
        <v>0</v>
      </c>
      <c r="K56" s="308">
        <f>'L) Plafonnement taux'!Q57</f>
        <v>0</v>
      </c>
      <c r="L56" s="306" t="e">
        <f t="shared" si="0"/>
        <v>#DIV/0!</v>
      </c>
      <c r="M56" s="231">
        <f>'M) Police'!N56</f>
        <v>50361.109975824162</v>
      </c>
      <c r="N56" s="231" t="e">
        <f t="shared" si="1"/>
        <v>#DIV/0!</v>
      </c>
      <c r="O56" s="311" t="e">
        <f t="shared" si="2"/>
        <v>#DIV/0!</v>
      </c>
      <c r="P56" s="313"/>
    </row>
    <row r="57" spans="1:16" s="153" customFormat="1" x14ac:dyDescent="0.25">
      <c r="A57" s="150">
        <f>'B) D RI'!A58</f>
        <v>5488</v>
      </c>
      <c r="B57" s="151" t="str">
        <f>'B) D RI'!B58</f>
        <v>Mauraz</v>
      </c>
      <c r="C57" s="309">
        <f>'B) D RI'!S58</f>
        <v>77</v>
      </c>
      <c r="D57" s="152">
        <f>'B) D RI'!AA58</f>
        <v>60</v>
      </c>
      <c r="E57" s="307">
        <f>'D) Ecrêtage'!C57</f>
        <v>1729.1857142857141</v>
      </c>
      <c r="F57" s="311">
        <f>'E) PCS'!G63</f>
        <v>21084.543508949853</v>
      </c>
      <c r="G57" s="308">
        <f>'H) Péréquation directe'!I67</f>
        <v>-2832.0710453889515</v>
      </c>
      <c r="H57" s="311" t="e">
        <f>+'I) Dépenses thématiques'!S57</f>
        <v>#DIV/0!</v>
      </c>
      <c r="I57" s="308">
        <f>'K) Plafonnement aide'!J57</f>
        <v>0</v>
      </c>
      <c r="J57" s="311">
        <f>'J) Plafonnement effort'!J57</f>
        <v>0</v>
      </c>
      <c r="K57" s="308">
        <f>'L) Plafonnement taux'!Q58</f>
        <v>0</v>
      </c>
      <c r="L57" s="306" t="e">
        <f t="shared" si="0"/>
        <v>#DIV/0!</v>
      </c>
      <c r="M57" s="231">
        <f>'M) Police'!N57</f>
        <v>5253.1832805950289</v>
      </c>
      <c r="N57" s="231" t="e">
        <f t="shared" si="1"/>
        <v>#DIV/0!</v>
      </c>
      <c r="O57" s="311" t="e">
        <f t="shared" si="2"/>
        <v>#DIV/0!</v>
      </c>
      <c r="P57" s="313"/>
    </row>
    <row r="58" spans="1:16" s="153" customFormat="1" x14ac:dyDescent="0.25">
      <c r="A58" s="150">
        <f>'B) D RI'!A59</f>
        <v>5489</v>
      </c>
      <c r="B58" s="151" t="str">
        <f>'B) D RI'!B59</f>
        <v>Mex</v>
      </c>
      <c r="C58" s="309">
        <f>'B) D RI'!S59</f>
        <v>59.5</v>
      </c>
      <c r="D58" s="152">
        <f>'B) D RI'!AA59</f>
        <v>795</v>
      </c>
      <c r="E58" s="307">
        <f>'D) Ecrêtage'!C58</f>
        <v>50879.929915966379</v>
      </c>
      <c r="F58" s="311">
        <f>'E) PCS'!G64</f>
        <v>987263.71134535875</v>
      </c>
      <c r="G58" s="308">
        <f>'H) Péréquation directe'!I68</f>
        <v>857998.87560887565</v>
      </c>
      <c r="H58" s="311" t="e">
        <f>+'I) Dépenses thématiques'!S58</f>
        <v>#DIV/0!</v>
      </c>
      <c r="I58" s="308">
        <f>'K) Plafonnement aide'!J58</f>
        <v>0</v>
      </c>
      <c r="J58" s="311">
        <f>'J) Plafonnement effort'!J58</f>
        <v>0</v>
      </c>
      <c r="K58" s="308">
        <f>'L) Plafonnement taux'!Q59</f>
        <v>0</v>
      </c>
      <c r="L58" s="306" t="e">
        <f t="shared" si="0"/>
        <v>#DIV/0!</v>
      </c>
      <c r="M58" s="231">
        <f>'M) Police'!N58</f>
        <v>130478.06997593265</v>
      </c>
      <c r="N58" s="231" t="e">
        <f t="shared" si="1"/>
        <v>#DIV/0!</v>
      </c>
      <c r="O58" s="311" t="e">
        <f t="shared" si="2"/>
        <v>#DIV/0!</v>
      </c>
      <c r="P58" s="313"/>
    </row>
    <row r="59" spans="1:16" s="153" customFormat="1" x14ac:dyDescent="0.25">
      <c r="A59" s="150">
        <f>'B) D RI'!A60</f>
        <v>5490</v>
      </c>
      <c r="B59" s="151" t="str">
        <f>'B) D RI'!B60</f>
        <v>Moiry</v>
      </c>
      <c r="C59" s="309">
        <f>'B) D RI'!S60</f>
        <v>77.5</v>
      </c>
      <c r="D59" s="152">
        <f>'B) D RI'!AA60</f>
        <v>301</v>
      </c>
      <c r="E59" s="307">
        <f>'D) Ecrêtage'!C59</f>
        <v>9056.9</v>
      </c>
      <c r="F59" s="311">
        <f>'E) PCS'!G65</f>
        <v>129800.98051836583</v>
      </c>
      <c r="G59" s="308">
        <f>'H) Péréquation directe'!I69</f>
        <v>333.86672189060482</v>
      </c>
      <c r="H59" s="311" t="e">
        <f>+'I) Dépenses thématiques'!S59</f>
        <v>#DIV/0!</v>
      </c>
      <c r="I59" s="308">
        <f>'K) Plafonnement aide'!J59</f>
        <v>0</v>
      </c>
      <c r="J59" s="311">
        <f>'J) Plafonnement effort'!J59</f>
        <v>0</v>
      </c>
      <c r="K59" s="308">
        <f>'L) Plafonnement taux'!Q60</f>
        <v>0</v>
      </c>
      <c r="L59" s="306" t="e">
        <f t="shared" si="0"/>
        <v>#DIV/0!</v>
      </c>
      <c r="M59" s="231">
        <f>'M) Police'!N59</f>
        <v>27458.78645890495</v>
      </c>
      <c r="N59" s="231" t="e">
        <f t="shared" si="1"/>
        <v>#DIV/0!</v>
      </c>
      <c r="O59" s="311" t="e">
        <f t="shared" si="2"/>
        <v>#DIV/0!</v>
      </c>
      <c r="P59" s="313"/>
    </row>
    <row r="60" spans="1:16" s="153" customFormat="1" x14ac:dyDescent="0.25">
      <c r="A60" s="150">
        <f>'B) D RI'!A61</f>
        <v>5491</v>
      </c>
      <c r="B60" s="151" t="str">
        <f>'B) D RI'!B61</f>
        <v>Mont-la-Ville</v>
      </c>
      <c r="C60" s="309">
        <f>'B) D RI'!S61</f>
        <v>76</v>
      </c>
      <c r="D60" s="152">
        <f>'B) D RI'!AA61</f>
        <v>508</v>
      </c>
      <c r="E60" s="307">
        <f>'D) Ecrêtage'!C60</f>
        <v>13648.930789473685</v>
      </c>
      <c r="F60" s="311">
        <f>'E) PCS'!G66</f>
        <v>190231.97274676128</v>
      </c>
      <c r="G60" s="308">
        <f>'H) Péréquation directe'!I70</f>
        <v>-59430.869797217514</v>
      </c>
      <c r="H60" s="311" t="e">
        <f>+'I) Dépenses thématiques'!S60</f>
        <v>#DIV/0!</v>
      </c>
      <c r="I60" s="308">
        <f>'K) Plafonnement aide'!J60</f>
        <v>0</v>
      </c>
      <c r="J60" s="311">
        <f>'J) Plafonnement effort'!J60</f>
        <v>0</v>
      </c>
      <c r="K60" s="308">
        <f>'L) Plafonnement taux'!Q61</f>
        <v>0</v>
      </c>
      <c r="L60" s="306" t="e">
        <f t="shared" si="0"/>
        <v>#DIV/0!</v>
      </c>
      <c r="M60" s="231">
        <f>'M) Police'!N60</f>
        <v>40801.232957965636</v>
      </c>
      <c r="N60" s="231" t="e">
        <f t="shared" si="1"/>
        <v>#DIV/0!</v>
      </c>
      <c r="O60" s="311" t="e">
        <f t="shared" si="2"/>
        <v>#DIV/0!</v>
      </c>
      <c r="P60" s="313"/>
    </row>
    <row r="61" spans="1:16" s="153" customFormat="1" x14ac:dyDescent="0.25">
      <c r="A61" s="150">
        <f>'B) D RI'!A62</f>
        <v>5492</v>
      </c>
      <c r="B61" s="151" t="str">
        <f>'B) D RI'!B62</f>
        <v>Montricher</v>
      </c>
      <c r="C61" s="309">
        <f>'B) D RI'!S62</f>
        <v>64</v>
      </c>
      <c r="D61" s="152">
        <f>'B) D RI'!AA62</f>
        <v>981</v>
      </c>
      <c r="E61" s="307">
        <f>'D) Ecrêtage'!C61</f>
        <v>175268.45531250001</v>
      </c>
      <c r="F61" s="311">
        <f>'E) PCS'!G67</f>
        <v>6130084.2158043552</v>
      </c>
      <c r="G61" s="308">
        <f>'H) Péréquation directe'!I71</f>
        <v>3174843.1639975682</v>
      </c>
      <c r="H61" s="311" t="e">
        <f>+'I) Dépenses thématiques'!S61</f>
        <v>#DIV/0!</v>
      </c>
      <c r="I61" s="308">
        <f>'K) Plafonnement aide'!J61</f>
        <v>0</v>
      </c>
      <c r="J61" s="311">
        <f>'J) Plafonnement effort'!J61</f>
        <v>-680243.88480192272</v>
      </c>
      <c r="K61" s="308">
        <f>'L) Plafonnement taux'!Q62</f>
        <v>0</v>
      </c>
      <c r="L61" s="306" t="e">
        <f t="shared" ref="L61:L115" si="3">F61+G61+H61+I61+J61+K61</f>
        <v>#DIV/0!</v>
      </c>
      <c r="M61" s="231">
        <f>'M) Police'!N61</f>
        <v>292258.94177720207</v>
      </c>
      <c r="N61" s="231" t="e">
        <f t="shared" si="1"/>
        <v>#DIV/0!</v>
      </c>
      <c r="O61" s="311" t="e">
        <f t="shared" si="2"/>
        <v>#DIV/0!</v>
      </c>
      <c r="P61" s="313"/>
    </row>
    <row r="62" spans="1:16" s="153" customFormat="1" x14ac:dyDescent="0.25">
      <c r="A62" s="150">
        <f>'B) D RI'!A63</f>
        <v>5493</v>
      </c>
      <c r="B62" s="151" t="str">
        <f>'B) D RI'!B63</f>
        <v>Orny</v>
      </c>
      <c r="C62" s="309">
        <f>'B) D RI'!S63</f>
        <v>73</v>
      </c>
      <c r="D62" s="152">
        <f>'B) D RI'!AA63</f>
        <v>480</v>
      </c>
      <c r="E62" s="307">
        <f>'D) Ecrêtage'!C62</f>
        <v>13489.946448893574</v>
      </c>
      <c r="F62" s="311">
        <f>'E) PCS'!G68</f>
        <v>260302.19816327264</v>
      </c>
      <c r="G62" s="308">
        <f>'H) Péréquation directe'!I72</f>
        <v>-13867.903626497253</v>
      </c>
      <c r="H62" s="311" t="e">
        <f>+'I) Dépenses thématiques'!S62</f>
        <v>#DIV/0!</v>
      </c>
      <c r="I62" s="308">
        <f>'K) Plafonnement aide'!J62</f>
        <v>0</v>
      </c>
      <c r="J62" s="311">
        <f>'J) Plafonnement effort'!J62</f>
        <v>0</v>
      </c>
      <c r="K62" s="308">
        <f>'L) Plafonnement taux'!Q63</f>
        <v>0</v>
      </c>
      <c r="L62" s="306" t="e">
        <f t="shared" si="3"/>
        <v>#DIV/0!</v>
      </c>
      <c r="M62" s="231">
        <f>'M) Police'!N62</f>
        <v>40399.899455080136</v>
      </c>
      <c r="N62" s="231" t="e">
        <f t="shared" si="1"/>
        <v>#DIV/0!</v>
      </c>
      <c r="O62" s="311" t="e">
        <f t="shared" si="2"/>
        <v>#DIV/0!</v>
      </c>
      <c r="P62" s="313"/>
    </row>
    <row r="63" spans="1:16" s="153" customFormat="1" x14ac:dyDescent="0.25">
      <c r="A63" s="150">
        <f>'B) D RI'!A64</f>
        <v>5494</v>
      </c>
      <c r="B63" s="151" t="str">
        <f>'B) D RI'!B64</f>
        <v>Pampigny</v>
      </c>
      <c r="C63" s="309">
        <f>'B) D RI'!S64</f>
        <v>73</v>
      </c>
      <c r="D63" s="152">
        <f>'B) D RI'!AA64</f>
        <v>1185</v>
      </c>
      <c r="E63" s="307">
        <f>'D) Ecrêtage'!C63</f>
        <v>43210.558962818002</v>
      </c>
      <c r="F63" s="311">
        <f>'E) PCS'!G69</f>
        <v>778908.58137604455</v>
      </c>
      <c r="G63" s="308">
        <f>'H) Péréquation directe'!I73</f>
        <v>321627.85371014057</v>
      </c>
      <c r="H63" s="311" t="e">
        <f>+'I) Dépenses thématiques'!S63</f>
        <v>#DIV/0!</v>
      </c>
      <c r="I63" s="308">
        <f>'K) Plafonnement aide'!J63</f>
        <v>0</v>
      </c>
      <c r="J63" s="311">
        <f>'J) Plafonnement effort'!J63</f>
        <v>0</v>
      </c>
      <c r="K63" s="308">
        <f>'L) Plafonnement taux'!Q64</f>
        <v>0</v>
      </c>
      <c r="L63" s="306" t="e">
        <f t="shared" si="3"/>
        <v>#DIV/0!</v>
      </c>
      <c r="M63" s="231">
        <f>'M) Police'!N63</f>
        <v>130410.50023546832</v>
      </c>
      <c r="N63" s="231" t="e">
        <f t="shared" si="1"/>
        <v>#DIV/0!</v>
      </c>
      <c r="O63" s="311" t="e">
        <f t="shared" si="2"/>
        <v>#DIV/0!</v>
      </c>
      <c r="P63" s="313"/>
    </row>
    <row r="64" spans="1:16" s="153" customFormat="1" x14ac:dyDescent="0.25">
      <c r="A64" s="150">
        <f>'B) D RI'!A65</f>
        <v>5495</v>
      </c>
      <c r="B64" s="151" t="str">
        <f>'B) D RI'!B65</f>
        <v>Penthalaz</v>
      </c>
      <c r="C64" s="309">
        <f>'B) D RI'!S65</f>
        <v>74</v>
      </c>
      <c r="D64" s="152">
        <f>'B) D RI'!AA65</f>
        <v>3210</v>
      </c>
      <c r="E64" s="307">
        <f>'D) Ecrêtage'!C64</f>
        <v>95314.520135135113</v>
      </c>
      <c r="F64" s="311">
        <f>'E) PCS'!G70</f>
        <v>1494557.7996727224</v>
      </c>
      <c r="G64" s="308">
        <f>'H) Péréquation directe'!I74</f>
        <v>-451164.14538586698</v>
      </c>
      <c r="H64" s="311" t="e">
        <f>+'I) Dépenses thématiques'!S64</f>
        <v>#DIV/0!</v>
      </c>
      <c r="I64" s="308">
        <f>'K) Plafonnement aide'!J64</f>
        <v>0</v>
      </c>
      <c r="J64" s="311">
        <f>'J) Plafonnement effort'!J64</f>
        <v>0</v>
      </c>
      <c r="K64" s="308">
        <f>'L) Plafonnement taux'!Q65</f>
        <v>0</v>
      </c>
      <c r="L64" s="306" t="e">
        <f t="shared" si="3"/>
        <v>#DIV/0!</v>
      </c>
      <c r="M64" s="231">
        <f>'M) Police'!N64</f>
        <v>286201.8745058605</v>
      </c>
      <c r="N64" s="231" t="e">
        <f t="shared" si="1"/>
        <v>#DIV/0!</v>
      </c>
      <c r="O64" s="311" t="e">
        <f t="shared" si="2"/>
        <v>#DIV/0!</v>
      </c>
      <c r="P64" s="313"/>
    </row>
    <row r="65" spans="1:16" s="153" customFormat="1" x14ac:dyDescent="0.25">
      <c r="A65" s="150">
        <f>'B) D RI'!A66</f>
        <v>5496</v>
      </c>
      <c r="B65" s="151" t="str">
        <f>'B) D RI'!B66</f>
        <v>Penthaz</v>
      </c>
      <c r="C65" s="309">
        <f>'B) D RI'!S66</f>
        <v>69.5</v>
      </c>
      <c r="D65" s="152">
        <f>'B) D RI'!AA66</f>
        <v>1890</v>
      </c>
      <c r="E65" s="307">
        <f>'D) Ecrêtage'!C65</f>
        <v>56267.911654676267</v>
      </c>
      <c r="F65" s="311">
        <f>'E) PCS'!G71</f>
        <v>931043.42823603004</v>
      </c>
      <c r="G65" s="308">
        <f>'H) Péréquation directe'!I75</f>
        <v>-57763.654938026099</v>
      </c>
      <c r="H65" s="311" t="e">
        <f>+'I) Dépenses thématiques'!S65</f>
        <v>#DIV/0!</v>
      </c>
      <c r="I65" s="308">
        <f>'K) Plafonnement aide'!J65</f>
        <v>0</v>
      </c>
      <c r="J65" s="311">
        <f>'J) Plafonnement effort'!J65</f>
        <v>0</v>
      </c>
      <c r="K65" s="308">
        <f>'L) Plafonnement taux'!Q66</f>
        <v>0</v>
      </c>
      <c r="L65" s="306" t="e">
        <f t="shared" si="3"/>
        <v>#DIV/0!</v>
      </c>
      <c r="M65" s="231">
        <f>'M) Police'!N65</f>
        <v>167615.04710407578</v>
      </c>
      <c r="N65" s="231" t="e">
        <f t="shared" si="1"/>
        <v>#DIV/0!</v>
      </c>
      <c r="O65" s="311" t="e">
        <f t="shared" si="2"/>
        <v>#DIV/0!</v>
      </c>
      <c r="P65" s="313"/>
    </row>
    <row r="66" spans="1:16" s="153" customFormat="1" x14ac:dyDescent="0.25">
      <c r="A66" s="150">
        <f>'B) D RI'!A67</f>
        <v>5497</v>
      </c>
      <c r="B66" s="151" t="str">
        <f>'B) D RI'!B67</f>
        <v>Pompaples</v>
      </c>
      <c r="C66" s="309">
        <f>'B) D RI'!S67</f>
        <v>66</v>
      </c>
      <c r="D66" s="152">
        <f>'B) D RI'!AA67</f>
        <v>849</v>
      </c>
      <c r="E66" s="307">
        <f>'D) Ecrêtage'!C66</f>
        <v>22253.499393939397</v>
      </c>
      <c r="F66" s="311">
        <f>'E) PCS'!G72</f>
        <v>360282.52429135359</v>
      </c>
      <c r="G66" s="308">
        <f>'H) Péréquation directe'!I76</f>
        <v>-15636.212464349868</v>
      </c>
      <c r="H66" s="311" t="e">
        <f>+'I) Dépenses thématiques'!S66</f>
        <v>#DIV/0!</v>
      </c>
      <c r="I66" s="308">
        <f>'K) Plafonnement aide'!J66</f>
        <v>0</v>
      </c>
      <c r="J66" s="311">
        <f>'J) Plafonnement effort'!J66</f>
        <v>0</v>
      </c>
      <c r="K66" s="308">
        <f>'L) Plafonnement taux'!Q67</f>
        <v>0</v>
      </c>
      <c r="L66" s="306" t="e">
        <f t="shared" si="3"/>
        <v>#DIV/0!</v>
      </c>
      <c r="M66" s="231">
        <f>'M) Police'!N66</f>
        <v>66314.423200564925</v>
      </c>
      <c r="N66" s="231" t="e">
        <f t="shared" si="1"/>
        <v>#DIV/0!</v>
      </c>
      <c r="O66" s="311" t="e">
        <f t="shared" si="2"/>
        <v>#DIV/0!</v>
      </c>
      <c r="P66" s="313"/>
    </row>
    <row r="67" spans="1:16" s="153" customFormat="1" x14ac:dyDescent="0.25">
      <c r="A67" s="150">
        <f>'B) D RI'!A68</f>
        <v>5498</v>
      </c>
      <c r="B67" s="151" t="str">
        <f>'B) D RI'!B68</f>
        <v>La Sarraz</v>
      </c>
      <c r="C67" s="309">
        <f>'B) D RI'!S68</f>
        <v>66</v>
      </c>
      <c r="D67" s="152">
        <f>'B) D RI'!AA68</f>
        <v>2620</v>
      </c>
      <c r="E67" s="307">
        <f>'D) Ecrêtage'!C67</f>
        <v>74682.149090909108</v>
      </c>
      <c r="F67" s="311">
        <f>'E) PCS'!G73</f>
        <v>1057513.3740688078</v>
      </c>
      <c r="G67" s="308">
        <f>'H) Péréquation directe'!I77</f>
        <v>-194381.23826373438</v>
      </c>
      <c r="H67" s="311" t="e">
        <f>+'I) Dépenses thématiques'!S67</f>
        <v>#DIV/0!</v>
      </c>
      <c r="I67" s="308">
        <f>'K) Plafonnement aide'!J67</f>
        <v>0</v>
      </c>
      <c r="J67" s="311">
        <f>'J) Plafonnement effort'!J67</f>
        <v>0</v>
      </c>
      <c r="K67" s="308">
        <f>'L) Plafonnement taux'!Q68</f>
        <v>0</v>
      </c>
      <c r="L67" s="306" t="e">
        <f t="shared" si="3"/>
        <v>#DIV/0!</v>
      </c>
      <c r="M67" s="231">
        <f>'M) Police'!N67</f>
        <v>222918.31078575942</v>
      </c>
      <c r="N67" s="231" t="e">
        <f t="shared" si="1"/>
        <v>#DIV/0!</v>
      </c>
      <c r="O67" s="311" t="e">
        <f t="shared" si="2"/>
        <v>#DIV/0!</v>
      </c>
      <c r="P67" s="313"/>
    </row>
    <row r="68" spans="1:16" s="153" customFormat="1" x14ac:dyDescent="0.25">
      <c r="A68" s="150">
        <f>'B) D RI'!A69</f>
        <v>5499</v>
      </c>
      <c r="B68" s="151" t="str">
        <f>'B) D RI'!B69</f>
        <v>Senarclens</v>
      </c>
      <c r="C68" s="309">
        <f>'B) D RI'!S69</f>
        <v>68.5</v>
      </c>
      <c r="D68" s="152">
        <f>'B) D RI'!AA69</f>
        <v>491</v>
      </c>
      <c r="E68" s="307">
        <f>'D) Ecrêtage'!C68</f>
        <v>18238.904233576643</v>
      </c>
      <c r="F68" s="311">
        <f>'E) PCS'!G74</f>
        <v>447068.69907048863</v>
      </c>
      <c r="G68" s="308">
        <f>'H) Péréquation directe'!I78</f>
        <v>178001.35767436083</v>
      </c>
      <c r="H68" s="311" t="e">
        <f>+'I) Dépenses thématiques'!S68</f>
        <v>#DIV/0!</v>
      </c>
      <c r="I68" s="308">
        <f>'K) Plafonnement aide'!J68</f>
        <v>0</v>
      </c>
      <c r="J68" s="311">
        <f>'J) Plafonnement effort'!J68</f>
        <v>0</v>
      </c>
      <c r="K68" s="308">
        <f>'L) Plafonnement taux'!Q69</f>
        <v>0</v>
      </c>
      <c r="L68" s="306" t="e">
        <f t="shared" si="3"/>
        <v>#DIV/0!</v>
      </c>
      <c r="M68" s="231">
        <f>'M) Police'!N68</f>
        <v>54889.766984720482</v>
      </c>
      <c r="N68" s="231" t="e">
        <f t="shared" si="1"/>
        <v>#DIV/0!</v>
      </c>
      <c r="O68" s="311" t="e">
        <f t="shared" si="2"/>
        <v>#DIV/0!</v>
      </c>
      <c r="P68" s="313"/>
    </row>
    <row r="69" spans="1:16" s="153" customFormat="1" x14ac:dyDescent="0.25">
      <c r="A69" s="150">
        <f>'B) D RI'!A70</f>
        <v>5500</v>
      </c>
      <c r="B69" s="151" t="str">
        <f>'B) D RI'!B70</f>
        <v>Sévery</v>
      </c>
      <c r="C69" s="309">
        <f>'B) D RI'!S70</f>
        <v>73</v>
      </c>
      <c r="D69" s="152">
        <f>'B) D RI'!AA70</f>
        <v>220</v>
      </c>
      <c r="E69" s="307">
        <f>'D) Ecrêtage'!C69</f>
        <v>7230.3632420091335</v>
      </c>
      <c r="F69" s="311">
        <f>'E) PCS'!G75</f>
        <v>142418.95796230045</v>
      </c>
      <c r="G69" s="308">
        <f>'H) Péréquation directe'!I79</f>
        <v>35660.644786674937</v>
      </c>
      <c r="H69" s="311" t="e">
        <f>+'I) Dépenses thématiques'!S69</f>
        <v>#DIV/0!</v>
      </c>
      <c r="I69" s="308">
        <f>'K) Plafonnement aide'!J69</f>
        <v>0</v>
      </c>
      <c r="J69" s="311">
        <f>'J) Plafonnement effort'!J69</f>
        <v>0</v>
      </c>
      <c r="K69" s="308">
        <f>'L) Plafonnement taux'!Q70</f>
        <v>0</v>
      </c>
      <c r="L69" s="306" t="e">
        <f t="shared" si="3"/>
        <v>#DIV/0!</v>
      </c>
      <c r="M69" s="231">
        <f>'M) Police'!N69</f>
        <v>21727.962849858755</v>
      </c>
      <c r="N69" s="231" t="e">
        <f t="shared" si="1"/>
        <v>#DIV/0!</v>
      </c>
      <c r="O69" s="311" t="e">
        <f t="shared" si="2"/>
        <v>#DIV/0!</v>
      </c>
      <c r="P69" s="313"/>
    </row>
    <row r="70" spans="1:16" s="153" customFormat="1" x14ac:dyDescent="0.25">
      <c r="A70" s="150">
        <f>'B) D RI'!A71</f>
        <v>5501</v>
      </c>
      <c r="B70" s="151" t="str">
        <f>'B) D RI'!B71</f>
        <v>Sullens</v>
      </c>
      <c r="C70" s="309">
        <f>'B) D RI'!S71</f>
        <v>68.5</v>
      </c>
      <c r="D70" s="152">
        <f>'B) D RI'!AA71</f>
        <v>1143</v>
      </c>
      <c r="E70" s="307">
        <f>'D) Ecrêtage'!C70</f>
        <v>43195.598978102193</v>
      </c>
      <c r="F70" s="311">
        <f>'E) PCS'!G76</f>
        <v>-809550.84075356519</v>
      </c>
      <c r="G70" s="308">
        <f>'H) Péréquation directe'!I80</f>
        <v>409954.722864785</v>
      </c>
      <c r="H70" s="311" t="e">
        <f>+'I) Dépenses thématiques'!S70</f>
        <v>#DIV/0!</v>
      </c>
      <c r="I70" s="308">
        <f>'K) Plafonnement aide'!J70</f>
        <v>54031.326063962661</v>
      </c>
      <c r="J70" s="311">
        <f>'J) Plafonnement effort'!J70</f>
        <v>0</v>
      </c>
      <c r="K70" s="308">
        <f>'L) Plafonnement taux'!Q71</f>
        <v>0</v>
      </c>
      <c r="L70" s="306" t="e">
        <f t="shared" si="3"/>
        <v>#DIV/0!</v>
      </c>
      <c r="M70" s="231">
        <f>'M) Police'!N70</f>
        <v>129950.71892165762</v>
      </c>
      <c r="N70" s="231" t="e">
        <f t="shared" ref="N70:N133" si="4">L70+M70</f>
        <v>#DIV/0!</v>
      </c>
      <c r="O70" s="311" t="e">
        <f t="shared" ref="O70:O133" si="5">SUM(G70:K70)</f>
        <v>#DIV/0!</v>
      </c>
      <c r="P70" s="313"/>
    </row>
    <row r="71" spans="1:16" s="153" customFormat="1" x14ac:dyDescent="0.25">
      <c r="A71" s="150">
        <f>'B) D RI'!A72</f>
        <v>5503</v>
      </c>
      <c r="B71" s="151" t="str">
        <f>'B) D RI'!B72</f>
        <v>Vufflens-la-Ville</v>
      </c>
      <c r="C71" s="309">
        <f>'B) D RI'!S72</f>
        <v>67</v>
      </c>
      <c r="D71" s="152">
        <f>'B) D RI'!AA72</f>
        <v>1346</v>
      </c>
      <c r="E71" s="307">
        <f>'D) Ecrêtage'!C71</f>
        <v>79029.714875621881</v>
      </c>
      <c r="F71" s="311">
        <f>'E) PCS'!G77</f>
        <v>1363549.2620184375</v>
      </c>
      <c r="G71" s="308">
        <f>'H) Péréquation directe'!I81</f>
        <v>1241134.2953928227</v>
      </c>
      <c r="H71" s="311" t="e">
        <f>+'I) Dépenses thématiques'!S71</f>
        <v>#DIV/0!</v>
      </c>
      <c r="I71" s="308">
        <f>'K) Plafonnement aide'!J71</f>
        <v>0</v>
      </c>
      <c r="J71" s="311">
        <f>'J) Plafonnement effort'!J71</f>
        <v>0</v>
      </c>
      <c r="K71" s="308">
        <f>'L) Plafonnement taux'!Q72</f>
        <v>0</v>
      </c>
      <c r="L71" s="306" t="e">
        <f t="shared" si="3"/>
        <v>#DIV/0!</v>
      </c>
      <c r="M71" s="231">
        <f>'M) Police'!N71</f>
        <v>212608.79062634282</v>
      </c>
      <c r="N71" s="231" t="e">
        <f t="shared" si="4"/>
        <v>#DIV/0!</v>
      </c>
      <c r="O71" s="311" t="e">
        <f t="shared" si="5"/>
        <v>#DIV/0!</v>
      </c>
      <c r="P71" s="313"/>
    </row>
    <row r="72" spans="1:16" s="153" customFormat="1" x14ac:dyDescent="0.25">
      <c r="A72" s="150">
        <f>'B) D RI'!A73</f>
        <v>5511</v>
      </c>
      <c r="B72" s="151" t="str">
        <f>'B) D RI'!B73</f>
        <v>Assens</v>
      </c>
      <c r="C72" s="309">
        <f>'B) D RI'!S73</f>
        <v>70</v>
      </c>
      <c r="D72" s="152">
        <f>'B) D RI'!AA73</f>
        <v>1151</v>
      </c>
      <c r="E72" s="307">
        <f>'D) Ecrêtage'!C72</f>
        <v>47333.455142857143</v>
      </c>
      <c r="F72" s="311">
        <f>'E) PCS'!G78</f>
        <v>1022413.4573871256</v>
      </c>
      <c r="G72" s="308">
        <f>'H) Péréquation directe'!I82</f>
        <v>548364.69592820725</v>
      </c>
      <c r="H72" s="311" t="e">
        <f>+'I) Dépenses thématiques'!S72</f>
        <v>#DIV/0!</v>
      </c>
      <c r="I72" s="308">
        <f>'K) Plafonnement aide'!J72</f>
        <v>0</v>
      </c>
      <c r="J72" s="311">
        <f>'J) Plafonnement effort'!J72</f>
        <v>0</v>
      </c>
      <c r="K72" s="308">
        <f>'L) Plafonnement taux'!Q73</f>
        <v>0</v>
      </c>
      <c r="L72" s="306" t="e">
        <f t="shared" si="3"/>
        <v>#DIV/0!</v>
      </c>
      <c r="M72" s="231">
        <f>'M) Police'!N72</f>
        <v>141998.67466679364</v>
      </c>
      <c r="N72" s="231" t="e">
        <f t="shared" si="4"/>
        <v>#DIV/0!</v>
      </c>
      <c r="O72" s="311" t="e">
        <f t="shared" si="5"/>
        <v>#DIV/0!</v>
      </c>
      <c r="P72" s="313"/>
    </row>
    <row r="73" spans="1:16" s="153" customFormat="1" x14ac:dyDescent="0.25">
      <c r="A73" s="150">
        <f>'B) D RI'!A74</f>
        <v>5512</v>
      </c>
      <c r="B73" s="151" t="str">
        <f>'B) D RI'!B74</f>
        <v>Bercher</v>
      </c>
      <c r="C73" s="309">
        <f>'B) D RI'!S74</f>
        <v>79</v>
      </c>
      <c r="D73" s="152">
        <f>'B) D RI'!AA74</f>
        <v>1320</v>
      </c>
      <c r="E73" s="307">
        <f>'D) Ecrêtage'!C73</f>
        <v>40764.12544303797</v>
      </c>
      <c r="F73" s="311">
        <f>'E) PCS'!G79</f>
        <v>723986.13392803934</v>
      </c>
      <c r="G73" s="308">
        <f>'H) Péréquation directe'!I83</f>
        <v>-47323.576586417272</v>
      </c>
      <c r="H73" s="311" t="e">
        <f>+'I) Dépenses thématiques'!S73</f>
        <v>#DIV/0!</v>
      </c>
      <c r="I73" s="308">
        <f>'K) Plafonnement aide'!J73</f>
        <v>0</v>
      </c>
      <c r="J73" s="311">
        <f>'J) Plafonnement effort'!J73</f>
        <v>0</v>
      </c>
      <c r="K73" s="308">
        <f>'L) Plafonnement taux'!Q74</f>
        <v>0</v>
      </c>
      <c r="L73" s="306" t="e">
        <f t="shared" si="3"/>
        <v>#DIV/0!</v>
      </c>
      <c r="M73" s="231">
        <f>'M) Police'!N73</f>
        <v>122061.32825572966</v>
      </c>
      <c r="N73" s="231" t="e">
        <f t="shared" si="4"/>
        <v>#DIV/0!</v>
      </c>
      <c r="O73" s="311" t="e">
        <f t="shared" si="5"/>
        <v>#DIV/0!</v>
      </c>
      <c r="P73" s="313"/>
    </row>
    <row r="74" spans="1:16" s="153" customFormat="1" x14ac:dyDescent="0.25">
      <c r="A74" s="150">
        <f>'B) D RI'!A75</f>
        <v>5513</v>
      </c>
      <c r="B74" s="151" t="str">
        <f>'B) D RI'!B75</f>
        <v>Bioley-Orjulaz</v>
      </c>
      <c r="C74" s="309">
        <f>'B) D RI'!S75</f>
        <v>68</v>
      </c>
      <c r="D74" s="152">
        <f>'B) D RI'!AA75</f>
        <v>518</v>
      </c>
      <c r="E74" s="307">
        <f>'D) Ecrêtage'!C74</f>
        <v>22739.022647058824</v>
      </c>
      <c r="F74" s="311">
        <f>'E) PCS'!G80</f>
        <v>423471.88775801612</v>
      </c>
      <c r="G74" s="308">
        <f>'H) Péréquation directe'!I84</f>
        <v>319809.03656449076</v>
      </c>
      <c r="H74" s="311" t="e">
        <f>+'I) Dépenses thématiques'!S74</f>
        <v>#DIV/0!</v>
      </c>
      <c r="I74" s="308">
        <f>'K) Plafonnement aide'!J74</f>
        <v>0</v>
      </c>
      <c r="J74" s="311">
        <f>'J) Plafonnement effort'!J74</f>
        <v>0</v>
      </c>
      <c r="K74" s="308">
        <f>'L) Plafonnement taux'!Q75</f>
        <v>0</v>
      </c>
      <c r="L74" s="306" t="e">
        <f t="shared" si="3"/>
        <v>#DIV/0!</v>
      </c>
      <c r="M74" s="231">
        <f>'M) Police'!N74</f>
        <v>68137.143189667026</v>
      </c>
      <c r="N74" s="231" t="e">
        <f t="shared" si="4"/>
        <v>#DIV/0!</v>
      </c>
      <c r="O74" s="311" t="e">
        <f t="shared" si="5"/>
        <v>#DIV/0!</v>
      </c>
      <c r="P74" s="313"/>
    </row>
    <row r="75" spans="1:16" s="153" customFormat="1" x14ac:dyDescent="0.25">
      <c r="A75" s="150">
        <f>'B) D RI'!A76</f>
        <v>5514</v>
      </c>
      <c r="B75" s="151" t="str">
        <f>'B) D RI'!B76</f>
        <v>Bottens</v>
      </c>
      <c r="C75" s="309">
        <f>'B) D RI'!S76</f>
        <v>72.5</v>
      </c>
      <c r="D75" s="152">
        <f>'B) D RI'!AA76</f>
        <v>1357</v>
      </c>
      <c r="E75" s="307">
        <f>'D) Ecrêtage'!C75</f>
        <v>44223.41544827586</v>
      </c>
      <c r="F75" s="311">
        <f>'E) PCS'!G81</f>
        <v>619323.93646045309</v>
      </c>
      <c r="G75" s="308">
        <f>'H) Péréquation directe'!I85</f>
        <v>131013.48165359371</v>
      </c>
      <c r="H75" s="311" t="e">
        <f>+'I) Dépenses thématiques'!S75</f>
        <v>#DIV/0!</v>
      </c>
      <c r="I75" s="308">
        <f>'K) Plafonnement aide'!J75</f>
        <v>0</v>
      </c>
      <c r="J75" s="311">
        <f>'J) Plafonnement effort'!J75</f>
        <v>0</v>
      </c>
      <c r="K75" s="308">
        <f>'L) Plafonnement taux'!Q76</f>
        <v>0</v>
      </c>
      <c r="L75" s="306" t="e">
        <f t="shared" si="3"/>
        <v>#DIV/0!</v>
      </c>
      <c r="M75" s="231">
        <f>'M) Police'!N75</f>
        <v>133106.95054194951</v>
      </c>
      <c r="N75" s="231" t="e">
        <f t="shared" si="4"/>
        <v>#DIV/0!</v>
      </c>
      <c r="O75" s="311" t="e">
        <f t="shared" si="5"/>
        <v>#DIV/0!</v>
      </c>
      <c r="P75" s="313"/>
    </row>
    <row r="76" spans="1:16" s="153" customFormat="1" x14ac:dyDescent="0.25">
      <c r="A76" s="150">
        <f>'B) D RI'!A77</f>
        <v>5515</v>
      </c>
      <c r="B76" s="151" t="str">
        <f>'B) D RI'!B77</f>
        <v>Bretigny-sur-Morrens</v>
      </c>
      <c r="C76" s="309">
        <f>'B) D RI'!S77</f>
        <v>78</v>
      </c>
      <c r="D76" s="152">
        <f>'B) D RI'!AA77</f>
        <v>882</v>
      </c>
      <c r="E76" s="307">
        <f>'D) Ecrêtage'!C76</f>
        <v>32348.775256410252</v>
      </c>
      <c r="F76" s="311">
        <f>'E) PCS'!G82</f>
        <v>496964.12124861887</v>
      </c>
      <c r="G76" s="308">
        <f>'H) Péréquation directe'!I86</f>
        <v>246537.61569682555</v>
      </c>
      <c r="H76" s="311" t="e">
        <f>+'I) Dépenses thématiques'!S76</f>
        <v>#DIV/0!</v>
      </c>
      <c r="I76" s="308">
        <f>'K) Plafonnement aide'!J76</f>
        <v>0</v>
      </c>
      <c r="J76" s="311">
        <f>'J) Plafonnement effort'!J76</f>
        <v>0</v>
      </c>
      <c r="K76" s="308">
        <f>'L) Plafonnement taux'!Q77</f>
        <v>0</v>
      </c>
      <c r="L76" s="306" t="e">
        <f t="shared" si="3"/>
        <v>#DIV/0!</v>
      </c>
      <c r="M76" s="231">
        <f>'M) Police'!N76</f>
        <v>97545.175944959454</v>
      </c>
      <c r="N76" s="231" t="e">
        <f t="shared" si="4"/>
        <v>#DIV/0!</v>
      </c>
      <c r="O76" s="311" t="e">
        <f t="shared" si="5"/>
        <v>#DIV/0!</v>
      </c>
      <c r="P76" s="313"/>
    </row>
    <row r="77" spans="1:16" s="153" customFormat="1" x14ac:dyDescent="0.25">
      <c r="A77" s="150">
        <f>'B) D RI'!A78</f>
        <v>5516</v>
      </c>
      <c r="B77" s="151" t="str">
        <f>'B) D RI'!B78</f>
        <v>Cugy</v>
      </c>
      <c r="C77" s="309">
        <f>'B) D RI'!S78</f>
        <v>78</v>
      </c>
      <c r="D77" s="152">
        <f>'B) D RI'!AA78</f>
        <v>2733</v>
      </c>
      <c r="E77" s="307">
        <f>'D) Ecrêtage'!C77</f>
        <v>111604.91621794872</v>
      </c>
      <c r="F77" s="311">
        <f>'E) PCS'!G83</f>
        <v>1675597.8479359236</v>
      </c>
      <c r="G77" s="308">
        <f>'H) Péréquation directe'!I87</f>
        <v>865084.53095044987</v>
      </c>
      <c r="H77" s="311" t="e">
        <f>+'I) Dépenses thématiques'!S77</f>
        <v>#DIV/0!</v>
      </c>
      <c r="I77" s="308">
        <f>'K) Plafonnement aide'!J77</f>
        <v>0</v>
      </c>
      <c r="J77" s="311">
        <f>'J) Plafonnement effort'!J77</f>
        <v>0</v>
      </c>
      <c r="K77" s="308">
        <f>'L) Plafonnement taux'!Q78</f>
        <v>0</v>
      </c>
      <c r="L77" s="306" t="e">
        <f t="shared" si="3"/>
        <v>#DIV/0!</v>
      </c>
      <c r="M77" s="231">
        <f>'M) Police'!N77</f>
        <v>337445.10478040238</v>
      </c>
      <c r="N77" s="231" t="e">
        <f t="shared" si="4"/>
        <v>#DIV/0!</v>
      </c>
      <c r="O77" s="311" t="e">
        <f t="shared" si="5"/>
        <v>#DIV/0!</v>
      </c>
      <c r="P77" s="313"/>
    </row>
    <row r="78" spans="1:16" s="153" customFormat="1" x14ac:dyDescent="0.25">
      <c r="A78" s="150">
        <f>'B) D RI'!A79</f>
        <v>5518</v>
      </c>
      <c r="B78" s="151" t="str">
        <f>'B) D RI'!B79</f>
        <v>Echallens</v>
      </c>
      <c r="C78" s="309">
        <f>'B) D RI'!S79</f>
        <v>72.5</v>
      </c>
      <c r="D78" s="152">
        <f>'B) D RI'!AA79</f>
        <v>5739</v>
      </c>
      <c r="E78" s="307">
        <f>'D) Ecrêtage'!C78</f>
        <v>183030.51158620688</v>
      </c>
      <c r="F78" s="311">
        <f>'E) PCS'!G84</f>
        <v>2775153.5512128836</v>
      </c>
      <c r="G78" s="308">
        <f>'H) Péréquation directe'!I88</f>
        <v>-814020.78151464742</v>
      </c>
      <c r="H78" s="311" t="e">
        <f>+'I) Dépenses thématiques'!S78</f>
        <v>#DIV/0!</v>
      </c>
      <c r="I78" s="308">
        <f>'K) Plafonnement aide'!J78</f>
        <v>0</v>
      </c>
      <c r="J78" s="311">
        <f>'J) Plafonnement effort'!J78</f>
        <v>0</v>
      </c>
      <c r="K78" s="308">
        <f>'L) Plafonnement taux'!Q79</f>
        <v>0</v>
      </c>
      <c r="L78" s="306" t="e">
        <f t="shared" si="3"/>
        <v>#DIV/0!</v>
      </c>
      <c r="M78" s="231">
        <f>'M) Police'!N78</f>
        <v>547276.70974064781</v>
      </c>
      <c r="N78" s="231" t="e">
        <f t="shared" si="4"/>
        <v>#DIV/0!</v>
      </c>
      <c r="O78" s="311" t="e">
        <f t="shared" si="5"/>
        <v>#DIV/0!</v>
      </c>
      <c r="P78" s="313"/>
    </row>
    <row r="79" spans="1:16" s="153" customFormat="1" x14ac:dyDescent="0.25">
      <c r="A79" s="150">
        <f>'B) D RI'!A80</f>
        <v>5520</v>
      </c>
      <c r="B79" s="151" t="str">
        <f>'B) D RI'!B80</f>
        <v>Essertines-sur-Yverdon</v>
      </c>
      <c r="C79" s="309">
        <f>'B) D RI'!S80</f>
        <v>73</v>
      </c>
      <c r="D79" s="152">
        <f>'B) D RI'!AA80</f>
        <v>1059</v>
      </c>
      <c r="E79" s="307">
        <f>'D) Ecrêtage'!C79</f>
        <v>31696.699178082192</v>
      </c>
      <c r="F79" s="311">
        <f>'E) PCS'!G85</f>
        <v>444558.56311761797</v>
      </c>
      <c r="G79" s="308">
        <f>'H) Péréquation directe'!I89</f>
        <v>33753.624122084584</v>
      </c>
      <c r="H79" s="311" t="e">
        <f>+'I) Dépenses thématiques'!S79</f>
        <v>#DIV/0!</v>
      </c>
      <c r="I79" s="308">
        <f>'K) Plafonnement aide'!J79</f>
        <v>0</v>
      </c>
      <c r="J79" s="311">
        <f>'J) Plafonnement effort'!J79</f>
        <v>0</v>
      </c>
      <c r="K79" s="308">
        <f>'L) Plafonnement taux'!Q80</f>
        <v>0</v>
      </c>
      <c r="L79" s="306" t="e">
        <f t="shared" si="3"/>
        <v>#DIV/0!</v>
      </c>
      <c r="M79" s="231">
        <f>'M) Police'!N79</f>
        <v>94852.903502682486</v>
      </c>
      <c r="N79" s="231" t="e">
        <f t="shared" si="4"/>
        <v>#DIV/0!</v>
      </c>
      <c r="O79" s="311" t="e">
        <f t="shared" si="5"/>
        <v>#DIV/0!</v>
      </c>
      <c r="P79" s="313"/>
    </row>
    <row r="80" spans="1:16" s="153" customFormat="1" x14ac:dyDescent="0.25">
      <c r="A80" s="150">
        <f>'B) D RI'!A81</f>
        <v>5521</v>
      </c>
      <c r="B80" s="151" t="str">
        <f>'B) D RI'!B81</f>
        <v>Etagnières</v>
      </c>
      <c r="C80" s="309">
        <f>'B) D RI'!S81</f>
        <v>73</v>
      </c>
      <c r="D80" s="152">
        <f>'B) D RI'!AA81</f>
        <v>1148</v>
      </c>
      <c r="E80" s="307">
        <f>'D) Ecrêtage'!C80</f>
        <v>42645.35479452055</v>
      </c>
      <c r="F80" s="311">
        <f>'E) PCS'!G86</f>
        <v>645326.69168768148</v>
      </c>
      <c r="G80" s="308">
        <f>'H) Péréquation directe'!I90</f>
        <v>350044.35708009475</v>
      </c>
      <c r="H80" s="311" t="e">
        <f>+'I) Dépenses thématiques'!S80</f>
        <v>#DIV/0!</v>
      </c>
      <c r="I80" s="308">
        <f>'K) Plafonnement aide'!J80</f>
        <v>0</v>
      </c>
      <c r="J80" s="311">
        <f>'J) Plafonnement effort'!J80</f>
        <v>0</v>
      </c>
      <c r="K80" s="308">
        <f>'L) Plafonnement taux'!Q81</f>
        <v>0</v>
      </c>
      <c r="L80" s="306" t="e">
        <f t="shared" si="3"/>
        <v>#DIV/0!</v>
      </c>
      <c r="M80" s="231">
        <f>'M) Police'!N80</f>
        <v>127315.46474691524</v>
      </c>
      <c r="N80" s="231" t="e">
        <f t="shared" si="4"/>
        <v>#DIV/0!</v>
      </c>
      <c r="O80" s="311" t="e">
        <f t="shared" si="5"/>
        <v>#DIV/0!</v>
      </c>
      <c r="P80" s="313"/>
    </row>
    <row r="81" spans="1:16" s="153" customFormat="1" x14ac:dyDescent="0.25">
      <c r="A81" s="150">
        <f>'B) D RI'!A82</f>
        <v>5522</v>
      </c>
      <c r="B81" s="151" t="str">
        <f>'B) D RI'!B82</f>
        <v>Fey</v>
      </c>
      <c r="C81" s="309">
        <f>'B) D RI'!S82</f>
        <v>75</v>
      </c>
      <c r="D81" s="152">
        <f>'B) D RI'!AA82</f>
        <v>754</v>
      </c>
      <c r="E81" s="307">
        <f>'D) Ecrêtage'!C81</f>
        <v>23924.3328</v>
      </c>
      <c r="F81" s="311">
        <f>'E) PCS'!G87</f>
        <v>334046.42846301501</v>
      </c>
      <c r="G81" s="308">
        <f>'H) Péréquation directe'!I91</f>
        <v>72985.010024762363</v>
      </c>
      <c r="H81" s="311" t="e">
        <f>+'I) Dépenses thématiques'!S81</f>
        <v>#DIV/0!</v>
      </c>
      <c r="I81" s="308">
        <f>'K) Plafonnement aide'!J81</f>
        <v>0</v>
      </c>
      <c r="J81" s="311">
        <f>'J) Plafonnement effort'!J81</f>
        <v>0</v>
      </c>
      <c r="K81" s="308">
        <f>'L) Plafonnement taux'!Q82</f>
        <v>0</v>
      </c>
      <c r="L81" s="306" t="e">
        <f t="shared" si="3"/>
        <v>#DIV/0!</v>
      </c>
      <c r="M81" s="231">
        <f>'M) Police'!N81</f>
        <v>71817.326233507163</v>
      </c>
      <c r="N81" s="231" t="e">
        <f t="shared" si="4"/>
        <v>#DIV/0!</v>
      </c>
      <c r="O81" s="311" t="e">
        <f t="shared" si="5"/>
        <v>#DIV/0!</v>
      </c>
      <c r="P81" s="313"/>
    </row>
    <row r="82" spans="1:16" s="153" customFormat="1" x14ac:dyDescent="0.25">
      <c r="A82" s="150">
        <f>'B) D RI'!A83</f>
        <v>5523</v>
      </c>
      <c r="B82" s="151" t="str">
        <f>'B) D RI'!B83</f>
        <v>Froideville</v>
      </c>
      <c r="C82" s="309">
        <f>'B) D RI'!S83</f>
        <v>72</v>
      </c>
      <c r="D82" s="152">
        <f>'B) D RI'!AA83</f>
        <v>2673</v>
      </c>
      <c r="E82" s="307">
        <f>'D) Ecrêtage'!C82</f>
        <v>93523.863333333327</v>
      </c>
      <c r="F82" s="311">
        <f>'E) PCS'!G88</f>
        <v>1555774.8035007168</v>
      </c>
      <c r="G82" s="308">
        <f>'H) Péréquation directe'!I92</f>
        <v>306062.60909081274</v>
      </c>
      <c r="H82" s="311" t="e">
        <f>+'I) Dépenses thématiques'!S82</f>
        <v>#DIV/0!</v>
      </c>
      <c r="I82" s="308">
        <f>'K) Plafonnement aide'!J82</f>
        <v>0</v>
      </c>
      <c r="J82" s="311">
        <f>'J) Plafonnement effort'!J82</f>
        <v>0</v>
      </c>
      <c r="K82" s="308">
        <f>'L) Plafonnement taux'!Q83</f>
        <v>0</v>
      </c>
      <c r="L82" s="306" t="e">
        <f t="shared" si="3"/>
        <v>#DIV/0!</v>
      </c>
      <c r="M82" s="231">
        <f>'M) Police'!N82</f>
        <v>280594.19672635774</v>
      </c>
      <c r="N82" s="231" t="e">
        <f t="shared" si="4"/>
        <v>#DIV/0!</v>
      </c>
      <c r="O82" s="311" t="e">
        <f t="shared" si="5"/>
        <v>#DIV/0!</v>
      </c>
      <c r="P82" s="313"/>
    </row>
    <row r="83" spans="1:16" s="153" customFormat="1" x14ac:dyDescent="0.25">
      <c r="A83" s="150">
        <f>'B) D RI'!A84</f>
        <v>5527</v>
      </c>
      <c r="B83" s="151" t="str">
        <f>'B) D RI'!B84</f>
        <v>Morrens</v>
      </c>
      <c r="C83" s="309">
        <f>'B) D RI'!S84</f>
        <v>74</v>
      </c>
      <c r="D83" s="152">
        <f>'B) D RI'!AA84</f>
        <v>1156</v>
      </c>
      <c r="E83" s="307">
        <f>'D) Ecrêtage'!C83</f>
        <v>39310.302027027028</v>
      </c>
      <c r="F83" s="311">
        <f>'E) PCS'!G89</f>
        <v>612164.92061698553</v>
      </c>
      <c r="G83" s="308">
        <f>'H) Péréquation directe'!I93</f>
        <v>195426.31655785395</v>
      </c>
      <c r="H83" s="311" t="e">
        <f>+'I) Dépenses thématiques'!S83</f>
        <v>#DIV/0!</v>
      </c>
      <c r="I83" s="308">
        <f>'K) Plafonnement aide'!J83</f>
        <v>0</v>
      </c>
      <c r="J83" s="311">
        <f>'J) Plafonnement effort'!J83</f>
        <v>0</v>
      </c>
      <c r="K83" s="308">
        <f>'L) Plafonnement taux'!Q84</f>
        <v>0</v>
      </c>
      <c r="L83" s="306" t="e">
        <f t="shared" si="3"/>
        <v>#DIV/0!</v>
      </c>
      <c r="M83" s="231">
        <f>'M) Police'!N83</f>
        <v>117977.64945715504</v>
      </c>
      <c r="N83" s="231" t="e">
        <f t="shared" si="4"/>
        <v>#DIV/0!</v>
      </c>
      <c r="O83" s="311" t="e">
        <f t="shared" si="5"/>
        <v>#DIV/0!</v>
      </c>
      <c r="P83" s="313"/>
    </row>
    <row r="84" spans="1:16" s="153" customFormat="1" x14ac:dyDescent="0.25">
      <c r="A84" s="150">
        <f>'B) D RI'!A85</f>
        <v>5529</v>
      </c>
      <c r="B84" s="151" t="str">
        <f>'B) D RI'!B85</f>
        <v>Oulens-sous-Echallens</v>
      </c>
      <c r="C84" s="309">
        <f>'B) D RI'!S85</f>
        <v>70</v>
      </c>
      <c r="D84" s="152">
        <f>'B) D RI'!AA85</f>
        <v>619</v>
      </c>
      <c r="E84" s="307">
        <f>'D) Ecrêtage'!C84</f>
        <v>21162.231857142859</v>
      </c>
      <c r="F84" s="311">
        <f>'E) PCS'!G90</f>
        <v>400957.09186251112</v>
      </c>
      <c r="G84" s="308">
        <f>'H) Péréquation directe'!I94</f>
        <v>148285.02366787643</v>
      </c>
      <c r="H84" s="311" t="e">
        <f>+'I) Dépenses thématiques'!S84</f>
        <v>#DIV/0!</v>
      </c>
      <c r="I84" s="308">
        <f>'K) Plafonnement aide'!J84</f>
        <v>0</v>
      </c>
      <c r="J84" s="311">
        <f>'J) Plafonnement effort'!J84</f>
        <v>0</v>
      </c>
      <c r="K84" s="308">
        <f>'L) Plafonnement taux'!Q85</f>
        <v>0</v>
      </c>
      <c r="L84" s="306" t="e">
        <f t="shared" si="3"/>
        <v>#DIV/0!</v>
      </c>
      <c r="M84" s="231">
        <f>'M) Police'!N84</f>
        <v>63261.83311266212</v>
      </c>
      <c r="N84" s="231" t="e">
        <f t="shared" si="4"/>
        <v>#DIV/0!</v>
      </c>
      <c r="O84" s="311" t="e">
        <f t="shared" si="5"/>
        <v>#DIV/0!</v>
      </c>
      <c r="P84" s="313"/>
    </row>
    <row r="85" spans="1:16" s="153" customFormat="1" x14ac:dyDescent="0.25">
      <c r="A85" s="150">
        <f>'B) D RI'!A86</f>
        <v>5530</v>
      </c>
      <c r="B85" s="151" t="str">
        <f>'B) D RI'!B86</f>
        <v>Pailly</v>
      </c>
      <c r="C85" s="309">
        <f>'B) D RI'!S86</f>
        <v>76</v>
      </c>
      <c r="D85" s="152">
        <f>'B) D RI'!AA86</f>
        <v>575</v>
      </c>
      <c r="E85" s="307">
        <f>'D) Ecrêtage'!C85</f>
        <v>19062.750131578941</v>
      </c>
      <c r="F85" s="311">
        <f>'E) PCS'!G91</f>
        <v>294562.23443554027</v>
      </c>
      <c r="G85" s="308">
        <f>'H) Péréquation directe'!I95</f>
        <v>84140.665770830296</v>
      </c>
      <c r="H85" s="311" t="e">
        <f>+'I) Dépenses thématiques'!S85</f>
        <v>#DIV/0!</v>
      </c>
      <c r="I85" s="308">
        <f>'K) Plafonnement aide'!J85</f>
        <v>0</v>
      </c>
      <c r="J85" s="311">
        <f>'J) Plafonnement effort'!J85</f>
        <v>0</v>
      </c>
      <c r="K85" s="308">
        <f>'L) Plafonnement taux'!Q86</f>
        <v>0</v>
      </c>
      <c r="L85" s="306" t="e">
        <f t="shared" si="3"/>
        <v>#DIV/0!</v>
      </c>
      <c r="M85" s="231">
        <f>'M) Police'!N85</f>
        <v>57915.697265269388</v>
      </c>
      <c r="N85" s="231" t="e">
        <f t="shared" si="4"/>
        <v>#DIV/0!</v>
      </c>
      <c r="O85" s="311" t="e">
        <f t="shared" si="5"/>
        <v>#DIV/0!</v>
      </c>
      <c r="P85" s="313"/>
    </row>
    <row r="86" spans="1:16" s="153" customFormat="1" x14ac:dyDescent="0.25">
      <c r="A86" s="150">
        <f>'B) D RI'!A87</f>
        <v>5531</v>
      </c>
      <c r="B86" s="151" t="str">
        <f>'B) D RI'!B87</f>
        <v>Penthéréaz</v>
      </c>
      <c r="C86" s="309">
        <f>'B) D RI'!S87</f>
        <v>74</v>
      </c>
      <c r="D86" s="152">
        <f>'B) D RI'!AA87</f>
        <v>417</v>
      </c>
      <c r="E86" s="307">
        <f>'D) Ecrêtage'!C86</f>
        <v>14300.817432432432</v>
      </c>
      <c r="F86" s="311">
        <f>'E) PCS'!G92</f>
        <v>236338.53102853461</v>
      </c>
      <c r="G86" s="308">
        <f>'H) Péréquation directe'!I96</f>
        <v>88037.671465163643</v>
      </c>
      <c r="H86" s="311" t="e">
        <f>+'I) Dépenses thématiques'!S86</f>
        <v>#DIV/0!</v>
      </c>
      <c r="I86" s="308">
        <f>'K) Plafonnement aide'!J86</f>
        <v>0</v>
      </c>
      <c r="J86" s="311">
        <f>'J) Plafonnement effort'!J86</f>
        <v>0</v>
      </c>
      <c r="K86" s="308">
        <f>'L) Plafonnement taux'!Q87</f>
        <v>0</v>
      </c>
      <c r="L86" s="306" t="e">
        <f t="shared" si="3"/>
        <v>#DIV/0!</v>
      </c>
      <c r="M86" s="231">
        <f>'M) Police'!N86</f>
        <v>43014.435610544126</v>
      </c>
      <c r="N86" s="231" t="e">
        <f t="shared" si="4"/>
        <v>#DIV/0!</v>
      </c>
      <c r="O86" s="311" t="e">
        <f t="shared" si="5"/>
        <v>#DIV/0!</v>
      </c>
      <c r="P86" s="313"/>
    </row>
    <row r="87" spans="1:16" s="153" customFormat="1" x14ac:dyDescent="0.25">
      <c r="A87" s="150">
        <f>'B) D RI'!A88</f>
        <v>5533</v>
      </c>
      <c r="B87" s="151" t="str">
        <f>'B) D RI'!B88</f>
        <v>Poliez-Pittet</v>
      </c>
      <c r="C87" s="309">
        <f>'B) D RI'!S88</f>
        <v>73</v>
      </c>
      <c r="D87" s="152">
        <f>'B) D RI'!AA88</f>
        <v>833</v>
      </c>
      <c r="E87" s="307">
        <f>'D) Ecrêtage'!C87</f>
        <v>27502.031917808214</v>
      </c>
      <c r="F87" s="311">
        <f>'E) PCS'!G93</f>
        <v>351697.45816498139</v>
      </c>
      <c r="G87" s="308">
        <f>'H) Péréquation directe'!I97</f>
        <v>140048.16723595333</v>
      </c>
      <c r="H87" s="311" t="e">
        <f>+'I) Dépenses thématiques'!S87</f>
        <v>#DIV/0!</v>
      </c>
      <c r="I87" s="308">
        <f>'K) Plafonnement aide'!J87</f>
        <v>0</v>
      </c>
      <c r="J87" s="311">
        <f>'J) Plafonnement effort'!J87</f>
        <v>0</v>
      </c>
      <c r="K87" s="308">
        <f>'L) Plafonnement taux'!Q88</f>
        <v>0</v>
      </c>
      <c r="L87" s="306" t="e">
        <f t="shared" si="3"/>
        <v>#DIV/0!</v>
      </c>
      <c r="M87" s="231">
        <f>'M) Police'!N87</f>
        <v>82804.522221710067</v>
      </c>
      <c r="N87" s="231" t="e">
        <f t="shared" si="4"/>
        <v>#DIV/0!</v>
      </c>
      <c r="O87" s="311" t="e">
        <f t="shared" si="5"/>
        <v>#DIV/0!</v>
      </c>
      <c r="P87" s="313"/>
    </row>
    <row r="88" spans="1:16" s="153" customFormat="1" x14ac:dyDescent="0.25">
      <c r="A88" s="150">
        <f>'B) D RI'!A89</f>
        <v>5534</v>
      </c>
      <c r="B88" s="151" t="str">
        <f>'B) D RI'!B89</f>
        <v>Rueyres</v>
      </c>
      <c r="C88" s="309">
        <f>'B) D RI'!S89</f>
        <v>73</v>
      </c>
      <c r="D88" s="152">
        <f>'B) D RI'!AA89</f>
        <v>304</v>
      </c>
      <c r="E88" s="307">
        <f>'D) Ecrêtage'!C88</f>
        <v>13106.991872146118</v>
      </c>
      <c r="F88" s="311">
        <f>'E) PCS'!G94</f>
        <v>220991.60409524041</v>
      </c>
      <c r="G88" s="308">
        <f>'H) Péréquation directe'!I98</f>
        <v>174265.09434309849</v>
      </c>
      <c r="H88" s="311" t="e">
        <f>+'I) Dépenses thématiques'!S88</f>
        <v>#DIV/0!</v>
      </c>
      <c r="I88" s="308">
        <f>'K) Plafonnement aide'!J88</f>
        <v>0</v>
      </c>
      <c r="J88" s="311">
        <f>'J) Plafonnement effort'!J88</f>
        <v>0</v>
      </c>
      <c r="K88" s="308">
        <f>'L) Plafonnement taux'!Q89</f>
        <v>0</v>
      </c>
      <c r="L88" s="306" t="e">
        <f t="shared" si="3"/>
        <v>#DIV/0!</v>
      </c>
      <c r="M88" s="231">
        <f>'M) Police'!N88</f>
        <v>39280.747908385049</v>
      </c>
      <c r="N88" s="231" t="e">
        <f t="shared" si="4"/>
        <v>#DIV/0!</v>
      </c>
      <c r="O88" s="311" t="e">
        <f t="shared" si="5"/>
        <v>#DIV/0!</v>
      </c>
      <c r="P88" s="313"/>
    </row>
    <row r="89" spans="1:16" s="153" customFormat="1" x14ac:dyDescent="0.25">
      <c r="A89" s="150">
        <f>'B) D RI'!A90</f>
        <v>5535</v>
      </c>
      <c r="B89" s="151" t="str">
        <f>'B) D RI'!B90</f>
        <v>Saint-Barthélemy</v>
      </c>
      <c r="C89" s="309">
        <f>'B) D RI'!S90</f>
        <v>75</v>
      </c>
      <c r="D89" s="152">
        <f>'B) D RI'!AA90</f>
        <v>809</v>
      </c>
      <c r="E89" s="307">
        <f>'D) Ecrêtage'!C89</f>
        <v>25080.318533333328</v>
      </c>
      <c r="F89" s="311">
        <f>'E) PCS'!G95</f>
        <v>367092.51664827508</v>
      </c>
      <c r="G89" s="308">
        <f>'H) Péréquation directe'!I99</f>
        <v>53979.162673813349</v>
      </c>
      <c r="H89" s="311" t="e">
        <f>+'I) Dépenses thématiques'!S89</f>
        <v>#DIV/0!</v>
      </c>
      <c r="I89" s="308">
        <f>'K) Plafonnement aide'!J89</f>
        <v>0</v>
      </c>
      <c r="J89" s="311">
        <f>'J) Plafonnement effort'!J89</f>
        <v>0</v>
      </c>
      <c r="K89" s="308">
        <f>'L) Plafonnement taux'!Q90</f>
        <v>0</v>
      </c>
      <c r="L89" s="306" t="e">
        <f t="shared" si="3"/>
        <v>#DIV/0!</v>
      </c>
      <c r="M89" s="231">
        <f>'M) Police'!N89</f>
        <v>75434.59341931052</v>
      </c>
      <c r="N89" s="231" t="e">
        <f t="shared" si="4"/>
        <v>#DIV/0!</v>
      </c>
      <c r="O89" s="311" t="e">
        <f t="shared" si="5"/>
        <v>#DIV/0!</v>
      </c>
      <c r="P89" s="313"/>
    </row>
    <row r="90" spans="1:16" s="153" customFormat="1" x14ac:dyDescent="0.25">
      <c r="A90" s="150">
        <f>'B) D RI'!A91</f>
        <v>5537</v>
      </c>
      <c r="B90" s="151" t="str">
        <f>'B) D RI'!B91</f>
        <v>Villars-le-Terroir</v>
      </c>
      <c r="C90" s="309">
        <f>'B) D RI'!S91</f>
        <v>76</v>
      </c>
      <c r="D90" s="152">
        <f>'B) D RI'!AA91</f>
        <v>1316</v>
      </c>
      <c r="E90" s="307">
        <f>'D) Ecrêtage'!C90</f>
        <v>42917.816052631584</v>
      </c>
      <c r="F90" s="311">
        <f>'E) PCS'!G96</f>
        <v>580782.02852628566</v>
      </c>
      <c r="G90" s="308">
        <f>'H) Péréquation directe'!I100</f>
        <v>91824.342574835406</v>
      </c>
      <c r="H90" s="311" t="e">
        <f>+'I) Dépenses thématiques'!S90</f>
        <v>#DIV/0!</v>
      </c>
      <c r="I90" s="308">
        <f>'K) Plafonnement aide'!J90</f>
        <v>0</v>
      </c>
      <c r="J90" s="311">
        <f>'J) Plafonnement effort'!J90</f>
        <v>0</v>
      </c>
      <c r="K90" s="308">
        <f>'L) Plafonnement taux'!Q91</f>
        <v>0</v>
      </c>
      <c r="L90" s="306" t="e">
        <f t="shared" si="3"/>
        <v>#DIV/0!</v>
      </c>
      <c r="M90" s="231">
        <f>'M) Police'!N90</f>
        <v>129277.0942267301</v>
      </c>
      <c r="N90" s="231" t="e">
        <f t="shared" si="4"/>
        <v>#DIV/0!</v>
      </c>
      <c r="O90" s="311" t="e">
        <f t="shared" si="5"/>
        <v>#DIV/0!</v>
      </c>
      <c r="P90" s="313"/>
    </row>
    <row r="91" spans="1:16" s="153" customFormat="1" x14ac:dyDescent="0.25">
      <c r="A91" s="150">
        <f>'B) D RI'!A92</f>
        <v>5539</v>
      </c>
      <c r="B91" s="151" t="str">
        <f>'B) D RI'!B92</f>
        <v>Vuarrens</v>
      </c>
      <c r="C91" s="309">
        <f>'B) D RI'!S92</f>
        <v>73.5</v>
      </c>
      <c r="D91" s="152">
        <f>'B) D RI'!AA92</f>
        <v>1097</v>
      </c>
      <c r="E91" s="307">
        <f>'D) Ecrêtage'!C91</f>
        <v>34558.047482993185</v>
      </c>
      <c r="F91" s="311">
        <f>'E) PCS'!G97</f>
        <v>546717.33121321956</v>
      </c>
      <c r="G91" s="308">
        <f>'H) Péréquation directe'!I101</f>
        <v>90625.227597280056</v>
      </c>
      <c r="H91" s="311" t="e">
        <f>+'I) Dépenses thématiques'!S91</f>
        <v>#DIV/0!</v>
      </c>
      <c r="I91" s="308">
        <f>'K) Plafonnement aide'!J91</f>
        <v>0</v>
      </c>
      <c r="J91" s="311">
        <f>'J) Plafonnement effort'!J91</f>
        <v>0</v>
      </c>
      <c r="K91" s="308">
        <f>'L) Plafonnement taux'!Q92</f>
        <v>0</v>
      </c>
      <c r="L91" s="306" t="e">
        <f t="shared" si="3"/>
        <v>#DIV/0!</v>
      </c>
      <c r="M91" s="231">
        <f>'M) Police'!N91</f>
        <v>104005.28393812</v>
      </c>
      <c r="N91" s="231" t="e">
        <f t="shared" si="4"/>
        <v>#DIV/0!</v>
      </c>
      <c r="O91" s="311" t="e">
        <f t="shared" si="5"/>
        <v>#DIV/0!</v>
      </c>
      <c r="P91" s="313"/>
    </row>
    <row r="92" spans="1:16" s="153" customFormat="1" x14ac:dyDescent="0.25">
      <c r="A92" s="150">
        <f>'B) D RI'!A93</f>
        <v>5540</v>
      </c>
      <c r="B92" s="151" t="str">
        <f>'B) D RI'!B93</f>
        <v>Montilliez</v>
      </c>
      <c r="C92" s="309">
        <f>'B) D RI'!S93</f>
        <v>72.5</v>
      </c>
      <c r="D92" s="152">
        <f>'B) D RI'!AA93</f>
        <v>1883</v>
      </c>
      <c r="E92" s="307">
        <f>'D) Ecrêtage'!C92</f>
        <v>63315.990655172413</v>
      </c>
      <c r="F92" s="311">
        <f>'E) PCS'!G98</f>
        <v>920786.85807933682</v>
      </c>
      <c r="G92" s="308">
        <f>'H) Péréquation directe'!I102</f>
        <v>172438.5455819756</v>
      </c>
      <c r="H92" s="311" t="e">
        <f>+'I) Dépenses thématiques'!S92</f>
        <v>#DIV/0!</v>
      </c>
      <c r="I92" s="308">
        <f>'K) Plafonnement aide'!J92</f>
        <v>0</v>
      </c>
      <c r="J92" s="311">
        <f>'J) Plafonnement effort'!J92</f>
        <v>0</v>
      </c>
      <c r="K92" s="308">
        <f>'L) Plafonnement taux'!Q93</f>
        <v>0</v>
      </c>
      <c r="L92" s="306" t="e">
        <f>F92+G92+H92+I92+J92+K92</f>
        <v>#DIV/0!</v>
      </c>
      <c r="M92" s="231">
        <f>'M) Police'!N92</f>
        <v>190455.41108147433</v>
      </c>
      <c r="N92" s="231" t="e">
        <f t="shared" si="4"/>
        <v>#DIV/0!</v>
      </c>
      <c r="O92" s="311" t="e">
        <f t="shared" si="5"/>
        <v>#DIV/0!</v>
      </c>
      <c r="P92" s="313"/>
    </row>
    <row r="93" spans="1:16" s="153" customFormat="1" x14ac:dyDescent="0.25">
      <c r="A93" s="150">
        <f>'B) D RI'!A94</f>
        <v>5541</v>
      </c>
      <c r="B93" s="151" t="str">
        <f>'B) D RI'!B94</f>
        <v>Goumoëns</v>
      </c>
      <c r="C93" s="309">
        <f>'B) D RI'!S94</f>
        <v>75.5</v>
      </c>
      <c r="D93" s="152">
        <f>'B) D RI'!AA94</f>
        <v>1166</v>
      </c>
      <c r="E93" s="307">
        <f>'D) Ecrêtage'!C93</f>
        <v>41279.032715231784</v>
      </c>
      <c r="F93" s="311">
        <f>'E) PCS'!G99</f>
        <v>582427.15163079917</v>
      </c>
      <c r="G93" s="308">
        <f>'H) Péréquation directe'!I103</f>
        <v>247850.95225832658</v>
      </c>
      <c r="H93" s="311" t="e">
        <f>+'I) Dépenses thématiques'!S93</f>
        <v>#DIV/0!</v>
      </c>
      <c r="I93" s="308">
        <f>'K) Plafonnement aide'!J93</f>
        <v>0</v>
      </c>
      <c r="J93" s="311">
        <f>'J) Plafonnement effort'!J93</f>
        <v>0</v>
      </c>
      <c r="K93" s="308">
        <f>'L) Plafonnement taux'!Q94</f>
        <v>0</v>
      </c>
      <c r="L93" s="306" t="e">
        <f>F93+G93+H93+I93+J93+K93</f>
        <v>#DIV/0!</v>
      </c>
      <c r="M93" s="231">
        <f>'M) Police'!N93</f>
        <v>124847.77778756744</v>
      </c>
      <c r="N93" s="231" t="e">
        <f t="shared" si="4"/>
        <v>#DIV/0!</v>
      </c>
      <c r="O93" s="311" t="e">
        <f t="shared" si="5"/>
        <v>#DIV/0!</v>
      </c>
      <c r="P93" s="313"/>
    </row>
    <row r="94" spans="1:16" s="153" customFormat="1" x14ac:dyDescent="0.25">
      <c r="A94" s="150">
        <f>'B) D RI'!A95</f>
        <v>5551</v>
      </c>
      <c r="B94" s="151" t="str">
        <f>'B) D RI'!B95</f>
        <v>Bonvillars</v>
      </c>
      <c r="C94" s="309">
        <f>'B) D RI'!S95</f>
        <v>55</v>
      </c>
      <c r="D94" s="152">
        <f>'B) D RI'!AA95</f>
        <v>481</v>
      </c>
      <c r="E94" s="307">
        <f>'D) Ecrêtage'!C94</f>
        <v>18707.412</v>
      </c>
      <c r="F94" s="311">
        <f>'E) PCS'!G100</f>
        <v>282712.19697995379</v>
      </c>
      <c r="G94" s="308">
        <f>'H) Péréquation directe'!I104</f>
        <v>236487.69651924368</v>
      </c>
      <c r="H94" s="311" t="e">
        <f>+'I) Dépenses thématiques'!S94</f>
        <v>#DIV/0!</v>
      </c>
      <c r="I94" s="308">
        <f>'K) Plafonnement aide'!J94</f>
        <v>0</v>
      </c>
      <c r="J94" s="311">
        <f>'J) Plafonnement effort'!J94</f>
        <v>0</v>
      </c>
      <c r="K94" s="308">
        <f>'L) Plafonnement taux'!Q95</f>
        <v>0</v>
      </c>
      <c r="L94" s="306" t="e">
        <f t="shared" si="3"/>
        <v>#DIV/0!</v>
      </c>
      <c r="M94" s="231">
        <f>'M) Police'!N94</f>
        <v>54640.017744418525</v>
      </c>
      <c r="N94" s="231" t="e">
        <f t="shared" si="4"/>
        <v>#DIV/0!</v>
      </c>
      <c r="O94" s="311" t="e">
        <f t="shared" si="5"/>
        <v>#DIV/0!</v>
      </c>
      <c r="P94" s="313"/>
    </row>
    <row r="95" spans="1:16" s="153" customFormat="1" x14ac:dyDescent="0.25">
      <c r="A95" s="150">
        <f>'B) D RI'!A96</f>
        <v>5552</v>
      </c>
      <c r="B95" s="151" t="str">
        <f>'B) D RI'!B96</f>
        <v>Bullet</v>
      </c>
      <c r="C95" s="309">
        <f>'B) D RI'!S96</f>
        <v>71.5</v>
      </c>
      <c r="D95" s="152">
        <f>'B) D RI'!AA96</f>
        <v>657</v>
      </c>
      <c r="E95" s="307">
        <f>'D) Ecrêtage'!C95</f>
        <v>19599.59230769231</v>
      </c>
      <c r="F95" s="311">
        <f>'E) PCS'!G101</f>
        <v>439941.42180572374</v>
      </c>
      <c r="G95" s="308">
        <f>'H) Péréquation directe'!I105</f>
        <v>37138.543325342587</v>
      </c>
      <c r="H95" s="311" t="e">
        <f>+'I) Dépenses thématiques'!S95</f>
        <v>#DIV/0!</v>
      </c>
      <c r="I95" s="308">
        <f>'K) Plafonnement aide'!J95</f>
        <v>0</v>
      </c>
      <c r="J95" s="311">
        <f>'J) Plafonnement effort'!J95</f>
        <v>0</v>
      </c>
      <c r="K95" s="308">
        <f>'L) Plafonnement taux'!Q96</f>
        <v>0</v>
      </c>
      <c r="L95" s="306" t="e">
        <f t="shared" si="3"/>
        <v>#DIV/0!</v>
      </c>
      <c r="M95" s="231">
        <f>'M) Police'!N95</f>
        <v>58295.946359688416</v>
      </c>
      <c r="N95" s="231" t="e">
        <f t="shared" si="4"/>
        <v>#DIV/0!</v>
      </c>
      <c r="O95" s="311" t="e">
        <f t="shared" si="5"/>
        <v>#DIV/0!</v>
      </c>
      <c r="P95" s="313"/>
    </row>
    <row r="96" spans="1:16" s="153" customFormat="1" x14ac:dyDescent="0.25">
      <c r="A96" s="150">
        <f>'B) D RI'!A97</f>
        <v>5553</v>
      </c>
      <c r="B96" s="151" t="str">
        <f>'B) D RI'!B97</f>
        <v>Champagne</v>
      </c>
      <c r="C96" s="309">
        <f>'B) D RI'!S97</f>
        <v>65</v>
      </c>
      <c r="D96" s="152">
        <f>'B) D RI'!AA97</f>
        <v>1085</v>
      </c>
      <c r="E96" s="307">
        <f>'D) Ecrêtage'!C96</f>
        <v>40087.525538461538</v>
      </c>
      <c r="F96" s="311">
        <f>'E) PCS'!G102</f>
        <v>612401.71352815244</v>
      </c>
      <c r="G96" s="308">
        <f>'H) Péréquation directe'!I106</f>
        <v>389387.53398807766</v>
      </c>
      <c r="H96" s="311" t="e">
        <f>+'I) Dépenses thématiques'!S96</f>
        <v>#DIV/0!</v>
      </c>
      <c r="I96" s="308">
        <f>'K) Plafonnement aide'!J96</f>
        <v>0</v>
      </c>
      <c r="J96" s="311">
        <f>'J) Plafonnement effort'!J96</f>
        <v>0</v>
      </c>
      <c r="K96" s="308">
        <f>'L) Plafonnement taux'!Q97</f>
        <v>0</v>
      </c>
      <c r="L96" s="306" t="e">
        <f t="shared" si="3"/>
        <v>#DIV/0!</v>
      </c>
      <c r="M96" s="231">
        <f>'M) Police'!N96</f>
        <v>119107.39610018926</v>
      </c>
      <c r="N96" s="231" t="e">
        <f t="shared" si="4"/>
        <v>#DIV/0!</v>
      </c>
      <c r="O96" s="311" t="e">
        <f t="shared" si="5"/>
        <v>#DIV/0!</v>
      </c>
      <c r="P96" s="313"/>
    </row>
    <row r="97" spans="1:16" s="153" customFormat="1" x14ac:dyDescent="0.25">
      <c r="A97" s="150">
        <f>'B) D RI'!A98</f>
        <v>5554</v>
      </c>
      <c r="B97" s="151" t="str">
        <f>'B) D RI'!B98</f>
        <v>Concise</v>
      </c>
      <c r="C97" s="309">
        <f>'B) D RI'!S98</f>
        <v>75</v>
      </c>
      <c r="D97" s="152">
        <f>'B) D RI'!AA98</f>
        <v>1004</v>
      </c>
      <c r="E97" s="307">
        <f>'D) Ecrêtage'!C97</f>
        <v>31501.78373333333</v>
      </c>
      <c r="F97" s="311">
        <f>'E) PCS'!G103</f>
        <v>1059480.3534855356</v>
      </c>
      <c r="G97" s="308">
        <f>'H) Péréquation directe'!I107</f>
        <v>81625.289308979642</v>
      </c>
      <c r="H97" s="311" t="e">
        <f>+'I) Dépenses thématiques'!S97</f>
        <v>#DIV/0!</v>
      </c>
      <c r="I97" s="308">
        <f>'K) Plafonnement aide'!J97</f>
        <v>0</v>
      </c>
      <c r="J97" s="311">
        <f>'J) Plafonnement effort'!J97</f>
        <v>0</v>
      </c>
      <c r="K97" s="308">
        <f>'L) Plafonnement taux'!Q98</f>
        <v>0</v>
      </c>
      <c r="L97" s="306" t="e">
        <f t="shared" si="3"/>
        <v>#DIV/0!</v>
      </c>
      <c r="M97" s="231">
        <f>'M) Police'!N97</f>
        <v>94757.530958729942</v>
      </c>
      <c r="N97" s="231" t="e">
        <f t="shared" si="4"/>
        <v>#DIV/0!</v>
      </c>
      <c r="O97" s="311" t="e">
        <f t="shared" si="5"/>
        <v>#DIV/0!</v>
      </c>
      <c r="P97" s="313"/>
    </row>
    <row r="98" spans="1:16" s="153" customFormat="1" x14ac:dyDescent="0.25">
      <c r="A98" s="150">
        <f>'B) D RI'!A99</f>
        <v>5555</v>
      </c>
      <c r="B98" s="151" t="str">
        <f>'B) D RI'!B99</f>
        <v>Corcelles-près-Concise</v>
      </c>
      <c r="C98" s="309">
        <f>'B) D RI'!S99</f>
        <v>69</v>
      </c>
      <c r="D98" s="152">
        <f>'B) D RI'!AA99</f>
        <v>417</v>
      </c>
      <c r="E98" s="307">
        <f>'D) Ecrêtage'!C98</f>
        <v>13878.246956521738</v>
      </c>
      <c r="F98" s="311">
        <f>'E) PCS'!G104</f>
        <v>222019.87196613057</v>
      </c>
      <c r="G98" s="308">
        <f>'H) Péréquation directe'!I108</f>
        <v>88886.881924052781</v>
      </c>
      <c r="H98" s="311" t="e">
        <f>+'I) Dépenses thématiques'!S98</f>
        <v>#DIV/0!</v>
      </c>
      <c r="I98" s="308">
        <f>'K) Plafonnement aide'!J98</f>
        <v>0</v>
      </c>
      <c r="J98" s="311">
        <f>'J) Plafonnement effort'!J98</f>
        <v>0</v>
      </c>
      <c r="K98" s="308">
        <f>'L) Plafonnement taux'!Q99</f>
        <v>0</v>
      </c>
      <c r="L98" s="306" t="e">
        <f t="shared" si="3"/>
        <v>#DIV/0!</v>
      </c>
      <c r="M98" s="231">
        <f>'M) Police'!N98</f>
        <v>41208.409036357159</v>
      </c>
      <c r="N98" s="231" t="e">
        <f t="shared" si="4"/>
        <v>#DIV/0!</v>
      </c>
      <c r="O98" s="311" t="e">
        <f t="shared" si="5"/>
        <v>#DIV/0!</v>
      </c>
      <c r="P98" s="313"/>
    </row>
    <row r="99" spans="1:16" s="153" customFormat="1" x14ac:dyDescent="0.25">
      <c r="A99" s="150">
        <f>'B) D RI'!A100</f>
        <v>5556</v>
      </c>
      <c r="B99" s="151" t="str">
        <f>'B) D RI'!B100</f>
        <v>Fiez</v>
      </c>
      <c r="C99" s="309">
        <f>'B) D RI'!S100</f>
        <v>69</v>
      </c>
      <c r="D99" s="152">
        <f>'B) D RI'!AA100</f>
        <v>442</v>
      </c>
      <c r="E99" s="307">
        <f>'D) Ecrêtage'!C99</f>
        <v>14577.66780193237</v>
      </c>
      <c r="F99" s="311">
        <f>'E) PCS'!G105</f>
        <v>206668.78577980745</v>
      </c>
      <c r="G99" s="308">
        <f>'H) Péréquation directe'!I109</f>
        <v>89197.631361974141</v>
      </c>
      <c r="H99" s="311" t="e">
        <f>+'I) Dépenses thématiques'!S99</f>
        <v>#DIV/0!</v>
      </c>
      <c r="I99" s="308">
        <f>'K) Plafonnement aide'!J99</f>
        <v>0</v>
      </c>
      <c r="J99" s="311">
        <f>'J) Plafonnement effort'!J99</f>
        <v>0</v>
      </c>
      <c r="K99" s="308">
        <f>'L) Plafonnement taux'!Q100</f>
        <v>0</v>
      </c>
      <c r="L99" s="306" t="e">
        <f t="shared" si="3"/>
        <v>#DIV/0!</v>
      </c>
      <c r="M99" s="231">
        <f>'M) Police'!N99</f>
        <v>43890.88527461495</v>
      </c>
      <c r="N99" s="231" t="e">
        <f t="shared" si="4"/>
        <v>#DIV/0!</v>
      </c>
      <c r="O99" s="311" t="e">
        <f t="shared" si="5"/>
        <v>#DIV/0!</v>
      </c>
      <c r="P99" s="313"/>
    </row>
    <row r="100" spans="1:16" s="153" customFormat="1" x14ac:dyDescent="0.25">
      <c r="A100" s="150">
        <f>'B) D RI'!A101</f>
        <v>5557</v>
      </c>
      <c r="B100" s="151" t="str">
        <f>'B) D RI'!B101</f>
        <v>Fontaines-sur-Grandson</v>
      </c>
      <c r="C100" s="309">
        <f>'B) D RI'!S101</f>
        <v>69</v>
      </c>
      <c r="D100" s="152">
        <f>'B) D RI'!AA101</f>
        <v>220</v>
      </c>
      <c r="E100" s="307">
        <f>'D) Ecrêtage'!C100</f>
        <v>4232.7450724637674</v>
      </c>
      <c r="F100" s="311">
        <f>'E) PCS'!G106</f>
        <v>58242.685534775897</v>
      </c>
      <c r="G100" s="308">
        <f>'H) Péréquation directe'!I110</f>
        <v>-70004.231941106234</v>
      </c>
      <c r="H100" s="311" t="e">
        <f>+'I) Dépenses thématiques'!S100</f>
        <v>#DIV/0!</v>
      </c>
      <c r="I100" s="308">
        <f>'K) Plafonnement aide'!J100</f>
        <v>0</v>
      </c>
      <c r="J100" s="311">
        <f>'J) Plafonnement effort'!J100</f>
        <v>0</v>
      </c>
      <c r="K100" s="308">
        <f>'L) Plafonnement taux'!Q101</f>
        <v>0</v>
      </c>
      <c r="L100" s="306" t="e">
        <f t="shared" si="3"/>
        <v>#DIV/0!</v>
      </c>
      <c r="M100" s="231">
        <f>'M) Police'!N100</f>
        <v>12350.478559181278</v>
      </c>
      <c r="N100" s="231" t="e">
        <f t="shared" si="4"/>
        <v>#DIV/0!</v>
      </c>
      <c r="O100" s="311" t="e">
        <f t="shared" si="5"/>
        <v>#DIV/0!</v>
      </c>
      <c r="P100" s="313"/>
    </row>
    <row r="101" spans="1:16" s="153" customFormat="1" x14ac:dyDescent="0.25">
      <c r="A101" s="150">
        <f>'B) D RI'!A102</f>
        <v>5559</v>
      </c>
      <c r="B101" s="151" t="str">
        <f>'B) D RI'!B102</f>
        <v>Giez</v>
      </c>
      <c r="C101" s="309">
        <f>'B) D RI'!S102</f>
        <v>66</v>
      </c>
      <c r="D101" s="152">
        <f>'B) D RI'!AA102</f>
        <v>443</v>
      </c>
      <c r="E101" s="307">
        <f>'D) Ecrêtage'!C101</f>
        <v>23436.990303030303</v>
      </c>
      <c r="F101" s="311">
        <f>'E) PCS'!G107</f>
        <v>406377.52442433021</v>
      </c>
      <c r="G101" s="308">
        <f>'H) Péréquation directe'!I111</f>
        <v>385642.60798367672</v>
      </c>
      <c r="H101" s="311" t="e">
        <f>+'I) Dépenses thématiques'!S101</f>
        <v>#DIV/0!</v>
      </c>
      <c r="I101" s="308">
        <f>'K) Plafonnement aide'!J101</f>
        <v>0</v>
      </c>
      <c r="J101" s="311">
        <f>'J) Plafonnement effort'!J101</f>
        <v>0</v>
      </c>
      <c r="K101" s="308">
        <f>'L) Plafonnement taux'!Q102</f>
        <v>0</v>
      </c>
      <c r="L101" s="306" t="e">
        <f t="shared" si="3"/>
        <v>#DIV/0!</v>
      </c>
      <c r="M101" s="231">
        <f>'M) Police'!N101</f>
        <v>66971.55577160274</v>
      </c>
      <c r="N101" s="231" t="e">
        <f t="shared" si="4"/>
        <v>#DIV/0!</v>
      </c>
      <c r="O101" s="311" t="e">
        <f t="shared" si="5"/>
        <v>#DIV/0!</v>
      </c>
      <c r="P101" s="313"/>
    </row>
    <row r="102" spans="1:16" s="153" customFormat="1" x14ac:dyDescent="0.25">
      <c r="A102" s="150">
        <f>'B) D RI'!A103</f>
        <v>5560</v>
      </c>
      <c r="B102" s="151" t="str">
        <f>'B) D RI'!B103</f>
        <v>Grandevent</v>
      </c>
      <c r="C102" s="309">
        <f>'B) D RI'!S103</f>
        <v>68</v>
      </c>
      <c r="D102" s="152">
        <f>'B) D RI'!AA103</f>
        <v>238</v>
      </c>
      <c r="E102" s="307">
        <f>'D) Ecrêtage'!C102</f>
        <v>7003.7466176470589</v>
      </c>
      <c r="F102" s="311">
        <f>'E) PCS'!G108</f>
        <v>129255.14017564656</v>
      </c>
      <c r="G102" s="308">
        <f>'H) Péréquation directe'!I112</f>
        <v>18499.701395286276</v>
      </c>
      <c r="H102" s="311" t="e">
        <f>+'I) Dépenses thématiques'!S102</f>
        <v>#DIV/0!</v>
      </c>
      <c r="I102" s="308">
        <f>'K) Plafonnement aide'!J102</f>
        <v>0</v>
      </c>
      <c r="J102" s="311">
        <f>'J) Plafonnement effort'!J102</f>
        <v>0</v>
      </c>
      <c r="K102" s="308">
        <f>'L) Plafonnement taux'!Q103</f>
        <v>0</v>
      </c>
      <c r="L102" s="306" t="e">
        <f t="shared" si="3"/>
        <v>#DIV/0!</v>
      </c>
      <c r="M102" s="231">
        <f>'M) Police'!N102</f>
        <v>20904.841028122901</v>
      </c>
      <c r="N102" s="231" t="e">
        <f t="shared" si="4"/>
        <v>#DIV/0!</v>
      </c>
      <c r="O102" s="311" t="e">
        <f t="shared" si="5"/>
        <v>#DIV/0!</v>
      </c>
      <c r="P102" s="313"/>
    </row>
    <row r="103" spans="1:16" s="153" customFormat="1" x14ac:dyDescent="0.25">
      <c r="A103" s="150">
        <f>'B) D RI'!A104</f>
        <v>5561</v>
      </c>
      <c r="B103" s="151" t="str">
        <f>'B) D RI'!B104</f>
        <v>Grandson</v>
      </c>
      <c r="C103" s="309">
        <f>'B) D RI'!S104</f>
        <v>69</v>
      </c>
      <c r="D103" s="152">
        <f>'B) D RI'!AA104</f>
        <v>3366</v>
      </c>
      <c r="E103" s="307">
        <f>'D) Ecrêtage'!C103</f>
        <v>114506.05043478261</v>
      </c>
      <c r="F103" s="311">
        <f>'E) PCS'!G109</f>
        <v>2034161.8190487069</v>
      </c>
      <c r="G103" s="308">
        <f>'H) Péréquation directe'!I113</f>
        <v>225332.25457649142</v>
      </c>
      <c r="H103" s="311" t="e">
        <f>+'I) Dépenses thématiques'!S103</f>
        <v>#DIV/0!</v>
      </c>
      <c r="I103" s="308">
        <f>'K) Plafonnement aide'!J103</f>
        <v>0</v>
      </c>
      <c r="J103" s="311">
        <f>'J) Plafonnement effort'!J103</f>
        <v>0</v>
      </c>
      <c r="K103" s="308">
        <f>'L) Plafonnement taux'!Q104</f>
        <v>0</v>
      </c>
      <c r="L103" s="306" t="e">
        <f t="shared" si="3"/>
        <v>#DIV/0!</v>
      </c>
      <c r="M103" s="231">
        <f>'M) Police'!N103</f>
        <v>342913.10884891055</v>
      </c>
      <c r="N103" s="231" t="e">
        <f t="shared" si="4"/>
        <v>#DIV/0!</v>
      </c>
      <c r="O103" s="311" t="e">
        <f t="shared" si="5"/>
        <v>#DIV/0!</v>
      </c>
      <c r="P103" s="313"/>
    </row>
    <row r="104" spans="1:16" s="153" customFormat="1" x14ac:dyDescent="0.25">
      <c r="A104" s="150">
        <f>'B) D RI'!A105</f>
        <v>5562</v>
      </c>
      <c r="B104" s="151" t="str">
        <f>'B) D RI'!B105</f>
        <v>Mauborget</v>
      </c>
      <c r="C104" s="309">
        <f>'B) D RI'!S105</f>
        <v>70</v>
      </c>
      <c r="D104" s="152">
        <f>'B) D RI'!AA105</f>
        <v>137</v>
      </c>
      <c r="E104" s="307">
        <f>'D) Ecrêtage'!C104</f>
        <v>6099.4916904761894</v>
      </c>
      <c r="F104" s="311">
        <f>'E) PCS'!G110</f>
        <v>96386.870449903188</v>
      </c>
      <c r="G104" s="308">
        <f>'H) Péréquation directe'!I114</f>
        <v>87181.54215406446</v>
      </c>
      <c r="H104" s="311" t="e">
        <f>+'I) Dépenses thématiques'!S104</f>
        <v>#DIV/0!</v>
      </c>
      <c r="I104" s="308">
        <f>'K) Plafonnement aide'!J104</f>
        <v>0</v>
      </c>
      <c r="J104" s="311">
        <f>'J) Plafonnement effort'!J104</f>
        <v>0</v>
      </c>
      <c r="K104" s="308">
        <f>'L) Plafonnement taux'!Q105</f>
        <v>0</v>
      </c>
      <c r="L104" s="306" t="e">
        <f t="shared" si="3"/>
        <v>#DIV/0!</v>
      </c>
      <c r="M104" s="231">
        <f>'M) Police'!N104</f>
        <v>18364.756229856557</v>
      </c>
      <c r="N104" s="231" t="e">
        <f t="shared" si="4"/>
        <v>#DIV/0!</v>
      </c>
      <c r="O104" s="311" t="e">
        <f t="shared" si="5"/>
        <v>#DIV/0!</v>
      </c>
      <c r="P104" s="313"/>
    </row>
    <row r="105" spans="1:16" s="153" customFormat="1" x14ac:dyDescent="0.25">
      <c r="A105" s="150">
        <f>'B) D RI'!A106</f>
        <v>5563</v>
      </c>
      <c r="B105" s="151" t="str">
        <f>'B) D RI'!B106</f>
        <v>Mutrux</v>
      </c>
      <c r="C105" s="309">
        <f>'B) D RI'!S106</f>
        <v>80</v>
      </c>
      <c r="D105" s="152">
        <f>'B) D RI'!AA106</f>
        <v>151</v>
      </c>
      <c r="E105" s="307">
        <f>'D) Ecrêtage'!C105</f>
        <v>4282.2314999999999</v>
      </c>
      <c r="F105" s="311">
        <f>'E) PCS'!G111</f>
        <v>91674.615204309142</v>
      </c>
      <c r="G105" s="308">
        <f>'H) Péréquation directe'!I115</f>
        <v>-15788.398077052305</v>
      </c>
      <c r="H105" s="311" t="e">
        <f>+'I) Dépenses thématiques'!S105</f>
        <v>#DIV/0!</v>
      </c>
      <c r="I105" s="308">
        <f>'K) Plafonnement aide'!J105</f>
        <v>0</v>
      </c>
      <c r="J105" s="311">
        <f>'J) Plafonnement effort'!J105</f>
        <v>0</v>
      </c>
      <c r="K105" s="308">
        <f>'L) Plafonnement taux'!Q106</f>
        <v>0</v>
      </c>
      <c r="L105" s="306" t="e">
        <f t="shared" si="3"/>
        <v>#DIV/0!</v>
      </c>
      <c r="M105" s="231">
        <f>'M) Police'!N105</f>
        <v>13000.892071249684</v>
      </c>
      <c r="N105" s="231" t="e">
        <f t="shared" si="4"/>
        <v>#DIV/0!</v>
      </c>
      <c r="O105" s="311" t="e">
        <f t="shared" si="5"/>
        <v>#DIV/0!</v>
      </c>
      <c r="P105" s="313"/>
    </row>
    <row r="106" spans="1:16" s="153" customFormat="1" x14ac:dyDescent="0.25">
      <c r="A106" s="150">
        <f>'B) D RI'!A107</f>
        <v>5564</v>
      </c>
      <c r="B106" s="151" t="str">
        <f>'B) D RI'!B107</f>
        <v>Novalles</v>
      </c>
      <c r="C106" s="309">
        <f>'B) D RI'!S107</f>
        <v>76</v>
      </c>
      <c r="D106" s="152">
        <f>'B) D RI'!AA107</f>
        <v>103</v>
      </c>
      <c r="E106" s="307">
        <f>'D) Ecrêtage'!C106</f>
        <v>2099.5480592105264</v>
      </c>
      <c r="F106" s="311">
        <f>'E) PCS'!G112</f>
        <v>27426.271255453765</v>
      </c>
      <c r="G106" s="308">
        <f>'H) Péréquation directe'!I116</f>
        <v>-40032.511019323007</v>
      </c>
      <c r="H106" s="311" t="e">
        <f>+'I) Dépenses thématiques'!S106</f>
        <v>#DIV/0!</v>
      </c>
      <c r="I106" s="308">
        <f>'K) Plafonnement aide'!J106</f>
        <v>0</v>
      </c>
      <c r="J106" s="311">
        <f>'J) Plafonnement effort'!J106</f>
        <v>0</v>
      </c>
      <c r="K106" s="308">
        <f>'L) Plafonnement taux'!Q107</f>
        <v>0</v>
      </c>
      <c r="L106" s="306" t="e">
        <f t="shared" si="3"/>
        <v>#DIV/0!</v>
      </c>
      <c r="M106" s="231">
        <f>'M) Police'!N106</f>
        <v>6273.5034450869261</v>
      </c>
      <c r="N106" s="231" t="e">
        <f t="shared" si="4"/>
        <v>#DIV/0!</v>
      </c>
      <c r="O106" s="311" t="e">
        <f t="shared" si="5"/>
        <v>#DIV/0!</v>
      </c>
      <c r="P106" s="313"/>
    </row>
    <row r="107" spans="1:16" s="153" customFormat="1" x14ac:dyDescent="0.25">
      <c r="A107" s="150">
        <f>'B) D RI'!A108</f>
        <v>5565</v>
      </c>
      <c r="B107" s="151" t="str">
        <f>'B) D RI'!B108</f>
        <v>Onnens</v>
      </c>
      <c r="C107" s="309">
        <f>'B) D RI'!S108</f>
        <v>63.5</v>
      </c>
      <c r="D107" s="152">
        <f>'B) D RI'!AA108</f>
        <v>495</v>
      </c>
      <c r="E107" s="307">
        <f>'D) Ecrêtage'!C107</f>
        <v>22703.427716535429</v>
      </c>
      <c r="F107" s="311">
        <f>'E) PCS'!G113</f>
        <v>333378.75178784609</v>
      </c>
      <c r="G107" s="308">
        <f>'H) Péréquation directe'!I117</f>
        <v>344933.09301660763</v>
      </c>
      <c r="H107" s="311" t="e">
        <f>+'I) Dépenses thématiques'!S107</f>
        <v>#DIV/0!</v>
      </c>
      <c r="I107" s="308">
        <f>'K) Plafonnement aide'!J107</f>
        <v>0</v>
      </c>
      <c r="J107" s="311">
        <f>'J) Plafonnement effort'!J107</f>
        <v>0</v>
      </c>
      <c r="K107" s="308">
        <f>'L) Plafonnement taux'!Q108</f>
        <v>0</v>
      </c>
      <c r="L107" s="306" t="e">
        <f t="shared" si="3"/>
        <v>#DIV/0!</v>
      </c>
      <c r="M107" s="231">
        <f>'M) Police'!N107</f>
        <v>67037.593658987156</v>
      </c>
      <c r="N107" s="231" t="e">
        <f t="shared" si="4"/>
        <v>#DIV/0!</v>
      </c>
      <c r="O107" s="311" t="e">
        <f t="shared" si="5"/>
        <v>#DIV/0!</v>
      </c>
      <c r="P107" s="313"/>
    </row>
    <row r="108" spans="1:16" s="153" customFormat="1" x14ac:dyDescent="0.25">
      <c r="A108" s="150">
        <f>'B) D RI'!A109</f>
        <v>5566</v>
      </c>
      <c r="B108" s="151" t="str">
        <f>'B) D RI'!B109</f>
        <v>Provence</v>
      </c>
      <c r="C108" s="309">
        <f>'B) D RI'!S109</f>
        <v>81</v>
      </c>
      <c r="D108" s="152">
        <f>'B) D RI'!AA109</f>
        <v>403</v>
      </c>
      <c r="E108" s="307">
        <f>'D) Ecrêtage'!C108</f>
        <v>9377.8413580246925</v>
      </c>
      <c r="F108" s="311">
        <f>'E) PCS'!G114</f>
        <v>141878.13153504184</v>
      </c>
      <c r="G108" s="308">
        <f>'H) Péréquation directe'!I118</f>
        <v>-139707.23504950115</v>
      </c>
      <c r="H108" s="311" t="e">
        <f>+'I) Dépenses thématiques'!S108</f>
        <v>#DIV/0!</v>
      </c>
      <c r="I108" s="308">
        <f>'K) Plafonnement aide'!J108</f>
        <v>0</v>
      </c>
      <c r="J108" s="311">
        <f>'J) Plafonnement effort'!J108</f>
        <v>0</v>
      </c>
      <c r="K108" s="308">
        <f>'L) Plafonnement taux'!Q109</f>
        <v>0</v>
      </c>
      <c r="L108" s="306" t="e">
        <f t="shared" si="3"/>
        <v>#DIV/0!</v>
      </c>
      <c r="M108" s="231">
        <f>'M) Police'!N108</f>
        <v>28295.107594170648</v>
      </c>
      <c r="N108" s="231" t="e">
        <f t="shared" si="4"/>
        <v>#DIV/0!</v>
      </c>
      <c r="O108" s="311" t="e">
        <f t="shared" si="5"/>
        <v>#DIV/0!</v>
      </c>
      <c r="P108" s="313"/>
    </row>
    <row r="109" spans="1:16" s="153" customFormat="1" x14ac:dyDescent="0.25">
      <c r="A109" s="150">
        <f>'B) D RI'!A110</f>
        <v>5568</v>
      </c>
      <c r="B109" s="151" t="str">
        <f>'B) D RI'!B110</f>
        <v>Sainte-Croix</v>
      </c>
      <c r="C109" s="309">
        <f>'B) D RI'!S110</f>
        <v>70</v>
      </c>
      <c r="D109" s="152">
        <f>'B) D RI'!AA110</f>
        <v>4948</v>
      </c>
      <c r="E109" s="307">
        <f>'D) Ecrêtage'!C109</f>
        <v>109171.87199999999</v>
      </c>
      <c r="F109" s="311">
        <f>'E) PCS'!G115</f>
        <v>2582328.2707523797</v>
      </c>
      <c r="G109" s="308">
        <f>'H) Péréquation directe'!I119</f>
        <v>-2296260.4551380109</v>
      </c>
      <c r="H109" s="311" t="e">
        <f>+'I) Dépenses thématiques'!S109</f>
        <v>#DIV/0!</v>
      </c>
      <c r="I109" s="308">
        <f>'K) Plafonnement aide'!J109</f>
        <v>0</v>
      </c>
      <c r="J109" s="311">
        <f>'J) Plafonnement effort'!J109</f>
        <v>0</v>
      </c>
      <c r="K109" s="308">
        <f>'L) Plafonnement taux'!Q110</f>
        <v>0</v>
      </c>
      <c r="L109" s="306" t="e">
        <f t="shared" si="3"/>
        <v>#DIV/0!</v>
      </c>
      <c r="M109" s="231">
        <f>'M) Police'!N109</f>
        <v>325732.23007257382</v>
      </c>
      <c r="N109" s="231" t="e">
        <f t="shared" si="4"/>
        <v>#DIV/0!</v>
      </c>
      <c r="O109" s="311" t="e">
        <f t="shared" si="5"/>
        <v>#DIV/0!</v>
      </c>
      <c r="P109" s="313"/>
    </row>
    <row r="110" spans="1:16" s="153" customFormat="1" x14ac:dyDescent="0.25">
      <c r="A110" s="150">
        <f>'B) D RI'!A111</f>
        <v>5571</v>
      </c>
      <c r="B110" s="151" t="str">
        <f>'B) D RI'!B111</f>
        <v>Tévenon</v>
      </c>
      <c r="C110" s="309">
        <f>'B) D RI'!S111</f>
        <v>71.5</v>
      </c>
      <c r="D110" s="152">
        <f>'B) D RI'!AA111</f>
        <v>883</v>
      </c>
      <c r="E110" s="307">
        <f>'D) Ecrêtage'!C110</f>
        <v>25325.239790209791</v>
      </c>
      <c r="F110" s="311">
        <f>'E) PCS'!G116</f>
        <v>430004.93398105347</v>
      </c>
      <c r="G110" s="308">
        <f>'H) Péréquation directe'!I120</f>
        <v>10024.925376840518</v>
      </c>
      <c r="H110" s="311" t="e">
        <f>+'I) Dépenses thématiques'!S110</f>
        <v>#DIV/0!</v>
      </c>
      <c r="I110" s="308">
        <f>'K) Plafonnement aide'!J110</f>
        <v>0</v>
      </c>
      <c r="J110" s="311">
        <f>'J) Plafonnement effort'!J110</f>
        <v>0</v>
      </c>
      <c r="K110" s="308">
        <f>'L) Plafonnement taux'!Q111</f>
        <v>0</v>
      </c>
      <c r="L110" s="306" t="e">
        <f t="shared" si="3"/>
        <v>#DIV/0!</v>
      </c>
      <c r="M110" s="231">
        <f>'M) Police'!N110</f>
        <v>75299.304351191458</v>
      </c>
      <c r="N110" s="231" t="e">
        <f t="shared" si="4"/>
        <v>#DIV/0!</v>
      </c>
      <c r="O110" s="311" t="e">
        <f t="shared" si="5"/>
        <v>#DIV/0!</v>
      </c>
      <c r="P110" s="313"/>
    </row>
    <row r="111" spans="1:16" s="153" customFormat="1" x14ac:dyDescent="0.25">
      <c r="A111" s="150">
        <f>'B) D RI'!A112</f>
        <v>5581</v>
      </c>
      <c r="B111" s="151" t="str">
        <f>'B) D RI'!B112</f>
        <v>Belmont-sur-Lausanne</v>
      </c>
      <c r="C111" s="309">
        <f>'B) D RI'!S112</f>
        <v>72</v>
      </c>
      <c r="D111" s="152">
        <f>'B) D RI'!AA112</f>
        <v>3871</v>
      </c>
      <c r="E111" s="307">
        <f>'D) Ecrêtage'!C111</f>
        <v>215435.94296296299</v>
      </c>
      <c r="F111" s="311">
        <f>'E) PCS'!G117</f>
        <v>3836169.3102101116</v>
      </c>
      <c r="G111" s="308">
        <f>'H) Péréquation directe'!I121</f>
        <v>2794904.7579780584</v>
      </c>
      <c r="H111" s="311" t="e">
        <f>+'I) Dépenses thématiques'!S111</f>
        <v>#DIV/0!</v>
      </c>
      <c r="I111" s="308">
        <f>'K) Plafonnement aide'!J111</f>
        <v>0</v>
      </c>
      <c r="J111" s="311">
        <f>'J) Plafonnement effort'!J111</f>
        <v>0</v>
      </c>
      <c r="K111" s="308">
        <f>'L) Plafonnement taux'!Q112</f>
        <v>0</v>
      </c>
      <c r="L111" s="306" t="e">
        <f t="shared" si="3"/>
        <v>#DIV/0!</v>
      </c>
      <c r="M111" s="231">
        <f>'M) Police'!N111</f>
        <v>251383.99559146445</v>
      </c>
      <c r="N111" s="231" t="e">
        <f t="shared" si="4"/>
        <v>#DIV/0!</v>
      </c>
      <c r="O111" s="311" t="e">
        <f t="shared" si="5"/>
        <v>#DIV/0!</v>
      </c>
      <c r="P111" s="313"/>
    </row>
    <row r="112" spans="1:16" s="153" customFormat="1" x14ac:dyDescent="0.25">
      <c r="A112" s="150">
        <f>'B) D RI'!A113</f>
        <v>5582</v>
      </c>
      <c r="B112" s="151" t="str">
        <f>'B) D RI'!B113</f>
        <v>Cheseaux-sur-Lausanne</v>
      </c>
      <c r="C112" s="309">
        <f>'B) D RI'!S113</f>
        <v>73</v>
      </c>
      <c r="D112" s="152">
        <f>'B) D RI'!AA113</f>
        <v>4449</v>
      </c>
      <c r="E112" s="307">
        <f>'D) Ecrêtage'!C112</f>
        <v>167506.84698630136</v>
      </c>
      <c r="F112" s="311">
        <f>'E) PCS'!G118</f>
        <v>3068441.4430251019</v>
      </c>
      <c r="G112" s="308">
        <f>'H) Péréquation directe'!I122</f>
        <v>583743.25839663483</v>
      </c>
      <c r="H112" s="311" t="e">
        <f>+'I) Dépenses thématiques'!S112</f>
        <v>#DIV/0!</v>
      </c>
      <c r="I112" s="308">
        <f>'K) Plafonnement aide'!J112</f>
        <v>0</v>
      </c>
      <c r="J112" s="311">
        <f>'J) Plafonnement effort'!J112</f>
        <v>0</v>
      </c>
      <c r="K112" s="308">
        <f>'L) Plafonnement taux'!Q113</f>
        <v>0</v>
      </c>
      <c r="L112" s="306" t="e">
        <f t="shared" si="3"/>
        <v>#DIV/0!</v>
      </c>
      <c r="M112" s="231">
        <f>'M) Police'!N112</f>
        <v>502127.19425012066</v>
      </c>
      <c r="N112" s="231" t="e">
        <f t="shared" si="4"/>
        <v>#DIV/0!</v>
      </c>
      <c r="O112" s="311" t="e">
        <f t="shared" si="5"/>
        <v>#DIV/0!</v>
      </c>
      <c r="P112" s="313"/>
    </row>
    <row r="113" spans="1:17" s="153" customFormat="1" x14ac:dyDescent="0.25">
      <c r="A113" s="150">
        <f>'B) D RI'!A114</f>
        <v>5583</v>
      </c>
      <c r="B113" s="151" t="str">
        <f>'B) D RI'!B114</f>
        <v>Crissier</v>
      </c>
      <c r="C113" s="309">
        <f>'B) D RI'!S114</f>
        <v>63.5</v>
      </c>
      <c r="D113" s="152">
        <f>'B) D RI'!AA114</f>
        <v>8974</v>
      </c>
      <c r="E113" s="307">
        <f>'D) Ecrêtage'!C113</f>
        <v>337550.36173228343</v>
      </c>
      <c r="F113" s="311">
        <f>'E) PCS'!G119</f>
        <v>6223801.3849608116</v>
      </c>
      <c r="G113" s="308">
        <f>'H) Péréquation directe'!I123</f>
        <v>585545.60038777534</v>
      </c>
      <c r="H113" s="311" t="e">
        <f>+'I) Dépenses thématiques'!S113</f>
        <v>#DIV/0!</v>
      </c>
      <c r="I113" s="308">
        <f>'K) Plafonnement aide'!J113</f>
        <v>0</v>
      </c>
      <c r="J113" s="311">
        <f>'J) Plafonnement effort'!J113</f>
        <v>0</v>
      </c>
      <c r="K113" s="308">
        <f>'L) Plafonnement taux'!Q114</f>
        <v>0</v>
      </c>
      <c r="L113" s="306" t="e">
        <f t="shared" si="3"/>
        <v>#DIV/0!</v>
      </c>
      <c r="M113" s="231">
        <f>'M) Police'!N113</f>
        <v>393874.65934685519</v>
      </c>
      <c r="N113" s="231" t="e">
        <f t="shared" si="4"/>
        <v>#DIV/0!</v>
      </c>
      <c r="O113" s="311" t="e">
        <f t="shared" si="5"/>
        <v>#DIV/0!</v>
      </c>
      <c r="P113" s="313"/>
    </row>
    <row r="114" spans="1:17" s="153" customFormat="1" x14ac:dyDescent="0.25">
      <c r="A114" s="150">
        <f>'B) D RI'!A115</f>
        <v>5584</v>
      </c>
      <c r="B114" s="151" t="str">
        <f>'B) D RI'!B115</f>
        <v>Epalinges</v>
      </c>
      <c r="C114" s="309">
        <f>'B) D RI'!S115</f>
        <v>64.5</v>
      </c>
      <c r="D114" s="152">
        <f>'B) D RI'!AA115</f>
        <v>9813</v>
      </c>
      <c r="E114" s="307">
        <f>'D) Ecrêtage'!C114</f>
        <v>516766.84201550385</v>
      </c>
      <c r="F114" s="311">
        <f>'E) PCS'!G120</f>
        <v>8716705.1793119069</v>
      </c>
      <c r="G114" s="308">
        <f>'H) Péréquation directe'!I124</f>
        <v>4815469.3630660716</v>
      </c>
      <c r="H114" s="311" t="e">
        <f>+'I) Dépenses thématiques'!S114</f>
        <v>#DIV/0!</v>
      </c>
      <c r="I114" s="308">
        <f>'K) Plafonnement aide'!J114</f>
        <v>0</v>
      </c>
      <c r="J114" s="311">
        <f>'J) Plafonnement effort'!J114</f>
        <v>0</v>
      </c>
      <c r="K114" s="308">
        <f>'L) Plafonnement taux'!Q115</f>
        <v>0</v>
      </c>
      <c r="L114" s="306" t="e">
        <f t="shared" si="3"/>
        <v>#DIV/0!</v>
      </c>
      <c r="M114" s="231">
        <f>'M) Police'!N114</f>
        <v>1480712.4513850361</v>
      </c>
      <c r="N114" s="231" t="e">
        <f t="shared" si="4"/>
        <v>#DIV/0!</v>
      </c>
      <c r="O114" s="311" t="e">
        <f t="shared" si="5"/>
        <v>#DIV/0!</v>
      </c>
      <c r="P114" s="313"/>
    </row>
    <row r="115" spans="1:17" s="153" customFormat="1" x14ac:dyDescent="0.25">
      <c r="A115" s="150">
        <f>'B) D RI'!A116</f>
        <v>5585</v>
      </c>
      <c r="B115" s="151" t="str">
        <f>'B) D RI'!B116</f>
        <v>Jouxtens-Mézery</v>
      </c>
      <c r="C115" s="309">
        <f>'B) D RI'!S116</f>
        <v>59</v>
      </c>
      <c r="D115" s="152">
        <f>'B) D RI'!AA116</f>
        <v>1460</v>
      </c>
      <c r="E115" s="307">
        <f>'D) Ecrêtage'!C115</f>
        <v>191744.87050847456</v>
      </c>
      <c r="F115" s="311">
        <f>'E) PCS'!G121</f>
        <v>5642499.2947381604</v>
      </c>
      <c r="G115" s="308">
        <f>'H) Péréquation directe'!I125</f>
        <v>3321757.9071921082</v>
      </c>
      <c r="H115" s="311" t="e">
        <f>+'I) Dépenses thématiques'!S115</f>
        <v>#DIV/0!</v>
      </c>
      <c r="I115" s="308">
        <f>'K) Plafonnement aide'!J115</f>
        <v>0</v>
      </c>
      <c r="J115" s="311">
        <f>'J) Plafonnement effort'!J115</f>
        <v>0</v>
      </c>
      <c r="K115" s="308">
        <f>'L) Plafonnement taux'!Q116</f>
        <v>0</v>
      </c>
      <c r="L115" s="306" t="e">
        <f t="shared" si="3"/>
        <v>#DIV/0!</v>
      </c>
      <c r="M115" s="231">
        <f>'M) Police'!N115</f>
        <v>354328.46236456011</v>
      </c>
      <c r="N115" s="231" t="e">
        <f t="shared" si="4"/>
        <v>#DIV/0!</v>
      </c>
      <c r="O115" s="311" t="e">
        <f t="shared" si="5"/>
        <v>#DIV/0!</v>
      </c>
      <c r="P115" s="313"/>
    </row>
    <row r="116" spans="1:17" s="153" customFormat="1" x14ac:dyDescent="0.25">
      <c r="A116" s="150">
        <f>'B) D RI'!A117</f>
        <v>5586</v>
      </c>
      <c r="B116" s="151" t="str">
        <f>'B) D RI'!B117</f>
        <v>Lausanne</v>
      </c>
      <c r="C116" s="309">
        <f>'B) D RI'!S117</f>
        <v>78.5</v>
      </c>
      <c r="D116" s="152">
        <f>'B) D RI'!AA117</f>
        <v>140824</v>
      </c>
      <c r="E116" s="307">
        <f>'D) Ecrêtage'!C116</f>
        <v>6461491.7137154993</v>
      </c>
      <c r="F116" s="311">
        <f>'E) PCS'!G122</f>
        <v>106900088.83809286</v>
      </c>
      <c r="G116" s="308">
        <f>'H) Péréquation directe'!I126</f>
        <v>-28865428.830857888</v>
      </c>
      <c r="H116" s="311" t="e">
        <f>+'I) Dépenses thématiques'!S116</f>
        <v>#DIV/0!</v>
      </c>
      <c r="I116" s="308">
        <f>'K) Plafonnement aide'!J116</f>
        <v>0</v>
      </c>
      <c r="J116" s="311">
        <f>'J) Plafonnement effort'!J116</f>
        <v>0</v>
      </c>
      <c r="K116" s="308">
        <f>'L) Plafonnement taux'!Q117</f>
        <v>0</v>
      </c>
      <c r="L116" s="306" t="e">
        <f t="shared" ref="L116:L166" si="6">F116+G116+H116+I116+J116+K116</f>
        <v>#DIV/0!</v>
      </c>
      <c r="M116" s="231">
        <f>'M) Police'!N116</f>
        <v>7539668.5536089391</v>
      </c>
      <c r="N116" s="231" t="e">
        <f t="shared" si="4"/>
        <v>#DIV/0!</v>
      </c>
      <c r="O116" s="311" t="e">
        <f t="shared" si="5"/>
        <v>#DIV/0!</v>
      </c>
      <c r="P116" s="313"/>
      <c r="Q116" s="486"/>
    </row>
    <row r="117" spans="1:17" s="153" customFormat="1" x14ac:dyDescent="0.25">
      <c r="A117" s="150">
        <f>'B) D RI'!A118</f>
        <v>5587</v>
      </c>
      <c r="B117" s="151" t="str">
        <f>'B) D RI'!B118</f>
        <v>Le Mont-sur-Lausanne</v>
      </c>
      <c r="C117" s="309">
        <f>'B) D RI'!S118</f>
        <v>73.5</v>
      </c>
      <c r="D117" s="152">
        <f>'B) D RI'!AA118</f>
        <v>9217</v>
      </c>
      <c r="E117" s="307">
        <f>'D) Ecrêtage'!C117</f>
        <v>495058.05378684809</v>
      </c>
      <c r="F117" s="311">
        <f>'E) PCS'!G123</f>
        <v>9448466.0746383723</v>
      </c>
      <c r="G117" s="308">
        <f>'H) Péréquation directe'!I127</f>
        <v>4912655.4976910716</v>
      </c>
      <c r="H117" s="311" t="e">
        <f>+'I) Dépenses thématiques'!S117</f>
        <v>#DIV/0!</v>
      </c>
      <c r="I117" s="308">
        <f>'K) Plafonnement aide'!J117</f>
        <v>0</v>
      </c>
      <c r="J117" s="311">
        <f>'J) Plafonnement effort'!J117</f>
        <v>0</v>
      </c>
      <c r="K117" s="308">
        <f>'L) Plafonnement taux'!Q118</f>
        <v>0</v>
      </c>
      <c r="L117" s="306" t="e">
        <f t="shared" si="6"/>
        <v>#DIV/0!</v>
      </c>
      <c r="M117" s="231">
        <f>'M) Police'!N117</f>
        <v>1402072.4910107376</v>
      </c>
      <c r="N117" s="231" t="e">
        <f t="shared" si="4"/>
        <v>#DIV/0!</v>
      </c>
      <c r="O117" s="311" t="e">
        <f t="shared" si="5"/>
        <v>#DIV/0!</v>
      </c>
      <c r="P117" s="313"/>
    </row>
    <row r="118" spans="1:17" s="153" customFormat="1" x14ac:dyDescent="0.25">
      <c r="A118" s="150">
        <f>'B) D RI'!A119</f>
        <v>5588</v>
      </c>
      <c r="B118" s="151" t="str">
        <f>'B) D RI'!B119</f>
        <v>Paudex</v>
      </c>
      <c r="C118" s="309">
        <f>'B) D RI'!S119</f>
        <v>66.5</v>
      </c>
      <c r="D118" s="152">
        <f>'B) D RI'!AA119</f>
        <v>1545</v>
      </c>
      <c r="E118" s="307">
        <f>'D) Ecrêtage'!C118</f>
        <v>215756.29785177234</v>
      </c>
      <c r="F118" s="311">
        <f>'E) PCS'!G124</f>
        <v>6665943.964998303</v>
      </c>
      <c r="G118" s="308">
        <f>'H) Péréquation directe'!I128</f>
        <v>3743780.4989483324</v>
      </c>
      <c r="H118" s="311" t="e">
        <f>+'I) Dépenses thématiques'!S118</f>
        <v>#DIV/0!</v>
      </c>
      <c r="I118" s="308">
        <f>'K) Plafonnement aide'!J118</f>
        <v>0</v>
      </c>
      <c r="J118" s="311">
        <f>'J) Plafonnement effort'!J118</f>
        <v>0</v>
      </c>
      <c r="K118" s="308">
        <f>'L) Plafonnement taux'!Q119</f>
        <v>0</v>
      </c>
      <c r="L118" s="306" t="e">
        <f t="shared" si="6"/>
        <v>#DIV/0!</v>
      </c>
      <c r="M118" s="231">
        <f>'M) Police'!N118</f>
        <v>251757.8055084568</v>
      </c>
      <c r="N118" s="231" t="e">
        <f t="shared" si="4"/>
        <v>#DIV/0!</v>
      </c>
      <c r="O118" s="311" t="e">
        <f t="shared" si="5"/>
        <v>#DIV/0!</v>
      </c>
      <c r="P118" s="313"/>
    </row>
    <row r="119" spans="1:17" s="153" customFormat="1" x14ac:dyDescent="0.25">
      <c r="A119" s="150">
        <f>'B) D RI'!A120</f>
        <v>5589</v>
      </c>
      <c r="B119" s="151" t="str">
        <f>'B) D RI'!B120</f>
        <v>Prilly</v>
      </c>
      <c r="C119" s="309">
        <f>'B) D RI'!S120</f>
        <v>72.5</v>
      </c>
      <c r="D119" s="152">
        <f>'B) D RI'!AA120</f>
        <v>12341</v>
      </c>
      <c r="E119" s="307">
        <f>'D) Ecrêtage'!C119</f>
        <v>419549.81642440322</v>
      </c>
      <c r="F119" s="311">
        <f>'E) PCS'!G125</f>
        <v>6765710.5644450141</v>
      </c>
      <c r="G119" s="308">
        <f>'H) Péréquation directe'!I129</f>
        <v>-2950037.9380374653</v>
      </c>
      <c r="H119" s="311" t="e">
        <f>+'I) Dépenses thématiques'!S119</f>
        <v>#DIV/0!</v>
      </c>
      <c r="I119" s="308">
        <f>'K) Plafonnement aide'!J119</f>
        <v>0</v>
      </c>
      <c r="J119" s="311">
        <f>'J) Plafonnement effort'!J119</f>
        <v>0</v>
      </c>
      <c r="K119" s="308">
        <f>'L) Plafonnement taux'!Q120</f>
        <v>0</v>
      </c>
      <c r="L119" s="306" t="e">
        <f t="shared" si="6"/>
        <v>#DIV/0!</v>
      </c>
      <c r="M119" s="231">
        <f>'M) Police'!N119</f>
        <v>489556.69955483527</v>
      </c>
      <c r="N119" s="231" t="e">
        <f t="shared" si="4"/>
        <v>#DIV/0!</v>
      </c>
      <c r="O119" s="311" t="e">
        <f t="shared" si="5"/>
        <v>#DIV/0!</v>
      </c>
      <c r="P119" s="313"/>
    </row>
    <row r="120" spans="1:17" s="153" customFormat="1" x14ac:dyDescent="0.25">
      <c r="A120" s="150">
        <f>'B) D RI'!A121</f>
        <v>5590</v>
      </c>
      <c r="B120" s="151" t="str">
        <f>'B) D RI'!B121</f>
        <v>Pully</v>
      </c>
      <c r="C120" s="309">
        <f>'B) D RI'!S121</f>
        <v>61</v>
      </c>
      <c r="D120" s="152">
        <f>'B) D RI'!AA121</f>
        <v>18946</v>
      </c>
      <c r="E120" s="307">
        <f>'D) Ecrêtage'!C120</f>
        <v>1603030.9692740045</v>
      </c>
      <c r="F120" s="311">
        <f>'E) PCS'!G126</f>
        <v>37169036.140286915</v>
      </c>
      <c r="G120" s="308">
        <f>'H) Péréquation directe'!I130</f>
        <v>16266574.905508786</v>
      </c>
      <c r="H120" s="311" t="e">
        <f>+'I) Dépenses thématiques'!S120</f>
        <v>#DIV/0!</v>
      </c>
      <c r="I120" s="308">
        <f>'K) Plafonnement aide'!J120</f>
        <v>0</v>
      </c>
      <c r="J120" s="311">
        <f>'J) Plafonnement effort'!J120</f>
        <v>0</v>
      </c>
      <c r="K120" s="308">
        <f>'L) Plafonnement taux'!Q121</f>
        <v>0</v>
      </c>
      <c r="L120" s="306" t="e">
        <f t="shared" si="6"/>
        <v>#DIV/0!</v>
      </c>
      <c r="M120" s="231">
        <f>'M) Police'!N120</f>
        <v>1870515.7763866526</v>
      </c>
      <c r="N120" s="231" t="e">
        <f t="shared" si="4"/>
        <v>#DIV/0!</v>
      </c>
      <c r="O120" s="311" t="e">
        <f t="shared" si="5"/>
        <v>#DIV/0!</v>
      </c>
      <c r="P120" s="313"/>
    </row>
    <row r="121" spans="1:17" s="153" customFormat="1" x14ac:dyDescent="0.25">
      <c r="A121" s="150">
        <f>'B) D RI'!A122</f>
        <v>5591</v>
      </c>
      <c r="B121" s="151" t="str">
        <f>'B) D RI'!B122</f>
        <v>Renens</v>
      </c>
      <c r="C121" s="309">
        <f>'B) D RI'!S122</f>
        <v>77</v>
      </c>
      <c r="D121" s="152">
        <f>'B) D RI'!AA122</f>
        <v>20917</v>
      </c>
      <c r="E121" s="307">
        <f>'D) Ecrêtage'!C121</f>
        <v>569784.47115027823</v>
      </c>
      <c r="F121" s="311">
        <f>'E) PCS'!G127</f>
        <v>10069619.002911873</v>
      </c>
      <c r="G121" s="308">
        <f>'H) Péréquation directe'!I131</f>
        <v>-15738116.72485703</v>
      </c>
      <c r="H121" s="311" t="e">
        <f>+'I) Dépenses thématiques'!S121</f>
        <v>#DIV/0!</v>
      </c>
      <c r="I121" s="308">
        <f>'K) Plafonnement aide'!J121</f>
        <v>1110221.9527429314</v>
      </c>
      <c r="J121" s="311">
        <f>'J) Plafonnement effort'!J121</f>
        <v>0</v>
      </c>
      <c r="K121" s="308">
        <f>'L) Plafonnement taux'!Q122</f>
        <v>0</v>
      </c>
      <c r="L121" s="306" t="e">
        <f t="shared" si="6"/>
        <v>#DIV/0!</v>
      </c>
      <c r="M121" s="231">
        <f>'M) Police'!N121</f>
        <v>664859.79550938192</v>
      </c>
      <c r="N121" s="231" t="e">
        <f t="shared" si="4"/>
        <v>#DIV/0!</v>
      </c>
      <c r="O121" s="311" t="e">
        <f t="shared" si="5"/>
        <v>#DIV/0!</v>
      </c>
      <c r="P121" s="313"/>
    </row>
    <row r="122" spans="1:17" s="153" customFormat="1" x14ac:dyDescent="0.25">
      <c r="A122" s="150">
        <f>'B) D RI'!A123</f>
        <v>5592</v>
      </c>
      <c r="B122" s="151" t="str">
        <f>'B) D RI'!B123</f>
        <v>Romanel-sur-Lausanne</v>
      </c>
      <c r="C122" s="309">
        <f>'B) D RI'!S123</f>
        <v>70.5</v>
      </c>
      <c r="D122" s="152">
        <f>'B) D RI'!AA123</f>
        <v>3482</v>
      </c>
      <c r="E122" s="307">
        <f>'D) Ecrêtage'!C122</f>
        <v>121086.56368794327</v>
      </c>
      <c r="F122" s="311">
        <f>'E) PCS'!G128</f>
        <v>2343778.5873383982</v>
      </c>
      <c r="G122" s="308">
        <f>'H) Péréquation directe'!I132</f>
        <v>269819.59773332393</v>
      </c>
      <c r="H122" s="311" t="e">
        <f>+'I) Dépenses thématiques'!S122</f>
        <v>#DIV/0!</v>
      </c>
      <c r="I122" s="308">
        <f>'K) Plafonnement aide'!J122</f>
        <v>0</v>
      </c>
      <c r="J122" s="311">
        <f>'J) Plafonnement effort'!J122</f>
        <v>0</v>
      </c>
      <c r="K122" s="308">
        <f>'L) Plafonnement taux'!Q123</f>
        <v>0</v>
      </c>
      <c r="L122" s="306" t="e">
        <f t="shared" si="6"/>
        <v>#DIV/0!</v>
      </c>
      <c r="M122" s="231">
        <f>'M) Police'!N122</f>
        <v>361017.33058639814</v>
      </c>
      <c r="N122" s="231" t="e">
        <f t="shared" si="4"/>
        <v>#DIV/0!</v>
      </c>
      <c r="O122" s="311" t="e">
        <f t="shared" si="5"/>
        <v>#DIV/0!</v>
      </c>
      <c r="P122" s="313"/>
    </row>
    <row r="123" spans="1:17" s="153" customFormat="1" x14ac:dyDescent="0.25">
      <c r="A123" s="150">
        <f>'B) D RI'!A124</f>
        <v>5601</v>
      </c>
      <c r="B123" s="151" t="str">
        <f>'B) D RI'!B124</f>
        <v>Chexbres</v>
      </c>
      <c r="C123" s="309">
        <f>'B) D RI'!S124</f>
        <v>67.5</v>
      </c>
      <c r="D123" s="152">
        <f>'B) D RI'!AA124</f>
        <v>2229</v>
      </c>
      <c r="E123" s="307">
        <f>'D) Ecrêtage'!C123</f>
        <v>105973.06044444445</v>
      </c>
      <c r="F123" s="311">
        <f>'E) PCS'!G129</f>
        <v>1574866.5746416342</v>
      </c>
      <c r="G123" s="308">
        <f>'H) Péréquation directe'!I133</f>
        <v>1403750.9770160688</v>
      </c>
      <c r="H123" s="311" t="e">
        <f>+'I) Dépenses thématiques'!S123</f>
        <v>#DIV/0!</v>
      </c>
      <c r="I123" s="308">
        <f>'K) Plafonnement aide'!J123</f>
        <v>0</v>
      </c>
      <c r="J123" s="311">
        <f>'J) Plafonnement effort'!J123</f>
        <v>0</v>
      </c>
      <c r="K123" s="308">
        <f>'L) Plafonnement taux'!Q124</f>
        <v>0</v>
      </c>
      <c r="L123" s="306" t="e">
        <f t="shared" si="6"/>
        <v>#DIV/0!</v>
      </c>
      <c r="M123" s="231">
        <f>'M) Police'!N123</f>
        <v>123655.92757268022</v>
      </c>
      <c r="N123" s="231" t="e">
        <f t="shared" si="4"/>
        <v>#DIV/0!</v>
      </c>
      <c r="O123" s="311" t="e">
        <f t="shared" si="5"/>
        <v>#DIV/0!</v>
      </c>
      <c r="P123" s="313"/>
    </row>
    <row r="124" spans="1:17" s="153" customFormat="1" x14ac:dyDescent="0.25">
      <c r="A124" s="150">
        <f>'B) D RI'!A125</f>
        <v>5604</v>
      </c>
      <c r="B124" s="151" t="str">
        <f>'B) D RI'!B125</f>
        <v>Forel (Lavaux)</v>
      </c>
      <c r="C124" s="309">
        <f>'B) D RI'!S125</f>
        <v>69</v>
      </c>
      <c r="D124" s="152">
        <f>'B) D RI'!AA125</f>
        <v>2110</v>
      </c>
      <c r="E124" s="307">
        <f>'D) Ecrêtage'!C124</f>
        <v>75818.919130434777</v>
      </c>
      <c r="F124" s="311">
        <f>'E) PCS'!G130</f>
        <v>1149675.1988309047</v>
      </c>
      <c r="G124" s="308">
        <f>'H) Péréquation directe'!I134</f>
        <v>412268.14166267496</v>
      </c>
      <c r="H124" s="311" t="e">
        <f>+'I) Dépenses thématiques'!S124</f>
        <v>#DIV/0!</v>
      </c>
      <c r="I124" s="308">
        <f>'K) Plafonnement aide'!J124</f>
        <v>0</v>
      </c>
      <c r="J124" s="311">
        <f>'J) Plafonnement effort'!J124</f>
        <v>0</v>
      </c>
      <c r="K124" s="308">
        <f>'L) Plafonnement taux'!Q125</f>
        <v>0</v>
      </c>
      <c r="L124" s="306" t="e">
        <f t="shared" si="6"/>
        <v>#DIV/0!</v>
      </c>
      <c r="M124" s="231">
        <f>'M) Police'!N124</f>
        <v>227219.93100500904</v>
      </c>
      <c r="N124" s="231" t="e">
        <f t="shared" si="4"/>
        <v>#DIV/0!</v>
      </c>
      <c r="O124" s="311" t="e">
        <f t="shared" si="5"/>
        <v>#DIV/0!</v>
      </c>
      <c r="P124" s="313"/>
    </row>
    <row r="125" spans="1:17" s="153" customFormat="1" x14ac:dyDescent="0.25">
      <c r="A125" s="150">
        <f>'B) D RI'!A126</f>
        <v>5606</v>
      </c>
      <c r="B125" s="151" t="str">
        <f>'B) D RI'!B126</f>
        <v>Lutry</v>
      </c>
      <c r="C125" s="309">
        <f>'B) D RI'!S126</f>
        <v>54</v>
      </c>
      <c r="D125" s="152">
        <f>'B) D RI'!AA126</f>
        <v>10704</v>
      </c>
      <c r="E125" s="307">
        <f>'D) Ecrêtage'!C125</f>
        <v>941137.19529100519</v>
      </c>
      <c r="F125" s="311">
        <f>'E) PCS'!G131</f>
        <v>24662954.74806793</v>
      </c>
      <c r="G125" s="308">
        <f>'H) Péréquation directe'!I135</f>
        <v>12043070.812170515</v>
      </c>
      <c r="H125" s="311" t="e">
        <f>+'I) Dépenses thématiques'!S125</f>
        <v>#DIV/0!</v>
      </c>
      <c r="I125" s="308">
        <f>'K) Plafonnement aide'!J125</f>
        <v>0</v>
      </c>
      <c r="J125" s="311">
        <f>'J) Plafonnement effort'!J125</f>
        <v>0</v>
      </c>
      <c r="K125" s="308">
        <f>'L) Plafonnement taux'!Q126</f>
        <v>0</v>
      </c>
      <c r="L125" s="306" t="e">
        <f t="shared" si="6"/>
        <v>#DIV/0!</v>
      </c>
      <c r="M125" s="231">
        <f>'M) Police'!N125</f>
        <v>1098177.1439720737</v>
      </c>
      <c r="N125" s="231" t="e">
        <f t="shared" si="4"/>
        <v>#DIV/0!</v>
      </c>
      <c r="O125" s="311" t="e">
        <f t="shared" si="5"/>
        <v>#DIV/0!</v>
      </c>
      <c r="P125" s="313"/>
    </row>
    <row r="126" spans="1:17" s="153" customFormat="1" x14ac:dyDescent="0.25">
      <c r="A126" s="150">
        <f>'B) D RI'!A127</f>
        <v>5607</v>
      </c>
      <c r="B126" s="151" t="str">
        <f>'B) D RI'!B127</f>
        <v>Puidoux</v>
      </c>
      <c r="C126" s="309">
        <f>'B) D RI'!S127</f>
        <v>68.5</v>
      </c>
      <c r="D126" s="152">
        <f>'B) D RI'!AA127</f>
        <v>2924</v>
      </c>
      <c r="E126" s="307">
        <f>'D) Ecrêtage'!C126</f>
        <v>111580.38136464616</v>
      </c>
      <c r="F126" s="311">
        <f>'E) PCS'!G132</f>
        <v>1918842.8762104539</v>
      </c>
      <c r="G126" s="308">
        <f>'H) Péréquation directe'!I136</f>
        <v>739360.20836984226</v>
      </c>
      <c r="H126" s="311" t="e">
        <f>+'I) Dépenses thématiques'!S126</f>
        <v>#DIV/0!</v>
      </c>
      <c r="I126" s="308">
        <f>'K) Plafonnement aide'!J126</f>
        <v>0</v>
      </c>
      <c r="J126" s="311">
        <f>'J) Plafonnement effort'!J126</f>
        <v>0</v>
      </c>
      <c r="K126" s="308">
        <f>'L) Plafonnement taux'!Q127</f>
        <v>0</v>
      </c>
      <c r="L126" s="306" t="e">
        <f t="shared" si="6"/>
        <v>#DIV/0!</v>
      </c>
      <c r="M126" s="231">
        <f>'M) Police'!N126</f>
        <v>130198.89676388081</v>
      </c>
      <c r="N126" s="231" t="e">
        <f t="shared" si="4"/>
        <v>#DIV/0!</v>
      </c>
      <c r="O126" s="311" t="e">
        <f t="shared" si="5"/>
        <v>#DIV/0!</v>
      </c>
      <c r="P126" s="313"/>
    </row>
    <row r="127" spans="1:17" s="153" customFormat="1" x14ac:dyDescent="0.25">
      <c r="A127" s="150">
        <f>'B) D RI'!A128</f>
        <v>5609</v>
      </c>
      <c r="B127" s="151" t="str">
        <f>'B) D RI'!B128</f>
        <v>Rivaz</v>
      </c>
      <c r="C127" s="309">
        <f>'B) D RI'!S128</f>
        <v>62</v>
      </c>
      <c r="D127" s="152">
        <f>'B) D RI'!AA128</f>
        <v>331</v>
      </c>
      <c r="E127" s="307">
        <f>'D) Ecrêtage'!C127</f>
        <v>14896.510161290325</v>
      </c>
      <c r="F127" s="311">
        <f>'E) PCS'!G133</f>
        <v>200663.11299915539</v>
      </c>
      <c r="G127" s="308">
        <f>'H) Péréquation directe'!I137</f>
        <v>221550.24032570096</v>
      </c>
      <c r="H127" s="311" t="e">
        <f>+'I) Dépenses thématiques'!S127</f>
        <v>#DIV/0!</v>
      </c>
      <c r="I127" s="308">
        <f>'K) Plafonnement aide'!J127</f>
        <v>0</v>
      </c>
      <c r="J127" s="311">
        <f>'J) Plafonnement effort'!J127</f>
        <v>0</v>
      </c>
      <c r="K127" s="308">
        <f>'L) Plafonnement taux'!Q128</f>
        <v>0</v>
      </c>
      <c r="L127" s="306" t="e">
        <f t="shared" si="6"/>
        <v>#DIV/0!</v>
      </c>
      <c r="M127" s="231">
        <f>'M) Police'!N127</f>
        <v>17382.170278604794</v>
      </c>
      <c r="N127" s="231" t="e">
        <f t="shared" si="4"/>
        <v>#DIV/0!</v>
      </c>
      <c r="O127" s="311" t="e">
        <f t="shared" si="5"/>
        <v>#DIV/0!</v>
      </c>
      <c r="P127" s="313"/>
    </row>
    <row r="128" spans="1:17" s="153" customFormat="1" x14ac:dyDescent="0.25">
      <c r="A128" s="150">
        <f>'B) D RI'!A129</f>
        <v>5610</v>
      </c>
      <c r="B128" s="151" t="str">
        <f>'B) D RI'!B129</f>
        <v>St-Saphorin (Lavaux)</v>
      </c>
      <c r="C128" s="309">
        <f>'B) D RI'!S129</f>
        <v>72</v>
      </c>
      <c r="D128" s="152">
        <f>'B) D RI'!AA129</f>
        <v>396</v>
      </c>
      <c r="E128" s="307">
        <f>'D) Ecrêtage'!C128</f>
        <v>23448.462152777778</v>
      </c>
      <c r="F128" s="311">
        <f>'E) PCS'!G134</f>
        <v>640398.68128035276</v>
      </c>
      <c r="G128" s="308">
        <f>'H) Péréquation directe'!I138</f>
        <v>391721.60015924956</v>
      </c>
      <c r="H128" s="311" t="e">
        <f>+'I) Dépenses thématiques'!S128</f>
        <v>#DIV/0!</v>
      </c>
      <c r="I128" s="308">
        <f>'K) Plafonnement aide'!J128</f>
        <v>0</v>
      </c>
      <c r="J128" s="311">
        <f>'J) Plafonnement effort'!J128</f>
        <v>0</v>
      </c>
      <c r="K128" s="308">
        <f>'L) Plafonnement taux'!Q129</f>
        <v>0</v>
      </c>
      <c r="L128" s="306" t="e">
        <f t="shared" si="6"/>
        <v>#DIV/0!</v>
      </c>
      <c r="M128" s="231">
        <f>'M) Police'!N128</f>
        <v>27361.117301832423</v>
      </c>
      <c r="N128" s="231" t="e">
        <f t="shared" si="4"/>
        <v>#DIV/0!</v>
      </c>
      <c r="O128" s="311" t="e">
        <f t="shared" si="5"/>
        <v>#DIV/0!</v>
      </c>
      <c r="P128" s="313"/>
    </row>
    <row r="129" spans="1:16" s="153" customFormat="1" x14ac:dyDescent="0.25">
      <c r="A129" s="150">
        <f>'B) D RI'!A130</f>
        <v>5611</v>
      </c>
      <c r="B129" s="151" t="str">
        <f>'B) D RI'!B130</f>
        <v>Savigny</v>
      </c>
      <c r="C129" s="309">
        <f>'B) D RI'!S130</f>
        <v>69</v>
      </c>
      <c r="D129" s="152">
        <f>'B) D RI'!AA130</f>
        <v>3370</v>
      </c>
      <c r="E129" s="307">
        <f>'D) Ecrêtage'!C129</f>
        <v>140983.13330917869</v>
      </c>
      <c r="F129" s="311">
        <f>'E) PCS'!G135</f>
        <v>2163807.4534994331</v>
      </c>
      <c r="G129" s="308">
        <f>'H) Péréquation directe'!I139</f>
        <v>1221602.961626248</v>
      </c>
      <c r="H129" s="311" t="e">
        <f>+'I) Dépenses thématiques'!S129</f>
        <v>#DIV/0!</v>
      </c>
      <c r="I129" s="308">
        <f>'K) Plafonnement aide'!J129</f>
        <v>0</v>
      </c>
      <c r="J129" s="311">
        <f>'J) Plafonnement effort'!J129</f>
        <v>0</v>
      </c>
      <c r="K129" s="308">
        <f>'L) Plafonnement taux'!Q130</f>
        <v>0</v>
      </c>
      <c r="L129" s="306" t="e">
        <f t="shared" si="6"/>
        <v>#DIV/0!</v>
      </c>
      <c r="M129" s="231">
        <f>'M) Police'!N129</f>
        <v>164507.8480166065</v>
      </c>
      <c r="N129" s="231" t="e">
        <f t="shared" si="4"/>
        <v>#DIV/0!</v>
      </c>
      <c r="O129" s="311" t="e">
        <f t="shared" si="5"/>
        <v>#DIV/0!</v>
      </c>
      <c r="P129" s="313"/>
    </row>
    <row r="130" spans="1:16" s="153" customFormat="1" x14ac:dyDescent="0.25">
      <c r="A130" s="150">
        <f>'B) D RI'!A131</f>
        <v>5613</v>
      </c>
      <c r="B130" s="151" t="str">
        <f>'B) D RI'!B131</f>
        <v>Bourg-en-Lavaux</v>
      </c>
      <c r="C130" s="309">
        <f>'B) D RI'!S131</f>
        <v>62.5</v>
      </c>
      <c r="D130" s="152">
        <f>'B) D RI'!AA131</f>
        <v>5367</v>
      </c>
      <c r="E130" s="307">
        <f>'D) Ecrêtage'!C130</f>
        <v>357210.57141333341</v>
      </c>
      <c r="F130" s="311">
        <f>'E) PCS'!G136</f>
        <v>6876011.3216014076</v>
      </c>
      <c r="G130" s="308">
        <f>'H) Péréquation directe'!I140</f>
        <v>4678905.5775821591</v>
      </c>
      <c r="H130" s="311" t="e">
        <f>+'I) Dépenses thématiques'!S130</f>
        <v>#DIV/0!</v>
      </c>
      <c r="I130" s="308">
        <f>'K) Plafonnement aide'!J130</f>
        <v>0</v>
      </c>
      <c r="J130" s="311">
        <f>'J) Plafonnement effort'!J130</f>
        <v>0</v>
      </c>
      <c r="K130" s="308">
        <f>'L) Plafonnement taux'!Q131</f>
        <v>0</v>
      </c>
      <c r="L130" s="306" t="e">
        <f t="shared" si="6"/>
        <v>#DIV/0!</v>
      </c>
      <c r="M130" s="231">
        <f>'M) Police'!N130</f>
        <v>416815.40913918667</v>
      </c>
      <c r="N130" s="231" t="e">
        <f t="shared" si="4"/>
        <v>#DIV/0!</v>
      </c>
      <c r="O130" s="311" t="e">
        <f t="shared" si="5"/>
        <v>#DIV/0!</v>
      </c>
      <c r="P130" s="313"/>
    </row>
    <row r="131" spans="1:16" s="153" customFormat="1" x14ac:dyDescent="0.25">
      <c r="A131" s="150">
        <f>'B) D RI'!A132</f>
        <v>5621</v>
      </c>
      <c r="B131" s="151" t="str">
        <f>'B) D RI'!B132</f>
        <v>Aclens</v>
      </c>
      <c r="C131" s="309">
        <f>'B) D RI'!S132</f>
        <v>62</v>
      </c>
      <c r="D131" s="152">
        <f>'B) D RI'!AA132</f>
        <v>517</v>
      </c>
      <c r="E131" s="307">
        <f>'D) Ecrêtage'!C131</f>
        <v>32271.293782991204</v>
      </c>
      <c r="F131" s="311">
        <f>'E) PCS'!G137</f>
        <v>712260.22225691681</v>
      </c>
      <c r="G131" s="308">
        <f>'H) Péréquation directe'!I141</f>
        <v>542605.72814784257</v>
      </c>
      <c r="H131" s="311" t="e">
        <f>+'I) Dépenses thématiques'!S131</f>
        <v>#DIV/0!</v>
      </c>
      <c r="I131" s="308">
        <f>'K) Plafonnement aide'!J131</f>
        <v>0</v>
      </c>
      <c r="J131" s="311">
        <f>'J) Plafonnement effort'!J131</f>
        <v>0</v>
      </c>
      <c r="K131" s="308">
        <f>'L) Plafonnement taux'!Q132</f>
        <v>0</v>
      </c>
      <c r="L131" s="306" t="e">
        <f t="shared" si="6"/>
        <v>#DIV/0!</v>
      </c>
      <c r="M131" s="231">
        <f>'M) Police'!N131</f>
        <v>83898.846130478749</v>
      </c>
      <c r="N131" s="231" t="e">
        <f t="shared" si="4"/>
        <v>#DIV/0!</v>
      </c>
      <c r="O131" s="311" t="e">
        <f t="shared" si="5"/>
        <v>#DIV/0!</v>
      </c>
      <c r="P131" s="313"/>
    </row>
    <row r="132" spans="1:16" s="153" customFormat="1" x14ac:dyDescent="0.25">
      <c r="A132" s="150">
        <f>'B) D RI'!A133</f>
        <v>5622</v>
      </c>
      <c r="B132" s="151" t="str">
        <f>'B) D RI'!B133</f>
        <v>Bremblens</v>
      </c>
      <c r="C132" s="309">
        <f>'B) D RI'!S133</f>
        <v>68</v>
      </c>
      <c r="D132" s="152">
        <f>'B) D RI'!AA133</f>
        <v>607</v>
      </c>
      <c r="E132" s="307">
        <f>'D) Ecrêtage'!C132</f>
        <v>28643.938676470589</v>
      </c>
      <c r="F132" s="311">
        <f>'E) PCS'!G138</f>
        <v>463096.03167268238</v>
      </c>
      <c r="G132" s="308">
        <f>'H) Péréquation directe'!I142</f>
        <v>449272.35952577525</v>
      </c>
      <c r="H132" s="311" t="e">
        <f>+'I) Dépenses thématiques'!S132</f>
        <v>#DIV/0!</v>
      </c>
      <c r="I132" s="308">
        <f>'K) Plafonnement aide'!J132</f>
        <v>0</v>
      </c>
      <c r="J132" s="311">
        <f>'J) Plafonnement effort'!J132</f>
        <v>0</v>
      </c>
      <c r="K132" s="308">
        <f>'L) Plafonnement taux'!Q133</f>
        <v>0</v>
      </c>
      <c r="L132" s="306" t="e">
        <f t="shared" si="6"/>
        <v>#DIV/0!</v>
      </c>
      <c r="M132" s="231">
        <f>'M) Police'!N132</f>
        <v>86041.133601526337</v>
      </c>
      <c r="N132" s="231" t="e">
        <f t="shared" si="4"/>
        <v>#DIV/0!</v>
      </c>
      <c r="O132" s="311" t="e">
        <f t="shared" si="5"/>
        <v>#DIV/0!</v>
      </c>
      <c r="P132" s="313"/>
    </row>
    <row r="133" spans="1:16" s="153" customFormat="1" x14ac:dyDescent="0.25">
      <c r="A133" s="150">
        <f>'B) D RI'!A134</f>
        <v>5623</v>
      </c>
      <c r="B133" s="151" t="str">
        <f>'B) D RI'!B134</f>
        <v>Buchillon</v>
      </c>
      <c r="C133" s="309">
        <f>'B) D RI'!S134</f>
        <v>52</v>
      </c>
      <c r="D133" s="152">
        <f>'B) D RI'!AA134</f>
        <v>669</v>
      </c>
      <c r="E133" s="307">
        <f>'D) Ecrêtage'!C133</f>
        <v>89231.951153846152</v>
      </c>
      <c r="F133" s="311">
        <f>'E) PCS'!G139</f>
        <v>2392120.9528367696</v>
      </c>
      <c r="G133" s="308">
        <f>'H) Péréquation directe'!I143</f>
        <v>1595211.0003278612</v>
      </c>
      <c r="H133" s="311" t="e">
        <f>+'I) Dépenses thématiques'!S133</f>
        <v>#DIV/0!</v>
      </c>
      <c r="I133" s="308">
        <f>'K) Plafonnement aide'!J133</f>
        <v>0</v>
      </c>
      <c r="J133" s="311">
        <f>'J) Plafonnement effort'!J133</f>
        <v>0</v>
      </c>
      <c r="K133" s="308">
        <f>'L) Plafonnement taux'!Q134</f>
        <v>0</v>
      </c>
      <c r="L133" s="306" t="e">
        <f t="shared" si="6"/>
        <v>#DIV/0!</v>
      </c>
      <c r="M133" s="231">
        <f>'M) Police'!N133</f>
        <v>104121.36483340933</v>
      </c>
      <c r="N133" s="231" t="e">
        <f t="shared" si="4"/>
        <v>#DIV/0!</v>
      </c>
      <c r="O133" s="311" t="e">
        <f t="shared" si="5"/>
        <v>#DIV/0!</v>
      </c>
      <c r="P133" s="313"/>
    </row>
    <row r="134" spans="1:16" s="153" customFormat="1" x14ac:dyDescent="0.25">
      <c r="A134" s="150">
        <f>'B) D RI'!A135</f>
        <v>5624</v>
      </c>
      <c r="B134" s="151" t="str">
        <f>'B) D RI'!B135</f>
        <v>Bussigny</v>
      </c>
      <c r="C134" s="309">
        <f>'B) D RI'!S135</f>
        <v>62.5</v>
      </c>
      <c r="D134" s="152">
        <f>'B) D RI'!AA135</f>
        <v>10253</v>
      </c>
      <c r="E134" s="307">
        <f>'D) Ecrêtage'!C134</f>
        <v>441939.99008000002</v>
      </c>
      <c r="F134" s="311">
        <f>'E) PCS'!G140</f>
        <v>7702344.5440173242</v>
      </c>
      <c r="G134" s="308">
        <f>'H) Péréquation directe'!I144</f>
        <v>2182595.6393734263</v>
      </c>
      <c r="H134" s="311" t="e">
        <f>+'I) Dépenses thématiques'!S134</f>
        <v>#DIV/0!</v>
      </c>
      <c r="I134" s="308">
        <f>'K) Plafonnement aide'!J134</f>
        <v>0</v>
      </c>
      <c r="J134" s="311">
        <f>'J) Plafonnement effort'!J134</f>
        <v>0</v>
      </c>
      <c r="K134" s="308">
        <f>'L) Plafonnement taux'!Q135</f>
        <v>0</v>
      </c>
      <c r="L134" s="306" t="e">
        <f t="shared" si="6"/>
        <v>#DIV/0!</v>
      </c>
      <c r="M134" s="231">
        <f>'M) Police'!N134</f>
        <v>515682.94032097474</v>
      </c>
      <c r="N134" s="231" t="e">
        <f t="shared" ref="N134:N192" si="7">L134+M134</f>
        <v>#DIV/0!</v>
      </c>
      <c r="O134" s="311" t="e">
        <f t="shared" ref="O134:O197" si="8">SUM(G134:K134)</f>
        <v>#DIV/0!</v>
      </c>
      <c r="P134" s="313"/>
    </row>
    <row r="135" spans="1:16" s="153" customFormat="1" x14ac:dyDescent="0.25">
      <c r="A135" s="150">
        <f>'B) D RI'!A136</f>
        <v>5625</v>
      </c>
      <c r="B135" s="151" t="str">
        <f>'B) D RI'!B136</f>
        <v>Bussy-Chardonney</v>
      </c>
      <c r="C135" s="309">
        <f>'B) D RI'!S136</f>
        <v>72</v>
      </c>
      <c r="D135" s="152">
        <f>'B) D RI'!AA136</f>
        <v>412</v>
      </c>
      <c r="E135" s="307">
        <f>'D) Ecrêtage'!C135</f>
        <v>21108.495740740738</v>
      </c>
      <c r="F135" s="311">
        <f>'E) PCS'!G141</f>
        <v>286669.21498048119</v>
      </c>
      <c r="G135" s="308">
        <f>'H) Péréquation directe'!I145</f>
        <v>345705.22488910722</v>
      </c>
      <c r="H135" s="311" t="e">
        <f>+'I) Dépenses thématiques'!S135</f>
        <v>#DIV/0!</v>
      </c>
      <c r="I135" s="308">
        <f>'K) Plafonnement aide'!J135</f>
        <v>0</v>
      </c>
      <c r="J135" s="311">
        <f>'J) Plafonnement effort'!J135</f>
        <v>0</v>
      </c>
      <c r="K135" s="308">
        <f>'L) Plafonnement taux'!Q136</f>
        <v>0</v>
      </c>
      <c r="L135" s="306" t="e">
        <f t="shared" si="6"/>
        <v>#DIV/0!</v>
      </c>
      <c r="M135" s="231">
        <f>'M) Police'!N135</f>
        <v>61481.750888027833</v>
      </c>
      <c r="N135" s="231" t="e">
        <f t="shared" si="7"/>
        <v>#DIV/0!</v>
      </c>
      <c r="O135" s="311" t="e">
        <f t="shared" si="8"/>
        <v>#DIV/0!</v>
      </c>
      <c r="P135" s="313"/>
    </row>
    <row r="136" spans="1:16" s="153" customFormat="1" x14ac:dyDescent="0.25">
      <c r="A136" s="150">
        <f>'B) D RI'!A137</f>
        <v>5627</v>
      </c>
      <c r="B136" s="151" t="str">
        <f>'B) D RI'!B137</f>
        <v>Chavannes-près-Renens</v>
      </c>
      <c r="C136" s="309">
        <f>'B) D RI'!S137</f>
        <v>77.5</v>
      </c>
      <c r="D136" s="152">
        <f>'B) D RI'!AA137</f>
        <v>8767</v>
      </c>
      <c r="E136" s="307">
        <f>'D) Ecrêtage'!C136</f>
        <v>194072.91458064516</v>
      </c>
      <c r="F136" s="311">
        <f>'E) PCS'!G142</f>
        <v>3431211.2531210189</v>
      </c>
      <c r="G136" s="308">
        <f>'H) Péréquation directe'!I146</f>
        <v>-5958991.0647936026</v>
      </c>
      <c r="H136" s="311" t="e">
        <f>+'I) Dépenses thématiques'!S136</f>
        <v>#DIV/0!</v>
      </c>
      <c r="I136" s="308">
        <f>'K) Plafonnement aide'!J136</f>
        <v>975196.49502742232</v>
      </c>
      <c r="J136" s="311">
        <f>'J) Plafonnement effort'!J136</f>
        <v>0</v>
      </c>
      <c r="K136" s="308">
        <f>'L) Plafonnement taux'!Q137</f>
        <v>0</v>
      </c>
      <c r="L136" s="306" t="e">
        <f t="shared" si="6"/>
        <v>#DIV/0!</v>
      </c>
      <c r="M136" s="231">
        <f>'M) Police'!N136</f>
        <v>226456.29151933492</v>
      </c>
      <c r="N136" s="231" t="e">
        <f t="shared" si="7"/>
        <v>#DIV/0!</v>
      </c>
      <c r="O136" s="311" t="e">
        <f t="shared" si="8"/>
        <v>#DIV/0!</v>
      </c>
      <c r="P136" s="313"/>
    </row>
    <row r="137" spans="1:16" s="153" customFormat="1" x14ac:dyDescent="0.25">
      <c r="A137" s="150">
        <f>'B) D RI'!A138</f>
        <v>5628</v>
      </c>
      <c r="B137" s="151" t="str">
        <f>'B) D RI'!B138</f>
        <v>Chigny</v>
      </c>
      <c r="C137" s="309">
        <f>'B) D RI'!S138</f>
        <v>62</v>
      </c>
      <c r="D137" s="152">
        <f>'B) D RI'!AA138</f>
        <v>405</v>
      </c>
      <c r="E137" s="307">
        <f>'D) Ecrêtage'!C137</f>
        <v>25790.901129032256</v>
      </c>
      <c r="F137" s="311">
        <f>'E) PCS'!G143</f>
        <v>432272.17633943364</v>
      </c>
      <c r="G137" s="308">
        <f>'H) Péréquation directe'!I147</f>
        <v>434665.77803898556</v>
      </c>
      <c r="H137" s="311" t="e">
        <f>+'I) Dépenses thématiques'!S137</f>
        <v>#DIV/0!</v>
      </c>
      <c r="I137" s="308">
        <f>'K) Plafonnement aide'!J137</f>
        <v>0</v>
      </c>
      <c r="J137" s="311">
        <f>'J) Plafonnement effort'!J137</f>
        <v>0</v>
      </c>
      <c r="K137" s="308">
        <f>'L) Plafonnement taux'!Q138</f>
        <v>0</v>
      </c>
      <c r="L137" s="306" t="e">
        <f t="shared" si="6"/>
        <v>#DIV/0!</v>
      </c>
      <c r="M137" s="231">
        <f>'M) Police'!N137</f>
        <v>66319.361282129059</v>
      </c>
      <c r="N137" s="231" t="e">
        <f t="shared" si="7"/>
        <v>#DIV/0!</v>
      </c>
      <c r="O137" s="311" t="e">
        <f t="shared" si="8"/>
        <v>#DIV/0!</v>
      </c>
      <c r="P137" s="313"/>
    </row>
    <row r="138" spans="1:16" s="153" customFormat="1" x14ac:dyDescent="0.25">
      <c r="A138" s="150">
        <f>'B) D RI'!A139</f>
        <v>5629</v>
      </c>
      <c r="B138" s="151" t="str">
        <f>'B) D RI'!B139</f>
        <v>Clarmont</v>
      </c>
      <c r="C138" s="309">
        <f>'B) D RI'!S139</f>
        <v>73.5</v>
      </c>
      <c r="D138" s="152">
        <f>'B) D RI'!AA139</f>
        <v>211</v>
      </c>
      <c r="E138" s="307">
        <f>'D) Ecrêtage'!C138</f>
        <v>9948.0614965986406</v>
      </c>
      <c r="F138" s="311">
        <f>'E) PCS'!G144</f>
        <v>134836.08763750899</v>
      </c>
      <c r="G138" s="308">
        <f>'H) Péréquation directe'!I148</f>
        <v>155001.52487611544</v>
      </c>
      <c r="H138" s="311" t="e">
        <f>+'I) Dépenses thématiques'!S138</f>
        <v>#DIV/0!</v>
      </c>
      <c r="I138" s="308">
        <f>'K) Plafonnement aide'!J138</f>
        <v>0</v>
      </c>
      <c r="J138" s="311">
        <f>'J) Plafonnement effort'!J138</f>
        <v>0</v>
      </c>
      <c r="K138" s="308">
        <f>'L) Plafonnement taux'!Q139</f>
        <v>0</v>
      </c>
      <c r="L138" s="306" t="e">
        <f t="shared" si="6"/>
        <v>#DIV/0!</v>
      </c>
      <c r="M138" s="231">
        <f>'M) Police'!N138</f>
        <v>30480.761150806247</v>
      </c>
      <c r="N138" s="231" t="e">
        <f t="shared" si="7"/>
        <v>#DIV/0!</v>
      </c>
      <c r="O138" s="311" t="e">
        <f t="shared" si="8"/>
        <v>#DIV/0!</v>
      </c>
      <c r="P138" s="313"/>
    </row>
    <row r="139" spans="1:16" s="153" customFormat="1" x14ac:dyDescent="0.25">
      <c r="A139" s="150">
        <f>'B) D RI'!A140</f>
        <v>5631</v>
      </c>
      <c r="B139" s="151" t="str">
        <f>'B) D RI'!B140</f>
        <v>Denens</v>
      </c>
      <c r="C139" s="309">
        <f>'B) D RI'!S140</f>
        <v>68</v>
      </c>
      <c r="D139" s="152">
        <f>'B) D RI'!AA140</f>
        <v>733</v>
      </c>
      <c r="E139" s="307">
        <f>'D) Ecrêtage'!C139</f>
        <v>43290.229264705871</v>
      </c>
      <c r="F139" s="311">
        <f>'E) PCS'!G145</f>
        <v>909009.12968978845</v>
      </c>
      <c r="G139" s="308">
        <f>'H) Péréquation directe'!I149</f>
        <v>722952.74793804076</v>
      </c>
      <c r="H139" s="311" t="e">
        <f>+'I) Dépenses thématiques'!S139</f>
        <v>#DIV/0!</v>
      </c>
      <c r="I139" s="308">
        <f>'K) Plafonnement aide'!J139</f>
        <v>0</v>
      </c>
      <c r="J139" s="311">
        <f>'J) Plafonnement effort'!J139</f>
        <v>0</v>
      </c>
      <c r="K139" s="308">
        <f>'L) Plafonnement taux'!Q140</f>
        <v>0</v>
      </c>
      <c r="L139" s="306" t="e">
        <f t="shared" si="6"/>
        <v>#DIV/0!</v>
      </c>
      <c r="M139" s="231">
        <f>'M) Police'!N139</f>
        <v>116076.39083932276</v>
      </c>
      <c r="N139" s="231" t="e">
        <f t="shared" si="7"/>
        <v>#DIV/0!</v>
      </c>
      <c r="O139" s="311" t="e">
        <f t="shared" si="8"/>
        <v>#DIV/0!</v>
      </c>
      <c r="P139" s="313"/>
    </row>
    <row r="140" spans="1:16" s="153" customFormat="1" x14ac:dyDescent="0.25">
      <c r="A140" s="150">
        <f>'B) D RI'!A141</f>
        <v>5632</v>
      </c>
      <c r="B140" s="151" t="str">
        <f>'B) D RI'!B141</f>
        <v>Denges</v>
      </c>
      <c r="C140" s="309">
        <f>'B) D RI'!S141</f>
        <v>62</v>
      </c>
      <c r="D140" s="152">
        <f>'B) D RI'!AA141</f>
        <v>1744</v>
      </c>
      <c r="E140" s="307">
        <f>'D) Ecrêtage'!C140</f>
        <v>80521.21435483871</v>
      </c>
      <c r="F140" s="311">
        <f>'E) PCS'!G146</f>
        <v>1220073.7524326497</v>
      </c>
      <c r="G140" s="308">
        <f>'H) Péréquation directe'!I150</f>
        <v>1069749.5521535107</v>
      </c>
      <c r="H140" s="311" t="e">
        <f>+'I) Dépenses thématiques'!S140</f>
        <v>#DIV/0!</v>
      </c>
      <c r="I140" s="308">
        <f>'K) Plafonnement aide'!J140</f>
        <v>0</v>
      </c>
      <c r="J140" s="311">
        <f>'J) Plafonnement effort'!J140</f>
        <v>0</v>
      </c>
      <c r="K140" s="308">
        <f>'L) Plafonnement taux'!Q141</f>
        <v>0</v>
      </c>
      <c r="L140" s="306" t="e">
        <f t="shared" si="6"/>
        <v>#DIV/0!</v>
      </c>
      <c r="M140" s="231">
        <f>'M) Police'!N140</f>
        <v>241389.32464081235</v>
      </c>
      <c r="N140" s="231" t="e">
        <f t="shared" si="7"/>
        <v>#DIV/0!</v>
      </c>
      <c r="O140" s="311" t="e">
        <f t="shared" si="8"/>
        <v>#DIV/0!</v>
      </c>
      <c r="P140" s="313"/>
    </row>
    <row r="141" spans="1:16" s="153" customFormat="1" x14ac:dyDescent="0.25">
      <c r="A141" s="150">
        <f>'B) D RI'!A142</f>
        <v>5633</v>
      </c>
      <c r="B141" s="151" t="str">
        <f>'B) D RI'!B142</f>
        <v>Echandens</v>
      </c>
      <c r="C141" s="309">
        <f>'B) D RI'!S142</f>
        <v>60.5</v>
      </c>
      <c r="D141" s="152">
        <f>'B) D RI'!AA142</f>
        <v>2775</v>
      </c>
      <c r="E141" s="307">
        <f>'D) Ecrêtage'!C141</f>
        <v>170287.16859504132</v>
      </c>
      <c r="F141" s="311">
        <f>'E) PCS'!G147</f>
        <v>2890355.3957745917</v>
      </c>
      <c r="G141" s="308">
        <f>'H) Péréquation directe'!I151</f>
        <v>2458762.951887155</v>
      </c>
      <c r="H141" s="311" t="e">
        <f>+'I) Dépenses thématiques'!S141</f>
        <v>#DIV/0!</v>
      </c>
      <c r="I141" s="308">
        <f>'K) Plafonnement aide'!J141</f>
        <v>0</v>
      </c>
      <c r="J141" s="311">
        <f>'J) Plafonnement effort'!J141</f>
        <v>0</v>
      </c>
      <c r="K141" s="308">
        <f>'L) Plafonnement taux'!Q142</f>
        <v>0</v>
      </c>
      <c r="L141" s="306" t="e">
        <f t="shared" si="6"/>
        <v>#DIV/0!</v>
      </c>
      <c r="M141" s="231">
        <f>'M) Police'!N141</f>
        <v>446909.54076956183</v>
      </c>
      <c r="N141" s="231" t="e">
        <f t="shared" si="7"/>
        <v>#DIV/0!</v>
      </c>
      <c r="O141" s="311" t="e">
        <f t="shared" si="8"/>
        <v>#DIV/0!</v>
      </c>
      <c r="P141" s="313"/>
    </row>
    <row r="142" spans="1:16" s="153" customFormat="1" x14ac:dyDescent="0.25">
      <c r="A142" s="150">
        <f>'B) D RI'!A143</f>
        <v>5634</v>
      </c>
      <c r="B142" s="151" t="str">
        <f>'B) D RI'!B143</f>
        <v>Echichens</v>
      </c>
      <c r="C142" s="309">
        <f>'B) D RI'!S143</f>
        <v>66</v>
      </c>
      <c r="D142" s="152">
        <f>'B) D RI'!AA143</f>
        <v>3142</v>
      </c>
      <c r="E142" s="307">
        <f>'D) Ecrêtage'!C142</f>
        <v>152568.89227272727</v>
      </c>
      <c r="F142" s="311">
        <f>'E) PCS'!G148</f>
        <v>2407284.6561302538</v>
      </c>
      <c r="G142" s="308">
        <f>'H) Péréquation directe'!I152</f>
        <v>1975990.8425084259</v>
      </c>
      <c r="H142" s="311" t="e">
        <f>+'I) Dépenses thématiques'!S142</f>
        <v>#DIV/0!</v>
      </c>
      <c r="I142" s="308">
        <f>'K) Plafonnement aide'!J142</f>
        <v>0</v>
      </c>
      <c r="J142" s="311">
        <f>'J) Plafonnement effort'!J142</f>
        <v>0</v>
      </c>
      <c r="K142" s="308">
        <f>'L) Plafonnement taux'!Q143</f>
        <v>0</v>
      </c>
      <c r="L142" s="306" t="e">
        <f t="shared" si="6"/>
        <v>#DIV/0!</v>
      </c>
      <c r="M142" s="231">
        <f>'M) Police'!N142</f>
        <v>459060.81683962815</v>
      </c>
      <c r="N142" s="231" t="e">
        <f t="shared" si="7"/>
        <v>#DIV/0!</v>
      </c>
      <c r="O142" s="311" t="e">
        <f t="shared" si="8"/>
        <v>#DIV/0!</v>
      </c>
      <c r="P142" s="313"/>
    </row>
    <row r="143" spans="1:16" s="153" customFormat="1" x14ac:dyDescent="0.25">
      <c r="A143" s="150">
        <f>'B) D RI'!A144</f>
        <v>5635</v>
      </c>
      <c r="B143" s="151" t="str">
        <f>'B) D RI'!B144</f>
        <v>Ecublens</v>
      </c>
      <c r="C143" s="309">
        <f>'B) D RI'!S144</f>
        <v>62.5</v>
      </c>
      <c r="D143" s="152">
        <f>'B) D RI'!AA144</f>
        <v>13214</v>
      </c>
      <c r="E143" s="307">
        <f>'D) Ecrêtage'!C143</f>
        <v>872367.07997333352</v>
      </c>
      <c r="F143" s="311">
        <f>'E) PCS'!G149</f>
        <v>16310894.026859539</v>
      </c>
      <c r="G143" s="308">
        <f>'H) Péréquation directe'!I153</f>
        <v>8438398.600475505</v>
      </c>
      <c r="H143" s="311" t="e">
        <f>+'I) Dépenses thématiques'!S143</f>
        <v>#DIV/0!</v>
      </c>
      <c r="I143" s="308">
        <f>'K) Plafonnement aide'!J143</f>
        <v>0</v>
      </c>
      <c r="J143" s="311">
        <f>'J) Plafonnement effort'!J143</f>
        <v>0</v>
      </c>
      <c r="K143" s="308">
        <f>'L) Plafonnement taux'!Q144</f>
        <v>0</v>
      </c>
      <c r="L143" s="306" t="e">
        <f t="shared" si="6"/>
        <v>#DIV/0!</v>
      </c>
      <c r="M143" s="231">
        <f>'M) Police'!N143</f>
        <v>1017931.9159563654</v>
      </c>
      <c r="N143" s="231" t="e">
        <f t="shared" si="7"/>
        <v>#DIV/0!</v>
      </c>
      <c r="O143" s="311" t="e">
        <f t="shared" si="8"/>
        <v>#DIV/0!</v>
      </c>
      <c r="P143" s="313"/>
    </row>
    <row r="144" spans="1:16" s="153" customFormat="1" x14ac:dyDescent="0.25">
      <c r="A144" s="150">
        <f>'B) D RI'!A145</f>
        <v>5636</v>
      </c>
      <c r="B144" s="151" t="str">
        <f>'B) D RI'!B145</f>
        <v>Etoy</v>
      </c>
      <c r="C144" s="309">
        <f>'B) D RI'!S145</f>
        <v>60</v>
      </c>
      <c r="D144" s="152">
        <f>'B) D RI'!AA145</f>
        <v>2918</v>
      </c>
      <c r="E144" s="307">
        <f>'D) Ecrêtage'!C144</f>
        <v>187063.54000000004</v>
      </c>
      <c r="F144" s="311">
        <f>'E) PCS'!G150</f>
        <v>4044827.7212999747</v>
      </c>
      <c r="G144" s="308">
        <f>'H) Péréquation directe'!I154</f>
        <v>2724417.5751183201</v>
      </c>
      <c r="H144" s="311" t="e">
        <f>+'I) Dépenses thématiques'!S144</f>
        <v>#DIV/0!</v>
      </c>
      <c r="I144" s="308">
        <f>'K) Plafonnement aide'!J144</f>
        <v>0</v>
      </c>
      <c r="J144" s="311">
        <f>'J) Plafonnement effort'!J144</f>
        <v>0</v>
      </c>
      <c r="K144" s="308">
        <f>'L) Plafonnement taux'!Q145</f>
        <v>0</v>
      </c>
      <c r="L144" s="306" t="e">
        <f t="shared" si="6"/>
        <v>#DIV/0!</v>
      </c>
      <c r="M144" s="231">
        <f>'M) Police'!N144</f>
        <v>479275.78430883749</v>
      </c>
      <c r="N144" s="231" t="e">
        <f t="shared" si="7"/>
        <v>#DIV/0!</v>
      </c>
      <c r="O144" s="311" t="e">
        <f t="shared" si="8"/>
        <v>#DIV/0!</v>
      </c>
      <c r="P144" s="313"/>
    </row>
    <row r="145" spans="1:16" s="153" customFormat="1" x14ac:dyDescent="0.25">
      <c r="A145" s="150">
        <f>'B) D RI'!A146</f>
        <v>5637</v>
      </c>
      <c r="B145" s="151" t="str">
        <f>'B) D RI'!B146</f>
        <v>Lavigny</v>
      </c>
      <c r="C145" s="309">
        <f>'B) D RI'!S146</f>
        <v>73</v>
      </c>
      <c r="D145" s="152">
        <f>'B) D RI'!AA146</f>
        <v>1026</v>
      </c>
      <c r="E145" s="307">
        <f>'D) Ecrêtage'!C145</f>
        <v>37900.997397260275</v>
      </c>
      <c r="F145" s="311">
        <f>'E) PCS'!G151</f>
        <v>705873.89985293709</v>
      </c>
      <c r="G145" s="308">
        <f>'H) Péréquation directe'!I155</f>
        <v>328189.26249437046</v>
      </c>
      <c r="H145" s="311" t="e">
        <f>+'I) Dépenses thématiques'!S145</f>
        <v>#DIV/0!</v>
      </c>
      <c r="I145" s="308">
        <f>'K) Plafonnement aide'!J145</f>
        <v>0</v>
      </c>
      <c r="J145" s="311">
        <f>'J) Plafonnement effort'!J145</f>
        <v>0</v>
      </c>
      <c r="K145" s="308">
        <f>'L) Plafonnement taux'!Q146</f>
        <v>0</v>
      </c>
      <c r="L145" s="306" t="e">
        <f t="shared" si="6"/>
        <v>#DIV/0!</v>
      </c>
      <c r="M145" s="231">
        <f>'M) Police'!N145</f>
        <v>114413.68112053481</v>
      </c>
      <c r="N145" s="231" t="e">
        <f t="shared" si="7"/>
        <v>#DIV/0!</v>
      </c>
      <c r="O145" s="311" t="e">
        <f t="shared" si="8"/>
        <v>#DIV/0!</v>
      </c>
      <c r="P145" s="313"/>
    </row>
    <row r="146" spans="1:16" s="153" customFormat="1" x14ac:dyDescent="0.25">
      <c r="A146" s="150">
        <f>'B) D RI'!A147</f>
        <v>5638</v>
      </c>
      <c r="B146" s="151" t="str">
        <f>'B) D RI'!B147</f>
        <v>Lonay</v>
      </c>
      <c r="C146" s="309">
        <f>'B) D RI'!S147</f>
        <v>55</v>
      </c>
      <c r="D146" s="152">
        <f>'B) D RI'!AA147</f>
        <v>2751</v>
      </c>
      <c r="E146" s="307">
        <f>'D) Ecrêtage'!C146</f>
        <v>174154.93872727267</v>
      </c>
      <c r="F146" s="311">
        <f>'E) PCS'!G152</f>
        <v>6877308.8128383532</v>
      </c>
      <c r="G146" s="308">
        <f>'H) Péréquation directe'!I156</f>
        <v>2539908.114579469</v>
      </c>
      <c r="H146" s="311" t="e">
        <f>+'I) Dépenses thématiques'!S146</f>
        <v>#DIV/0!</v>
      </c>
      <c r="I146" s="308">
        <f>'K) Plafonnement aide'!J146</f>
        <v>0</v>
      </c>
      <c r="J146" s="311">
        <f>'J) Plafonnement effort'!J146</f>
        <v>0</v>
      </c>
      <c r="K146" s="308">
        <f>'L) Plafonnement taux'!Q147</f>
        <v>0</v>
      </c>
      <c r="L146" s="306" t="e">
        <f t="shared" si="6"/>
        <v>#DIV/0!</v>
      </c>
      <c r="M146" s="231">
        <f>'M) Police'!N146</f>
        <v>449276.03122798132</v>
      </c>
      <c r="N146" s="231" t="e">
        <f t="shared" si="7"/>
        <v>#DIV/0!</v>
      </c>
      <c r="O146" s="311" t="e">
        <f t="shared" si="8"/>
        <v>#DIV/0!</v>
      </c>
      <c r="P146" s="313"/>
    </row>
    <row r="147" spans="1:16" s="153" customFormat="1" x14ac:dyDescent="0.25">
      <c r="A147" s="150">
        <f>'B) D RI'!A148</f>
        <v>5639</v>
      </c>
      <c r="B147" s="151" t="str">
        <f>'B) D RI'!B148</f>
        <v>Lully</v>
      </c>
      <c r="C147" s="309">
        <f>'B) D RI'!S148</f>
        <v>61</v>
      </c>
      <c r="D147" s="152">
        <f>'B) D RI'!AA148</f>
        <v>828</v>
      </c>
      <c r="E147" s="307">
        <f>'D) Ecrêtage'!C147</f>
        <v>53711.269344262299</v>
      </c>
      <c r="F147" s="311">
        <f>'E) PCS'!G153</f>
        <v>951777.80992736248</v>
      </c>
      <c r="G147" s="308">
        <f>'H) Péréquation directe'!I157</f>
        <v>907146.48376351153</v>
      </c>
      <c r="H147" s="311" t="e">
        <f>+'I) Dépenses thématiques'!S147</f>
        <v>#DIV/0!</v>
      </c>
      <c r="I147" s="308">
        <f>'K) Plafonnement aide'!J147</f>
        <v>0</v>
      </c>
      <c r="J147" s="311">
        <f>'J) Plafonnement effort'!J147</f>
        <v>0</v>
      </c>
      <c r="K147" s="308">
        <f>'L) Plafonnement taux'!Q148</f>
        <v>0</v>
      </c>
      <c r="L147" s="306" t="e">
        <f t="shared" si="6"/>
        <v>#DIV/0!</v>
      </c>
      <c r="M147" s="231">
        <f>'M) Police'!N147</f>
        <v>136733.51397794514</v>
      </c>
      <c r="N147" s="231" t="e">
        <f t="shared" si="7"/>
        <v>#DIV/0!</v>
      </c>
      <c r="O147" s="311" t="e">
        <f t="shared" si="8"/>
        <v>#DIV/0!</v>
      </c>
      <c r="P147" s="313"/>
    </row>
    <row r="148" spans="1:16" s="153" customFormat="1" x14ac:dyDescent="0.25">
      <c r="A148" s="150">
        <f>'B) D RI'!A149</f>
        <v>5640</v>
      </c>
      <c r="B148" s="151" t="str">
        <f>'B) D RI'!B149</f>
        <v>Lussy-sur-Morges</v>
      </c>
      <c r="C148" s="309">
        <f>'B) D RI'!S149</f>
        <v>64.5</v>
      </c>
      <c r="D148" s="152">
        <f>'B) D RI'!AA149</f>
        <v>740</v>
      </c>
      <c r="E148" s="307">
        <f>'D) Ecrêtage'!C148</f>
        <v>70527.814108527149</v>
      </c>
      <c r="F148" s="311">
        <f>'E) PCS'!G154</f>
        <v>1968145.8975845403</v>
      </c>
      <c r="G148" s="308">
        <f>'H) Péréquation directe'!I158</f>
        <v>1234484.0275395769</v>
      </c>
      <c r="H148" s="311" t="e">
        <f>+'I) Dépenses thématiques'!S148</f>
        <v>#DIV/0!</v>
      </c>
      <c r="I148" s="308">
        <f>'K) Plafonnement aide'!J148</f>
        <v>0</v>
      </c>
      <c r="J148" s="311">
        <f>'J) Plafonnement effort'!J148</f>
        <v>0</v>
      </c>
      <c r="K148" s="308">
        <f>'L) Plafonnement taux'!Q149</f>
        <v>0</v>
      </c>
      <c r="L148" s="306" t="e">
        <f t="shared" si="6"/>
        <v>#DIV/0!</v>
      </c>
      <c r="M148" s="231">
        <f>'M) Police'!N148</f>
        <v>82296.219781587788</v>
      </c>
      <c r="N148" s="231" t="e">
        <f t="shared" si="7"/>
        <v>#DIV/0!</v>
      </c>
      <c r="O148" s="311" t="e">
        <f t="shared" si="8"/>
        <v>#DIV/0!</v>
      </c>
      <c r="P148" s="313"/>
    </row>
    <row r="149" spans="1:16" s="153" customFormat="1" x14ac:dyDescent="0.25">
      <c r="A149" s="150">
        <f>'B) D RI'!A150</f>
        <v>5642</v>
      </c>
      <c r="B149" s="151" t="str">
        <f>'B) D RI'!B150</f>
        <v>Morges</v>
      </c>
      <c r="C149" s="309">
        <f>'B) D RI'!S150</f>
        <v>67</v>
      </c>
      <c r="D149" s="152">
        <f>'B) D RI'!AA150</f>
        <v>16885</v>
      </c>
      <c r="E149" s="307">
        <f>'D) Ecrêtage'!C149</f>
        <v>999726.82119402988</v>
      </c>
      <c r="F149" s="311">
        <f>'E) PCS'!G155</f>
        <v>17881546.947584894</v>
      </c>
      <c r="G149" s="308">
        <f>'H) Péréquation directe'!I159</f>
        <v>7076667.7838936541</v>
      </c>
      <c r="H149" s="311" t="e">
        <f>+'I) Dépenses thématiques'!S149</f>
        <v>#DIV/0!</v>
      </c>
      <c r="I149" s="308">
        <f>'K) Plafonnement aide'!J149</f>
        <v>0</v>
      </c>
      <c r="J149" s="311">
        <f>'J) Plafonnement effort'!J149</f>
        <v>0</v>
      </c>
      <c r="K149" s="308">
        <f>'L) Plafonnement taux'!Q150</f>
        <v>0</v>
      </c>
      <c r="L149" s="306" t="e">
        <f t="shared" si="6"/>
        <v>#DIV/0!</v>
      </c>
      <c r="M149" s="231">
        <f>'M) Police'!N149</f>
        <v>1166543.1466787045</v>
      </c>
      <c r="N149" s="231" t="e">
        <f t="shared" si="7"/>
        <v>#DIV/0!</v>
      </c>
      <c r="O149" s="311" t="e">
        <f t="shared" si="8"/>
        <v>#DIV/0!</v>
      </c>
      <c r="P149" s="313"/>
    </row>
    <row r="150" spans="1:16" s="153" customFormat="1" x14ac:dyDescent="0.25">
      <c r="A150" s="150">
        <f>'B) D RI'!A151</f>
        <v>5643</v>
      </c>
      <c r="B150" s="151" t="str">
        <f>'B) D RI'!B151</f>
        <v>Préverenges</v>
      </c>
      <c r="C150" s="309">
        <f>'B) D RI'!S151</f>
        <v>62.5</v>
      </c>
      <c r="D150" s="152">
        <f>'B) D RI'!AA151</f>
        <v>5208</v>
      </c>
      <c r="E150" s="307">
        <f>'D) Ecrêtage'!C150</f>
        <v>257752.82112000001</v>
      </c>
      <c r="F150" s="311">
        <f>'E) PCS'!G156</f>
        <v>3713388.5535854818</v>
      </c>
      <c r="G150" s="308">
        <f>'H) Péréquation directe'!I160</f>
        <v>2903073.9945723871</v>
      </c>
      <c r="H150" s="311" t="e">
        <f>+'I) Dépenses thématiques'!S150</f>
        <v>#DIV/0!</v>
      </c>
      <c r="I150" s="308">
        <f>'K) Plafonnement aide'!J150</f>
        <v>0</v>
      </c>
      <c r="J150" s="311">
        <f>'J) Plafonnement effort'!J150</f>
        <v>0</v>
      </c>
      <c r="K150" s="308">
        <f>'L) Plafonnement taux'!Q151</f>
        <v>0</v>
      </c>
      <c r="L150" s="306" t="e">
        <f t="shared" si="6"/>
        <v>#DIV/0!</v>
      </c>
      <c r="M150" s="231">
        <f>'M) Police'!N150</f>
        <v>300761.94880469376</v>
      </c>
      <c r="N150" s="231" t="e">
        <f t="shared" si="7"/>
        <v>#DIV/0!</v>
      </c>
      <c r="O150" s="311" t="e">
        <f t="shared" si="8"/>
        <v>#DIV/0!</v>
      </c>
      <c r="P150" s="313"/>
    </row>
    <row r="151" spans="1:16" s="153" customFormat="1" x14ac:dyDescent="0.25">
      <c r="A151" s="150">
        <f>'B) D RI'!A152</f>
        <v>5644</v>
      </c>
      <c r="B151" s="151" t="str">
        <f>'B) D RI'!B152</f>
        <v>Reverolle</v>
      </c>
      <c r="C151" s="309">
        <f>'B) D RI'!S152</f>
        <v>74</v>
      </c>
      <c r="D151" s="152">
        <f>'B) D RI'!AA152</f>
        <v>403</v>
      </c>
      <c r="E151" s="307">
        <f>'D) Ecrêtage'!C151</f>
        <v>16363.457972972968</v>
      </c>
      <c r="F151" s="311">
        <f>'E) PCS'!G157</f>
        <v>221132.64648469113</v>
      </c>
      <c r="G151" s="308">
        <f>'H) Péréquation directe'!I161</f>
        <v>188572.82151169819</v>
      </c>
      <c r="H151" s="311" t="e">
        <f>+'I) Dépenses thématiques'!S151</f>
        <v>#DIV/0!</v>
      </c>
      <c r="I151" s="308">
        <f>'K) Plafonnement aide'!J151</f>
        <v>0</v>
      </c>
      <c r="J151" s="311">
        <f>'J) Plafonnement effort'!J151</f>
        <v>0</v>
      </c>
      <c r="K151" s="308">
        <f>'L) Plafonnement taux'!Q152</f>
        <v>0</v>
      </c>
      <c r="L151" s="306" t="e">
        <f t="shared" si="6"/>
        <v>#DIV/0!</v>
      </c>
      <c r="M151" s="231">
        <f>'M) Police'!N151</f>
        <v>49503.226612803934</v>
      </c>
      <c r="N151" s="231" t="e">
        <f t="shared" si="7"/>
        <v>#DIV/0!</v>
      </c>
      <c r="O151" s="311" t="e">
        <f t="shared" si="8"/>
        <v>#DIV/0!</v>
      </c>
      <c r="P151" s="313"/>
    </row>
    <row r="152" spans="1:16" s="153" customFormat="1" x14ac:dyDescent="0.25">
      <c r="A152" s="150">
        <f>'B) D RI'!A153</f>
        <v>5645</v>
      </c>
      <c r="B152" s="151" t="str">
        <f>'B) D RI'!B153</f>
        <v>Romanel-sur-Morges</v>
      </c>
      <c r="C152" s="309">
        <f>'B) D RI'!S153</f>
        <v>56</v>
      </c>
      <c r="D152" s="152">
        <f>'B) D RI'!AA153</f>
        <v>466</v>
      </c>
      <c r="E152" s="307">
        <f>'D) Ecrêtage'!C152</f>
        <v>26586.021785714285</v>
      </c>
      <c r="F152" s="311">
        <f>'E) PCS'!G158</f>
        <v>482574.21628121374</v>
      </c>
      <c r="G152" s="308">
        <f>'H) Péréquation directe'!I162</f>
        <v>442014.25312697794</v>
      </c>
      <c r="H152" s="311" t="e">
        <f>+'I) Dépenses thématiques'!S152</f>
        <v>#DIV/0!</v>
      </c>
      <c r="I152" s="308">
        <f>'K) Plafonnement aide'!J152</f>
        <v>0</v>
      </c>
      <c r="J152" s="311">
        <f>'J) Plafonnement effort'!J152</f>
        <v>0</v>
      </c>
      <c r="K152" s="308">
        <f>'L) Plafonnement taux'!Q153</f>
        <v>0</v>
      </c>
      <c r="L152" s="306" t="e">
        <f t="shared" si="6"/>
        <v>#DIV/0!</v>
      </c>
      <c r="M152" s="231">
        <f>'M) Police'!N152</f>
        <v>72703.259538808328</v>
      </c>
      <c r="N152" s="231" t="e">
        <f t="shared" si="7"/>
        <v>#DIV/0!</v>
      </c>
      <c r="O152" s="311" t="e">
        <f t="shared" si="8"/>
        <v>#DIV/0!</v>
      </c>
      <c r="P152" s="313"/>
    </row>
    <row r="153" spans="1:16" s="153" customFormat="1" x14ac:dyDescent="0.25">
      <c r="A153" s="150">
        <f>'B) D RI'!A154</f>
        <v>5646</v>
      </c>
      <c r="B153" s="151" t="str">
        <f>'B) D RI'!B154</f>
        <v>Saint-Prex</v>
      </c>
      <c r="C153" s="309">
        <f>'B) D RI'!S154</f>
        <v>59</v>
      </c>
      <c r="D153" s="152">
        <f>'B) D RI'!AA154</f>
        <v>5866</v>
      </c>
      <c r="E153" s="307">
        <f>'D) Ecrêtage'!C153</f>
        <v>527982.74983050849</v>
      </c>
      <c r="F153" s="311">
        <f>'E) PCS'!G159</f>
        <v>12940229.894748498</v>
      </c>
      <c r="G153" s="308">
        <f>'H) Péréquation directe'!I163</f>
        <v>7592743.6368480157</v>
      </c>
      <c r="H153" s="311" t="e">
        <f>+'I) Dépenses thématiques'!S153</f>
        <v>#DIV/0!</v>
      </c>
      <c r="I153" s="308">
        <f>'K) Plafonnement aide'!J153</f>
        <v>0</v>
      </c>
      <c r="J153" s="311">
        <f>'J) Plafonnement effort'!J153</f>
        <v>0</v>
      </c>
      <c r="K153" s="308">
        <f>'L) Plafonnement taux'!Q154</f>
        <v>0</v>
      </c>
      <c r="L153" s="306" t="e">
        <f t="shared" si="6"/>
        <v>#DIV/0!</v>
      </c>
      <c r="M153" s="231">
        <f>'M) Police'!N153</f>
        <v>616082.95918652578</v>
      </c>
      <c r="N153" s="231" t="e">
        <f t="shared" si="7"/>
        <v>#DIV/0!</v>
      </c>
      <c r="O153" s="311" t="e">
        <f t="shared" si="8"/>
        <v>#DIV/0!</v>
      </c>
      <c r="P153" s="313"/>
    </row>
    <row r="154" spans="1:16" s="153" customFormat="1" x14ac:dyDescent="0.25">
      <c r="A154" s="150">
        <f>'B) D RI'!A155</f>
        <v>5648</v>
      </c>
      <c r="B154" s="151" t="str">
        <f>'B) D RI'!B155</f>
        <v>Saint-Sulpice</v>
      </c>
      <c r="C154" s="309">
        <f>'B) D RI'!S155</f>
        <v>55</v>
      </c>
      <c r="D154" s="152">
        <f>'B) D RI'!AA155</f>
        <v>4932</v>
      </c>
      <c r="E154" s="307">
        <f>'D) Ecrêtage'!C154</f>
        <v>394426.68886363629</v>
      </c>
      <c r="F154" s="311">
        <f>'E) PCS'!G160</f>
        <v>8816017.2330363747</v>
      </c>
      <c r="G154" s="308">
        <f>'H) Péréquation directe'!I164</f>
        <v>5632718.8397957124</v>
      </c>
      <c r="H154" s="311" t="e">
        <f>+'I) Dépenses thématiques'!S154</f>
        <v>#DIV/0!</v>
      </c>
      <c r="I154" s="308">
        <f>'K) Plafonnement aide'!J154</f>
        <v>0</v>
      </c>
      <c r="J154" s="311">
        <f>'J) Plafonnement effort'!J154</f>
        <v>0</v>
      </c>
      <c r="K154" s="308">
        <f>'L) Plafonnement taux'!Q155</f>
        <v>0</v>
      </c>
      <c r="L154" s="306" t="e">
        <f t="shared" si="6"/>
        <v>#DIV/0!</v>
      </c>
      <c r="M154" s="231">
        <f>'M) Police'!N154</f>
        <v>460241.478978734</v>
      </c>
      <c r="N154" s="231" t="e">
        <f t="shared" si="7"/>
        <v>#DIV/0!</v>
      </c>
      <c r="O154" s="311" t="e">
        <f t="shared" si="8"/>
        <v>#DIV/0!</v>
      </c>
      <c r="P154" s="313"/>
    </row>
    <row r="155" spans="1:16" s="153" customFormat="1" x14ac:dyDescent="0.25">
      <c r="A155" s="150">
        <f>'B) D RI'!A156</f>
        <v>5649</v>
      </c>
      <c r="B155" s="151" t="str">
        <f>'B) D RI'!B156</f>
        <v>Tolochenaz</v>
      </c>
      <c r="C155" s="309">
        <f>'B) D RI'!S156</f>
        <v>64</v>
      </c>
      <c r="D155" s="152">
        <f>'B) D RI'!AA156</f>
        <v>1886</v>
      </c>
      <c r="E155" s="307">
        <f>'D) Ecrêtage'!C155</f>
        <v>155778.42171874997</v>
      </c>
      <c r="F155" s="311">
        <f>'E) PCS'!G161</f>
        <v>3485337.2708322927</v>
      </c>
      <c r="G155" s="308">
        <f>'H) Péréquation directe'!I165</f>
        <v>2496342.4510390675</v>
      </c>
      <c r="H155" s="311" t="e">
        <f>+'I) Dépenses thématiques'!S155</f>
        <v>#DIV/0!</v>
      </c>
      <c r="I155" s="308">
        <f>'K) Plafonnement aide'!J155</f>
        <v>0</v>
      </c>
      <c r="J155" s="311">
        <f>'J) Plafonnement effort'!J155</f>
        <v>0</v>
      </c>
      <c r="K155" s="308">
        <f>'L) Plafonnement taux'!Q156</f>
        <v>0</v>
      </c>
      <c r="L155" s="306" t="e">
        <f t="shared" si="6"/>
        <v>#DIV/0!</v>
      </c>
      <c r="M155" s="231">
        <f>'M) Police'!N155</f>
        <v>181771.90648880639</v>
      </c>
      <c r="N155" s="231" t="e">
        <f t="shared" si="7"/>
        <v>#DIV/0!</v>
      </c>
      <c r="O155" s="311" t="e">
        <f t="shared" si="8"/>
        <v>#DIV/0!</v>
      </c>
      <c r="P155" s="313"/>
    </row>
    <row r="156" spans="1:16" s="153" customFormat="1" x14ac:dyDescent="0.25">
      <c r="A156" s="150">
        <f>'B) D RI'!A157</f>
        <v>5650</v>
      </c>
      <c r="B156" s="151" t="str">
        <f>'B) D RI'!B157</f>
        <v>Vaux-sur-Morges</v>
      </c>
      <c r="C156" s="309">
        <f>'B) D RI'!S157</f>
        <v>56</v>
      </c>
      <c r="D156" s="152">
        <f>'B) D RI'!AA157</f>
        <v>196</v>
      </c>
      <c r="E156" s="307">
        <f>'D) Ecrêtage'!C156</f>
        <v>83125.71642857141</v>
      </c>
      <c r="F156" s="311">
        <f>'E) PCS'!G162</f>
        <v>3922964.7261294276</v>
      </c>
      <c r="G156" s="308">
        <f>'H) Péréquation directe'!I166</f>
        <v>1539344.0665120583</v>
      </c>
      <c r="H156" s="311" t="e">
        <f>+'I) Dépenses thématiques'!S156</f>
        <v>#DIV/0!</v>
      </c>
      <c r="I156" s="308">
        <f>'K) Plafonnement aide'!J156</f>
        <v>0</v>
      </c>
      <c r="J156" s="311">
        <f>'J) Plafonnement effort'!J156</f>
        <v>-840342.04407005792</v>
      </c>
      <c r="K156" s="308">
        <f>'L) Plafonnement taux'!Q157</f>
        <v>0</v>
      </c>
      <c r="L156" s="306" t="e">
        <f t="shared" si="6"/>
        <v>#DIV/0!</v>
      </c>
      <c r="M156" s="231">
        <f>'M) Police'!N156</f>
        <v>114527.31476556721</v>
      </c>
      <c r="N156" s="231" t="e">
        <f t="shared" si="7"/>
        <v>#DIV/0!</v>
      </c>
      <c r="O156" s="311" t="e">
        <f t="shared" si="8"/>
        <v>#DIV/0!</v>
      </c>
      <c r="P156" s="313"/>
    </row>
    <row r="157" spans="1:16" s="153" customFormat="1" x14ac:dyDescent="0.25">
      <c r="A157" s="150">
        <f>'B) D RI'!A158</f>
        <v>5651</v>
      </c>
      <c r="B157" s="151" t="str">
        <f>'B) D RI'!B158</f>
        <v>Villars-Sainte-Croix</v>
      </c>
      <c r="C157" s="309">
        <f>'B) D RI'!S158</f>
        <v>60.5</v>
      </c>
      <c r="D157" s="152">
        <f>'B) D RI'!AA158</f>
        <v>958</v>
      </c>
      <c r="E157" s="307">
        <f>'D) Ecrêtage'!C157</f>
        <v>57697.031735537188</v>
      </c>
      <c r="F157" s="311">
        <f>'E) PCS'!G163</f>
        <v>998316.16294427007</v>
      </c>
      <c r="G157" s="308">
        <f>'H) Péréquation directe'!I167</f>
        <v>965910.96238612267</v>
      </c>
      <c r="H157" s="311" t="e">
        <f>+'I) Dépenses thématiques'!S157</f>
        <v>#DIV/0!</v>
      </c>
      <c r="I157" s="308">
        <f>'K) Plafonnement aide'!J157</f>
        <v>0</v>
      </c>
      <c r="J157" s="311">
        <f>'J) Plafonnement effort'!J157</f>
        <v>0</v>
      </c>
      <c r="K157" s="308">
        <f>'L) Plafonnement taux'!Q158</f>
        <v>0</v>
      </c>
      <c r="L157" s="306" t="e">
        <f t="shared" si="6"/>
        <v>#DIV/0!</v>
      </c>
      <c r="M157" s="231">
        <f>'M) Police'!N157</f>
        <v>67324.468572731901</v>
      </c>
      <c r="N157" s="231" t="e">
        <f t="shared" si="7"/>
        <v>#DIV/0!</v>
      </c>
      <c r="O157" s="311" t="e">
        <f t="shared" si="8"/>
        <v>#DIV/0!</v>
      </c>
      <c r="P157" s="313"/>
    </row>
    <row r="158" spans="1:16" s="153" customFormat="1" x14ac:dyDescent="0.25">
      <c r="A158" s="150">
        <f>'B) D RI'!A159</f>
        <v>5652</v>
      </c>
      <c r="B158" s="151" t="str">
        <f>'B) D RI'!B159</f>
        <v>Villars-sous-Yens</v>
      </c>
      <c r="C158" s="309">
        <f>'B) D RI'!S159</f>
        <v>76</v>
      </c>
      <c r="D158" s="152">
        <f>'B) D RI'!AA159</f>
        <v>626</v>
      </c>
      <c r="E158" s="307">
        <f>'D) Ecrêtage'!C158</f>
        <v>25902.630833333329</v>
      </c>
      <c r="F158" s="311">
        <f>'E) PCS'!G164</f>
        <v>346323.82233663066</v>
      </c>
      <c r="G158" s="308">
        <f>'H) Péréquation directe'!I168</f>
        <v>307346.9096397002</v>
      </c>
      <c r="H158" s="311" t="e">
        <f>+'I) Dépenses thématiques'!S158</f>
        <v>#DIV/0!</v>
      </c>
      <c r="I158" s="308">
        <f>'K) Plafonnement aide'!J158</f>
        <v>0</v>
      </c>
      <c r="J158" s="311">
        <f>'J) Plafonnement effort'!J158</f>
        <v>0</v>
      </c>
      <c r="K158" s="308">
        <f>'L) Plafonnement taux'!Q159</f>
        <v>0</v>
      </c>
      <c r="L158" s="306" t="e">
        <f t="shared" si="6"/>
        <v>#DIV/0!</v>
      </c>
      <c r="M158" s="231">
        <f>'M) Police'!N158</f>
        <v>78936.101410399642</v>
      </c>
      <c r="N158" s="231" t="e">
        <f t="shared" si="7"/>
        <v>#DIV/0!</v>
      </c>
      <c r="O158" s="311" t="e">
        <f t="shared" si="8"/>
        <v>#DIV/0!</v>
      </c>
      <c r="P158" s="313"/>
    </row>
    <row r="159" spans="1:16" s="153" customFormat="1" x14ac:dyDescent="0.25">
      <c r="A159" s="150">
        <f>'B) D RI'!A160</f>
        <v>5653</v>
      </c>
      <c r="B159" s="151" t="str">
        <f>'B) D RI'!B160</f>
        <v>Vufflens-le-Château</v>
      </c>
      <c r="C159" s="309">
        <f>'B) D RI'!S160</f>
        <v>58.5</v>
      </c>
      <c r="D159" s="152">
        <f>'B) D RI'!AA160</f>
        <v>894</v>
      </c>
      <c r="E159" s="307">
        <f>'D) Ecrêtage'!C159</f>
        <v>67496.149401709394</v>
      </c>
      <c r="F159" s="311">
        <f>'E) PCS'!G165</f>
        <v>1378720.1549283545</v>
      </c>
      <c r="G159" s="308">
        <f>'H) Péréquation directe'!I169</f>
        <v>1158239.8509998641</v>
      </c>
      <c r="H159" s="311" t="e">
        <f>+'I) Dépenses thématiques'!S159</f>
        <v>#DIV/0!</v>
      </c>
      <c r="I159" s="308">
        <f>'K) Plafonnement aide'!J159</f>
        <v>0</v>
      </c>
      <c r="J159" s="311">
        <f>'J) Plafonnement effort'!J159</f>
        <v>0</v>
      </c>
      <c r="K159" s="308">
        <f>'L) Plafonnement taux'!Q160</f>
        <v>0</v>
      </c>
      <c r="L159" s="306" t="e">
        <f t="shared" si="6"/>
        <v>#DIV/0!</v>
      </c>
      <c r="M159" s="231">
        <f>'M) Police'!N159</f>
        <v>158721.88917740894</v>
      </c>
      <c r="N159" s="231" t="e">
        <f t="shared" si="7"/>
        <v>#DIV/0!</v>
      </c>
      <c r="O159" s="311" t="e">
        <f t="shared" si="8"/>
        <v>#DIV/0!</v>
      </c>
      <c r="P159" s="313"/>
    </row>
    <row r="160" spans="1:16" s="153" customFormat="1" x14ac:dyDescent="0.25">
      <c r="A160" s="150">
        <f>'B) D RI'!A161</f>
        <v>5654</v>
      </c>
      <c r="B160" s="151" t="str">
        <f>'B) D RI'!B161</f>
        <v>Vullierens</v>
      </c>
      <c r="C160" s="309">
        <f>'B) D RI'!S161</f>
        <v>76</v>
      </c>
      <c r="D160" s="152">
        <f>'B) D RI'!AA161</f>
        <v>560</v>
      </c>
      <c r="E160" s="307">
        <f>'D) Ecrêtage'!C160</f>
        <v>20665.692500000001</v>
      </c>
      <c r="F160" s="311">
        <f>'E) PCS'!G166</f>
        <v>338469.61033114686</v>
      </c>
      <c r="G160" s="308">
        <f>'H) Péréquation directe'!I170</f>
        <v>169943.81790742293</v>
      </c>
      <c r="H160" s="311" t="e">
        <f>+'I) Dépenses thématiques'!S160</f>
        <v>#DIV/0!</v>
      </c>
      <c r="I160" s="308">
        <f>'K) Plafonnement aide'!J160</f>
        <v>0</v>
      </c>
      <c r="J160" s="311">
        <f>'J) Plafonnement effort'!J160</f>
        <v>0</v>
      </c>
      <c r="K160" s="308">
        <f>'L) Plafonnement taux'!Q161</f>
        <v>0</v>
      </c>
      <c r="L160" s="306" t="e">
        <f t="shared" si="6"/>
        <v>#DIV/0!</v>
      </c>
      <c r="M160" s="231">
        <f>'M) Police'!N160</f>
        <v>62446.582551432526</v>
      </c>
      <c r="N160" s="231" t="e">
        <f t="shared" si="7"/>
        <v>#DIV/0!</v>
      </c>
      <c r="O160" s="311" t="e">
        <f t="shared" si="8"/>
        <v>#DIV/0!</v>
      </c>
      <c r="P160" s="313"/>
    </row>
    <row r="161" spans="1:16" s="153" customFormat="1" x14ac:dyDescent="0.25">
      <c r="A161" s="150">
        <f>'B) D RI'!A162</f>
        <v>5655</v>
      </c>
      <c r="B161" s="151" t="str">
        <f>'B) D RI'!B162</f>
        <v>Yens</v>
      </c>
      <c r="C161" s="309">
        <f>'B) D RI'!S162</f>
        <v>71.5</v>
      </c>
      <c r="D161" s="152">
        <f>'B) D RI'!AA162</f>
        <v>1499</v>
      </c>
      <c r="E161" s="307">
        <f>'D) Ecrêtage'!C161</f>
        <v>73454.856083916078</v>
      </c>
      <c r="F161" s="311">
        <f>'E) PCS'!G167</f>
        <v>986671.39588908351</v>
      </c>
      <c r="G161" s="308">
        <f>'H) Péréquation directe'!I171</f>
        <v>1082815.5319223329</v>
      </c>
      <c r="H161" s="311" t="e">
        <f>+'I) Dépenses thématiques'!S161</f>
        <v>#DIV/0!</v>
      </c>
      <c r="I161" s="308">
        <f>'K) Plafonnement aide'!J161</f>
        <v>0</v>
      </c>
      <c r="J161" s="311">
        <f>'J) Plafonnement effort'!J161</f>
        <v>0</v>
      </c>
      <c r="K161" s="308">
        <f>'L) Plafonnement taux'!Q162</f>
        <v>0</v>
      </c>
      <c r="L161" s="306" t="e">
        <f t="shared" si="6"/>
        <v>#DIV/0!</v>
      </c>
      <c r="M161" s="231">
        <f>'M) Police'!N161</f>
        <v>219788.67803004105</v>
      </c>
      <c r="N161" s="231" t="e">
        <f t="shared" si="7"/>
        <v>#DIV/0!</v>
      </c>
      <c r="O161" s="311" t="e">
        <f t="shared" si="8"/>
        <v>#DIV/0!</v>
      </c>
      <c r="P161" s="313"/>
    </row>
    <row r="162" spans="1:16" s="153" customFormat="1" x14ac:dyDescent="0.25">
      <c r="A162" s="150">
        <f>'B) D RI'!A163</f>
        <v>5661</v>
      </c>
      <c r="B162" s="151" t="str">
        <f>'B) D RI'!B163</f>
        <v>Boulens</v>
      </c>
      <c r="C162" s="309">
        <f>'B) D RI'!S163</f>
        <v>71.5</v>
      </c>
      <c r="D162" s="152">
        <f>'B) D RI'!AA163</f>
        <v>371</v>
      </c>
      <c r="E162" s="307">
        <f>'D) Ecrêtage'!C162</f>
        <v>11226.588951048951</v>
      </c>
      <c r="F162" s="311">
        <f>'E) PCS'!G168</f>
        <v>166587.93827948836</v>
      </c>
      <c r="G162" s="308">
        <f>'H) Péréquation directe'!I172</f>
        <v>27209.281161880353</v>
      </c>
      <c r="H162" s="311" t="e">
        <f>+'I) Dépenses thématiques'!S162</f>
        <v>#DIV/0!</v>
      </c>
      <c r="I162" s="308">
        <f>'K) Plafonnement aide'!J162</f>
        <v>0</v>
      </c>
      <c r="J162" s="311">
        <f>'J) Plafonnement effort'!J162</f>
        <v>0</v>
      </c>
      <c r="K162" s="308">
        <f>'L) Plafonnement taux'!Q163</f>
        <v>0</v>
      </c>
      <c r="L162" s="306" t="e">
        <f t="shared" si="6"/>
        <v>#DIV/0!</v>
      </c>
      <c r="M162" s="231">
        <f>'M) Police'!N162</f>
        <v>33840.616353388868</v>
      </c>
      <c r="N162" s="231" t="e">
        <f t="shared" si="7"/>
        <v>#DIV/0!</v>
      </c>
      <c r="O162" s="311" t="e">
        <f t="shared" si="8"/>
        <v>#DIV/0!</v>
      </c>
      <c r="P162" s="313"/>
    </row>
    <row r="163" spans="1:16" s="153" customFormat="1" x14ac:dyDescent="0.25">
      <c r="A163" s="150">
        <f>'B) D RI'!A164</f>
        <v>5663</v>
      </c>
      <c r="B163" s="151" t="str">
        <f>'B) D RI'!B164</f>
        <v>Bussy-sur-Moudon</v>
      </c>
      <c r="C163" s="309">
        <f>'B) D RI'!S164</f>
        <v>78.5</v>
      </c>
      <c r="D163" s="152">
        <f>'B) D RI'!AA164</f>
        <v>236</v>
      </c>
      <c r="E163" s="307">
        <f>'D) Ecrêtage'!C163</f>
        <v>5263.6754140127387</v>
      </c>
      <c r="F163" s="311">
        <f>'E) PCS'!G169</f>
        <v>76793.941230693934</v>
      </c>
      <c r="G163" s="308">
        <f>'H) Péréquation directe'!I173</f>
        <v>-82259.49774229269</v>
      </c>
      <c r="H163" s="311" t="e">
        <f>+'I) Dépenses thématiques'!S163</f>
        <v>#DIV/0!</v>
      </c>
      <c r="I163" s="308">
        <f>'K) Plafonnement aide'!J163</f>
        <v>0</v>
      </c>
      <c r="J163" s="311">
        <f>'J) Plafonnement effort'!J163</f>
        <v>0</v>
      </c>
      <c r="K163" s="308">
        <f>'L) Plafonnement taux'!Q164</f>
        <v>0</v>
      </c>
      <c r="L163" s="306" t="e">
        <f t="shared" si="6"/>
        <v>#DIV/0!</v>
      </c>
      <c r="M163" s="231">
        <f>'M) Police'!N163</f>
        <v>15796.052913208081</v>
      </c>
      <c r="N163" s="231" t="e">
        <f t="shared" si="7"/>
        <v>#DIV/0!</v>
      </c>
      <c r="O163" s="311" t="e">
        <f t="shared" si="8"/>
        <v>#DIV/0!</v>
      </c>
      <c r="P163" s="313"/>
    </row>
    <row r="164" spans="1:16" s="153" customFormat="1" x14ac:dyDescent="0.25">
      <c r="A164" s="150">
        <f>'B) D RI'!A165</f>
        <v>5665</v>
      </c>
      <c r="B164" s="151" t="str">
        <f>'B) D RI'!B165</f>
        <v>Chavannes-sur-Moudon</v>
      </c>
      <c r="C164" s="309">
        <f>'B) D RI'!S165</f>
        <v>70</v>
      </c>
      <c r="D164" s="152">
        <f>'B) D RI'!AA165</f>
        <v>222</v>
      </c>
      <c r="E164" s="307">
        <f>'D) Ecrêtage'!C164</f>
        <v>4920.86942857143</v>
      </c>
      <c r="F164" s="311">
        <f>'E) PCS'!G170</f>
        <v>65340.51745165178</v>
      </c>
      <c r="G164" s="308">
        <f>'H) Péréquation directe'!I174</f>
        <v>-49295.433360597061</v>
      </c>
      <c r="H164" s="311" t="e">
        <f>+'I) Dépenses thématiques'!S164</f>
        <v>#DIV/0!</v>
      </c>
      <c r="I164" s="308">
        <f>'K) Plafonnement aide'!J164</f>
        <v>0</v>
      </c>
      <c r="J164" s="311">
        <f>'J) Plafonnement effort'!J164</f>
        <v>0</v>
      </c>
      <c r="K164" s="308">
        <f>'L) Plafonnement taux'!Q165</f>
        <v>0</v>
      </c>
      <c r="L164" s="306" t="e">
        <f t="shared" si="6"/>
        <v>#DIV/0!</v>
      </c>
      <c r="M164" s="231">
        <f>'M) Police'!N164</f>
        <v>14766.288236357854</v>
      </c>
      <c r="N164" s="231" t="e">
        <f t="shared" si="7"/>
        <v>#DIV/0!</v>
      </c>
      <c r="O164" s="311" t="e">
        <f t="shared" si="8"/>
        <v>#DIV/0!</v>
      </c>
      <c r="P164" s="313"/>
    </row>
    <row r="165" spans="1:16" s="153" customFormat="1" x14ac:dyDescent="0.25">
      <c r="A165" s="150">
        <f>'B) D RI'!A166</f>
        <v>5669</v>
      </c>
      <c r="B165" s="151" t="str">
        <f>'B) D RI'!B166</f>
        <v>Curtilles</v>
      </c>
      <c r="C165" s="309">
        <f>'B) D RI'!S166</f>
        <v>73</v>
      </c>
      <c r="D165" s="152">
        <f>'B) D RI'!AA166</f>
        <v>296</v>
      </c>
      <c r="E165" s="307">
        <f>'D) Ecrêtage'!C165</f>
        <v>9338.3773972602739</v>
      </c>
      <c r="F165" s="311">
        <f>'E) PCS'!G171</f>
        <v>158685.55417671381</v>
      </c>
      <c r="G165" s="308">
        <f>'H) Péréquation directe'!I175</f>
        <v>32345.991817301227</v>
      </c>
      <c r="H165" s="311" t="e">
        <f>+'I) Dépenses thématiques'!S165</f>
        <v>#DIV/0!</v>
      </c>
      <c r="I165" s="308">
        <f>'K) Plafonnement aide'!J165</f>
        <v>0</v>
      </c>
      <c r="J165" s="311">
        <f>'J) Plafonnement effort'!J165</f>
        <v>0</v>
      </c>
      <c r="K165" s="308">
        <f>'L) Plafonnement taux'!Q166</f>
        <v>0</v>
      </c>
      <c r="L165" s="306" t="e">
        <f t="shared" si="6"/>
        <v>#DIV/0!</v>
      </c>
      <c r="M165" s="231">
        <f>'M) Police'!N165</f>
        <v>28280.083174566116</v>
      </c>
      <c r="N165" s="231" t="e">
        <f t="shared" si="7"/>
        <v>#DIV/0!</v>
      </c>
      <c r="O165" s="311" t="e">
        <f t="shared" si="8"/>
        <v>#DIV/0!</v>
      </c>
      <c r="P165" s="313"/>
    </row>
    <row r="166" spans="1:16" s="153" customFormat="1" x14ac:dyDescent="0.25">
      <c r="A166" s="150">
        <f>'B) D RI'!A167</f>
        <v>5671</v>
      </c>
      <c r="B166" s="151" t="str">
        <f>'B) D RI'!B167</f>
        <v>Dompierre</v>
      </c>
      <c r="C166" s="309">
        <f>'B) D RI'!S167</f>
        <v>78</v>
      </c>
      <c r="D166" s="152">
        <f>'B) D RI'!AA167</f>
        <v>246</v>
      </c>
      <c r="E166" s="307">
        <f>'D) Ecrêtage'!C166</f>
        <v>6463.9784615384606</v>
      </c>
      <c r="F166" s="311">
        <f>'E) PCS'!G172</f>
        <v>132210.76034641051</v>
      </c>
      <c r="G166" s="308">
        <f>'H) Péréquation directe'!I176</f>
        <v>-41585.437442687937</v>
      </c>
      <c r="H166" s="311" t="e">
        <f>+'I) Dépenses thématiques'!S166</f>
        <v>#DIV/0!</v>
      </c>
      <c r="I166" s="308">
        <f>'K) Plafonnement aide'!J166</f>
        <v>0</v>
      </c>
      <c r="J166" s="311">
        <f>'J) Plafonnement effort'!J166</f>
        <v>0</v>
      </c>
      <c r="K166" s="308">
        <f>'L) Plafonnement taux'!Q167</f>
        <v>0</v>
      </c>
      <c r="L166" s="306" t="e">
        <f t="shared" si="6"/>
        <v>#DIV/0!</v>
      </c>
      <c r="M166" s="231">
        <f>'M) Police'!N166</f>
        <v>19523.313065432721</v>
      </c>
      <c r="N166" s="231" t="e">
        <f t="shared" si="7"/>
        <v>#DIV/0!</v>
      </c>
      <c r="O166" s="311" t="e">
        <f t="shared" si="8"/>
        <v>#DIV/0!</v>
      </c>
      <c r="P166" s="313"/>
    </row>
    <row r="167" spans="1:16" s="153" customFormat="1" x14ac:dyDescent="0.25">
      <c r="A167" s="150">
        <f>'B) D RI'!A168</f>
        <v>5673</v>
      </c>
      <c r="B167" s="151" t="str">
        <f>'B) D RI'!B168</f>
        <v>Hermenches</v>
      </c>
      <c r="C167" s="309">
        <f>'B) D RI'!S168</f>
        <v>73.5</v>
      </c>
      <c r="D167" s="152">
        <f>'B) D RI'!AA168</f>
        <v>371</v>
      </c>
      <c r="E167" s="307">
        <f>'D) Ecrêtage'!C167</f>
        <v>10227.431292517007</v>
      </c>
      <c r="F167" s="311">
        <f>'E) PCS'!G173</f>
        <v>129970.79760321461</v>
      </c>
      <c r="G167" s="308">
        <f>'H) Péréquation directe'!I177</f>
        <v>-20973.746404236183</v>
      </c>
      <c r="H167" s="311" t="e">
        <f>+'I) Dépenses thématiques'!S167</f>
        <v>#DIV/0!</v>
      </c>
      <c r="I167" s="308">
        <f>'K) Plafonnement aide'!J167</f>
        <v>0</v>
      </c>
      <c r="J167" s="311">
        <f>'J) Plafonnement effort'!J167</f>
        <v>0</v>
      </c>
      <c r="K167" s="308">
        <f>'L) Plafonnement taux'!Q168</f>
        <v>0</v>
      </c>
      <c r="L167" s="306" t="e">
        <f t="shared" ref="L167:L219" si="9">F167+G167+H167+I167+J167+K167</f>
        <v>#DIV/0!</v>
      </c>
      <c r="M167" s="231">
        <f>'M) Police'!N167</f>
        <v>31018.624488078938</v>
      </c>
      <c r="N167" s="231" t="e">
        <f t="shared" si="7"/>
        <v>#DIV/0!</v>
      </c>
      <c r="O167" s="311" t="e">
        <f t="shared" si="8"/>
        <v>#DIV/0!</v>
      </c>
      <c r="P167" s="313"/>
    </row>
    <row r="168" spans="1:16" s="153" customFormat="1" x14ac:dyDescent="0.25">
      <c r="A168" s="150">
        <f>'B) D RI'!A169</f>
        <v>5674</v>
      </c>
      <c r="B168" s="151" t="str">
        <f>'B) D RI'!B169</f>
        <v>Lovatens</v>
      </c>
      <c r="C168" s="309">
        <f>'B) D RI'!S169</f>
        <v>75</v>
      </c>
      <c r="D168" s="152">
        <f>'B) D RI'!AA169</f>
        <v>146</v>
      </c>
      <c r="E168" s="307">
        <f>'D) Ecrêtage'!C168</f>
        <v>4217.2714666666661</v>
      </c>
      <c r="F168" s="311">
        <f>'E) PCS'!G174</f>
        <v>70424.560650421976</v>
      </c>
      <c r="G168" s="308">
        <f>'H) Péréquation directe'!I178</f>
        <v>-3017.3830063285568</v>
      </c>
      <c r="H168" s="311" t="e">
        <f>+'I) Dépenses thématiques'!S168</f>
        <v>#DIV/0!</v>
      </c>
      <c r="I168" s="308">
        <f>'K) Plafonnement aide'!J168</f>
        <v>0</v>
      </c>
      <c r="J168" s="311">
        <f>'J) Plafonnement effort'!J168</f>
        <v>0</v>
      </c>
      <c r="K168" s="308">
        <f>'L) Plafonnement taux'!Q169</f>
        <v>0</v>
      </c>
      <c r="L168" s="306" t="e">
        <f t="shared" si="9"/>
        <v>#DIV/0!</v>
      </c>
      <c r="M168" s="231">
        <f>'M) Police'!N168</f>
        <v>12670.913699436889</v>
      </c>
      <c r="N168" s="231" t="e">
        <f t="shared" si="7"/>
        <v>#DIV/0!</v>
      </c>
      <c r="O168" s="311" t="e">
        <f t="shared" si="8"/>
        <v>#DIV/0!</v>
      </c>
      <c r="P168" s="313"/>
    </row>
    <row r="169" spans="1:16" s="153" customFormat="1" x14ac:dyDescent="0.25">
      <c r="A169" s="150">
        <f>'B) D RI'!A170</f>
        <v>5675</v>
      </c>
      <c r="B169" s="151" t="str">
        <f>'B) D RI'!B170</f>
        <v>Lucens</v>
      </c>
      <c r="C169" s="309">
        <f>'B) D RI'!S170</f>
        <v>67.5</v>
      </c>
      <c r="D169" s="152">
        <f>'B) D RI'!AA170</f>
        <v>4373</v>
      </c>
      <c r="E169" s="307">
        <f>'D) Ecrêtage'!C169</f>
        <v>105170.58216835017</v>
      </c>
      <c r="F169" s="311">
        <f>'E) PCS'!G175</f>
        <v>1809621.0018834756</v>
      </c>
      <c r="G169" s="308">
        <f>'H) Péréquation directe'!I179</f>
        <v>-1471173.5667747376</v>
      </c>
      <c r="H169" s="311" t="e">
        <f>+'I) Dépenses thématiques'!S169</f>
        <v>#DIV/0!</v>
      </c>
      <c r="I169" s="308">
        <f>'K) Plafonnement aide'!J169</f>
        <v>0</v>
      </c>
      <c r="J169" s="311">
        <f>'J) Plafonnement effort'!J169</f>
        <v>0</v>
      </c>
      <c r="K169" s="308">
        <f>'L) Plafonnement taux'!Q170</f>
        <v>0</v>
      </c>
      <c r="L169" s="306" t="e">
        <f t="shared" ref="L169" si="10">F169+G169+H169+I169+J169+K169</f>
        <v>#DIV/0!</v>
      </c>
      <c r="M169" s="231">
        <f>'M) Police'!N169</f>
        <v>311291.25320277247</v>
      </c>
      <c r="N169" s="231" t="e">
        <f t="shared" ref="N169" si="11">L169+M169</f>
        <v>#DIV/0!</v>
      </c>
      <c r="O169" s="311" t="e">
        <f t="shared" si="8"/>
        <v>#DIV/0!</v>
      </c>
      <c r="P169" s="313"/>
    </row>
    <row r="170" spans="1:16" s="153" customFormat="1" x14ac:dyDescent="0.25">
      <c r="A170" s="150">
        <f>'B) D RI'!A171</f>
        <v>5678</v>
      </c>
      <c r="B170" s="151" t="str">
        <f>'B) D RI'!B171</f>
        <v>Moudon</v>
      </c>
      <c r="C170" s="309">
        <f>'B) D RI'!S171</f>
        <v>72.5</v>
      </c>
      <c r="D170" s="152">
        <f>'B) D RI'!AA171</f>
        <v>6120</v>
      </c>
      <c r="E170" s="307">
        <f>'D) Ecrêtage'!C170</f>
        <v>124836.852</v>
      </c>
      <c r="F170" s="311">
        <f>'E) PCS'!G176</f>
        <v>2457561.755184425</v>
      </c>
      <c r="G170" s="308">
        <f>'H) Péréquation directe'!I180</f>
        <v>-3747161.5040869243</v>
      </c>
      <c r="H170" s="311" t="e">
        <f>+'I) Dépenses thématiques'!S170</f>
        <v>#DIV/0!</v>
      </c>
      <c r="I170" s="308">
        <f>'K) Plafonnement aide'!J170</f>
        <v>290904.93290249887</v>
      </c>
      <c r="J170" s="311">
        <f>'J) Plafonnement effort'!J170</f>
        <v>0</v>
      </c>
      <c r="K170" s="308">
        <f>'L) Plafonnement taux'!Q171</f>
        <v>0</v>
      </c>
      <c r="L170" s="306" t="e">
        <f t="shared" si="9"/>
        <v>#DIV/0!</v>
      </c>
      <c r="M170" s="231">
        <f>'M) Police'!N170</f>
        <v>369100.32794276054</v>
      </c>
      <c r="N170" s="231" t="e">
        <f t="shared" si="7"/>
        <v>#DIV/0!</v>
      </c>
      <c r="O170" s="311" t="e">
        <f t="shared" si="8"/>
        <v>#DIV/0!</v>
      </c>
      <c r="P170" s="313"/>
    </row>
    <row r="171" spans="1:16" s="153" customFormat="1" x14ac:dyDescent="0.25">
      <c r="A171" s="150">
        <f>'B) D RI'!A172</f>
        <v>5680</v>
      </c>
      <c r="B171" s="151" t="str">
        <f>'B) D RI'!B172</f>
        <v>Ogens</v>
      </c>
      <c r="C171" s="309">
        <f>'B) D RI'!S172</f>
        <v>78</v>
      </c>
      <c r="D171" s="152">
        <f>'B) D RI'!AA172</f>
        <v>321</v>
      </c>
      <c r="E171" s="307">
        <f>'D) Ecrêtage'!C171</f>
        <v>8501.5391880341886</v>
      </c>
      <c r="F171" s="311">
        <f>'E) PCS'!G177</f>
        <v>128755.7041873172</v>
      </c>
      <c r="G171" s="308">
        <f>'H) Péréquation directe'!I181</f>
        <v>-51381.283211548813</v>
      </c>
      <c r="H171" s="311" t="e">
        <f>+'I) Dépenses thématiques'!S171</f>
        <v>#DIV/0!</v>
      </c>
      <c r="I171" s="308">
        <f>'K) Plafonnement aide'!J171</f>
        <v>0</v>
      </c>
      <c r="J171" s="311">
        <f>'J) Plafonnement effort'!J171</f>
        <v>0</v>
      </c>
      <c r="K171" s="308">
        <f>'L) Plafonnement taux'!Q172</f>
        <v>0</v>
      </c>
      <c r="L171" s="306" t="e">
        <f t="shared" si="9"/>
        <v>#DIV/0!</v>
      </c>
      <c r="M171" s="231">
        <f>'M) Police'!N171</f>
        <v>25599.011730350678</v>
      </c>
      <c r="N171" s="231" t="e">
        <f t="shared" si="7"/>
        <v>#DIV/0!</v>
      </c>
      <c r="O171" s="311" t="e">
        <f t="shared" si="8"/>
        <v>#DIV/0!</v>
      </c>
      <c r="P171" s="313"/>
    </row>
    <row r="172" spans="1:16" s="153" customFormat="1" x14ac:dyDescent="0.25">
      <c r="A172" s="150">
        <f>'B) D RI'!A173</f>
        <v>5683</v>
      </c>
      <c r="B172" s="151" t="str">
        <f>'B) D RI'!B173</f>
        <v>Prévonloup</v>
      </c>
      <c r="C172" s="309">
        <f>'B) D RI'!S173</f>
        <v>72.5</v>
      </c>
      <c r="D172" s="152">
        <f>'B) D RI'!AA173</f>
        <v>215</v>
      </c>
      <c r="E172" s="307">
        <f>'D) Ecrêtage'!C172</f>
        <v>5386.44</v>
      </c>
      <c r="F172" s="311">
        <f>'E) PCS'!G178</f>
        <v>87122.726153799478</v>
      </c>
      <c r="G172" s="308">
        <f>'H) Péréquation directe'!I182</f>
        <v>-31061.588170526549</v>
      </c>
      <c r="H172" s="311" t="e">
        <f>+'I) Dépenses thématiques'!S172</f>
        <v>#DIV/0!</v>
      </c>
      <c r="I172" s="308">
        <f>'K) Plafonnement aide'!J172</f>
        <v>0</v>
      </c>
      <c r="J172" s="311">
        <f>'J) Plafonnement effort'!J172</f>
        <v>0</v>
      </c>
      <c r="K172" s="308">
        <f>'L) Plafonnement taux'!Q173</f>
        <v>0</v>
      </c>
      <c r="L172" s="306" t="e">
        <f t="shared" si="9"/>
        <v>#DIV/0!</v>
      </c>
      <c r="M172" s="231">
        <f>'M) Police'!N172</f>
        <v>16193.966831489704</v>
      </c>
      <c r="N172" s="231" t="e">
        <f t="shared" si="7"/>
        <v>#DIV/0!</v>
      </c>
      <c r="O172" s="311" t="e">
        <f t="shared" si="8"/>
        <v>#DIV/0!</v>
      </c>
      <c r="P172" s="313"/>
    </row>
    <row r="173" spans="1:16" s="153" customFormat="1" x14ac:dyDescent="0.25">
      <c r="A173" s="150">
        <f>'B) D RI'!A174</f>
        <v>5684</v>
      </c>
      <c r="B173" s="151" t="str">
        <f>'B) D RI'!B174</f>
        <v>Rossenges</v>
      </c>
      <c r="C173" s="309">
        <f>'B) D RI'!S174</f>
        <v>75</v>
      </c>
      <c r="D173" s="152">
        <f>'B) D RI'!AA174</f>
        <v>93</v>
      </c>
      <c r="E173" s="307">
        <f>'D) Ecrêtage'!C173</f>
        <v>3253.4816666666666</v>
      </c>
      <c r="F173" s="311">
        <f>'E) PCS'!G179</f>
        <v>39670.797179087444</v>
      </c>
      <c r="G173" s="308">
        <f>'H) Péréquation directe'!I183</f>
        <v>21498.308453494545</v>
      </c>
      <c r="H173" s="311" t="e">
        <f>+'I) Dépenses thématiques'!S173</f>
        <v>#DIV/0!</v>
      </c>
      <c r="I173" s="308">
        <f>'K) Plafonnement aide'!J173</f>
        <v>0</v>
      </c>
      <c r="J173" s="311">
        <f>'J) Plafonnement effort'!J173</f>
        <v>0</v>
      </c>
      <c r="K173" s="308">
        <f>'L) Plafonnement taux'!Q174</f>
        <v>0</v>
      </c>
      <c r="L173" s="306" t="e">
        <f t="shared" si="9"/>
        <v>#DIV/0!</v>
      </c>
      <c r="M173" s="231">
        <f>'M) Police'!N173</f>
        <v>10087.930493898828</v>
      </c>
      <c r="N173" s="231" t="e">
        <f t="shared" si="7"/>
        <v>#DIV/0!</v>
      </c>
      <c r="O173" s="311" t="e">
        <f t="shared" si="8"/>
        <v>#DIV/0!</v>
      </c>
      <c r="P173" s="313"/>
    </row>
    <row r="174" spans="1:16" s="153" customFormat="1" x14ac:dyDescent="0.25">
      <c r="A174" s="150">
        <f>'B) D RI'!A175</f>
        <v>5688</v>
      </c>
      <c r="B174" s="151" t="str">
        <f>'B) D RI'!B175</f>
        <v>Syens</v>
      </c>
      <c r="C174" s="309">
        <f>'B) D RI'!S175</f>
        <v>65</v>
      </c>
      <c r="D174" s="152">
        <f>'B) D RI'!AA175</f>
        <v>161</v>
      </c>
      <c r="E174" s="307">
        <f>'D) Ecrêtage'!C174</f>
        <v>6245.666153846154</v>
      </c>
      <c r="F174" s="311">
        <f>'E) PCS'!G180</f>
        <v>89145.609888387844</v>
      </c>
      <c r="G174" s="308">
        <f>'H) Péréquation directe'!I184</f>
        <v>71222.084482857375</v>
      </c>
      <c r="H174" s="311" t="e">
        <f>+'I) Dépenses thématiques'!S174</f>
        <v>#DIV/0!</v>
      </c>
      <c r="I174" s="308">
        <f>'K) Plafonnement aide'!J174</f>
        <v>0</v>
      </c>
      <c r="J174" s="311">
        <f>'J) Plafonnement effort'!J174</f>
        <v>0</v>
      </c>
      <c r="K174" s="308">
        <f>'L) Plafonnement taux'!Q175</f>
        <v>0</v>
      </c>
      <c r="L174" s="306" t="e">
        <f t="shared" si="9"/>
        <v>#DIV/0!</v>
      </c>
      <c r="M174" s="231">
        <f>'M) Police'!N174</f>
        <v>19015.777621198155</v>
      </c>
      <c r="N174" s="231" t="e">
        <f t="shared" si="7"/>
        <v>#DIV/0!</v>
      </c>
      <c r="O174" s="311" t="e">
        <f t="shared" si="8"/>
        <v>#DIV/0!</v>
      </c>
      <c r="P174" s="313"/>
    </row>
    <row r="175" spans="1:16" s="153" customFormat="1" x14ac:dyDescent="0.25">
      <c r="A175" s="150">
        <f>'B) D RI'!A176</f>
        <v>5690</v>
      </c>
      <c r="B175" s="151" t="str">
        <f>'B) D RI'!B176</f>
        <v>Villars-le-Comte</v>
      </c>
      <c r="C175" s="309">
        <f>'B) D RI'!S176</f>
        <v>70</v>
      </c>
      <c r="D175" s="152">
        <f>'B) D RI'!AA176</f>
        <v>133</v>
      </c>
      <c r="E175" s="307">
        <f>'D) Ecrêtage'!C175</f>
        <v>3510.0358095238093</v>
      </c>
      <c r="F175" s="311">
        <f>'E) PCS'!G181</f>
        <v>52506.298206599102</v>
      </c>
      <c r="G175" s="308">
        <f>'H) Péréquation directe'!I185</f>
        <v>-7955.2775628708187</v>
      </c>
      <c r="H175" s="311" t="e">
        <f>+'I) Dépenses thématiques'!S175</f>
        <v>#DIV/0!</v>
      </c>
      <c r="I175" s="308">
        <f>'K) Plafonnement aide'!J175</f>
        <v>0</v>
      </c>
      <c r="J175" s="311">
        <f>'J) Plafonnement effort'!J175</f>
        <v>0</v>
      </c>
      <c r="K175" s="308">
        <f>'L) Plafonnement taux'!Q176</f>
        <v>0</v>
      </c>
      <c r="L175" s="306" t="e">
        <f t="shared" si="9"/>
        <v>#DIV/0!</v>
      </c>
      <c r="M175" s="231">
        <f>'M) Police'!N175</f>
        <v>10490.426798316948</v>
      </c>
      <c r="N175" s="231" t="e">
        <f t="shared" si="7"/>
        <v>#DIV/0!</v>
      </c>
      <c r="O175" s="311" t="e">
        <f t="shared" si="8"/>
        <v>#DIV/0!</v>
      </c>
      <c r="P175" s="313"/>
    </row>
    <row r="176" spans="1:16" s="153" customFormat="1" x14ac:dyDescent="0.25">
      <c r="A176" s="150">
        <f>'B) D RI'!A177</f>
        <v>5692</v>
      </c>
      <c r="B176" s="151" t="str">
        <f>'B) D RI'!B177</f>
        <v>Vucherens</v>
      </c>
      <c r="C176" s="309">
        <f>'B) D RI'!S177</f>
        <v>77</v>
      </c>
      <c r="D176" s="152">
        <f>'B) D RI'!AA177</f>
        <v>623</v>
      </c>
      <c r="E176" s="307">
        <f>'D) Ecrêtage'!C176</f>
        <v>18793.189090909087</v>
      </c>
      <c r="F176" s="311">
        <f>'E) PCS'!G182</f>
        <v>329449.29092449468</v>
      </c>
      <c r="G176" s="308">
        <f>'H) Péréquation directe'!I186</f>
        <v>6238.0051744955126</v>
      </c>
      <c r="H176" s="311" t="e">
        <f>+'I) Dépenses thématiques'!S176</f>
        <v>#DIV/0!</v>
      </c>
      <c r="I176" s="308">
        <f>'K) Plafonnement aide'!J176</f>
        <v>0</v>
      </c>
      <c r="J176" s="311">
        <f>'J) Plafonnement effort'!J176</f>
        <v>0</v>
      </c>
      <c r="K176" s="308">
        <f>'L) Plafonnement taux'!Q177</f>
        <v>0</v>
      </c>
      <c r="L176" s="306" t="e">
        <f t="shared" si="9"/>
        <v>#DIV/0!</v>
      </c>
      <c r="M176" s="231">
        <f>'M) Police'!N176</f>
        <v>56876.230777419725</v>
      </c>
      <c r="N176" s="231" t="e">
        <f t="shared" si="7"/>
        <v>#DIV/0!</v>
      </c>
      <c r="O176" s="311" t="e">
        <f t="shared" si="8"/>
        <v>#DIV/0!</v>
      </c>
      <c r="P176" s="313"/>
    </row>
    <row r="177" spans="1:16" s="153" customFormat="1" x14ac:dyDescent="0.25">
      <c r="A177" s="150">
        <f>'B) D RI'!A178</f>
        <v>5693</v>
      </c>
      <c r="B177" s="151" t="str">
        <f>'B) D RI'!B178</f>
        <v>Montanaire</v>
      </c>
      <c r="C177" s="309">
        <f>'B) D RI'!S178</f>
        <v>70</v>
      </c>
      <c r="D177" s="152">
        <f>'B) D RI'!AA178</f>
        <v>2768</v>
      </c>
      <c r="E177" s="307">
        <f>'D) Ecrêtage'!C177</f>
        <v>75690.162142857153</v>
      </c>
      <c r="F177" s="311">
        <f>'E) PCS'!G183</f>
        <v>1184646.0915379894</v>
      </c>
      <c r="G177" s="308">
        <f>'H) Péréquation directe'!I187</f>
        <v>-461225.79483382031</v>
      </c>
      <c r="H177" s="311" t="e">
        <f>+'I) Dépenses thématiques'!S177</f>
        <v>#DIV/0!</v>
      </c>
      <c r="I177" s="308">
        <f>'K) Plafonnement aide'!J177</f>
        <v>0</v>
      </c>
      <c r="J177" s="311">
        <f>'J) Plafonnement effort'!J177</f>
        <v>0</v>
      </c>
      <c r="K177" s="308">
        <f>'L) Plafonnement taux'!Q178</f>
        <v>0</v>
      </c>
      <c r="L177" s="306" t="e">
        <f>F177+G177+H177+I177+J177+K177</f>
        <v>#DIV/0!</v>
      </c>
      <c r="M177" s="231">
        <f>'M) Police'!N177</f>
        <v>227166.6699190381</v>
      </c>
      <c r="N177" s="231" t="e">
        <f t="shared" si="7"/>
        <v>#DIV/0!</v>
      </c>
      <c r="O177" s="311" t="e">
        <f t="shared" si="8"/>
        <v>#DIV/0!</v>
      </c>
      <c r="P177" s="313"/>
    </row>
    <row r="178" spans="1:16" s="153" customFormat="1" x14ac:dyDescent="0.25">
      <c r="A178" s="150">
        <f>'B) D RI'!A179</f>
        <v>5701</v>
      </c>
      <c r="B178" s="151" t="str">
        <f>'B) D RI'!B179</f>
        <v>Arnex-sur-Nyon</v>
      </c>
      <c r="C178" s="309">
        <f>'B) D RI'!S179</f>
        <v>70</v>
      </c>
      <c r="D178" s="152">
        <f>'B) D RI'!AA179</f>
        <v>226</v>
      </c>
      <c r="E178" s="307">
        <f>'D) Ecrêtage'!C178</f>
        <v>14488.714857142857</v>
      </c>
      <c r="F178" s="311">
        <f>'E) PCS'!G184</f>
        <v>317475.49945913622</v>
      </c>
      <c r="G178" s="308">
        <f>'H) Péréquation directe'!I188</f>
        <v>244374.43506845424</v>
      </c>
      <c r="H178" s="311" t="e">
        <f>+'I) Dépenses thématiques'!S178</f>
        <v>#DIV/0!</v>
      </c>
      <c r="I178" s="308">
        <f>'K) Plafonnement aide'!J178</f>
        <v>0</v>
      </c>
      <c r="J178" s="311">
        <f>'J) Plafonnement effort'!J178</f>
        <v>0</v>
      </c>
      <c r="K178" s="308">
        <f>'L) Plafonnement taux'!Q179</f>
        <v>0</v>
      </c>
      <c r="L178" s="306" t="e">
        <f>F178+G178+H178+I178+J178+K178</f>
        <v>#DIV/0!</v>
      </c>
      <c r="M178" s="231">
        <f>'M) Police'!N178</f>
        <v>37120.741085096204</v>
      </c>
      <c r="N178" s="231" t="e">
        <f t="shared" si="7"/>
        <v>#DIV/0!</v>
      </c>
      <c r="O178" s="311" t="e">
        <f t="shared" si="8"/>
        <v>#DIV/0!</v>
      </c>
      <c r="P178" s="313"/>
    </row>
    <row r="179" spans="1:16" s="153" customFormat="1" x14ac:dyDescent="0.25">
      <c r="A179" s="150">
        <f>'B) D RI'!A180</f>
        <v>5702</v>
      </c>
      <c r="B179" s="151" t="str">
        <f>'B) D RI'!B180</f>
        <v>Arzier-Le Muids</v>
      </c>
      <c r="C179" s="309">
        <f>'B) D RI'!S180</f>
        <v>64</v>
      </c>
      <c r="D179" s="152">
        <f>'B) D RI'!AA180</f>
        <v>2947</v>
      </c>
      <c r="E179" s="307">
        <f>'D) Ecrêtage'!C179</f>
        <v>174862.96255208339</v>
      </c>
      <c r="F179" s="311">
        <f>'E) PCS'!G185</f>
        <v>3323226.1109908684</v>
      </c>
      <c r="G179" s="308">
        <f>'H) Péréquation directe'!I189</f>
        <v>2484765.774775329</v>
      </c>
      <c r="H179" s="311" t="e">
        <f>+'I) Dépenses thématiques'!S179</f>
        <v>#DIV/0!</v>
      </c>
      <c r="I179" s="308">
        <f>'K) Plafonnement aide'!J179</f>
        <v>0</v>
      </c>
      <c r="J179" s="311">
        <f>'J) Plafonnement effort'!J179</f>
        <v>0</v>
      </c>
      <c r="K179" s="308">
        <f>'L) Plafonnement taux'!Q180</f>
        <v>0</v>
      </c>
      <c r="L179" s="306" t="e">
        <f t="shared" si="9"/>
        <v>#DIV/0!</v>
      </c>
      <c r="M179" s="231">
        <f>'M) Police'!N179</f>
        <v>467633.27989773324</v>
      </c>
      <c r="N179" s="231" t="e">
        <f t="shared" si="7"/>
        <v>#DIV/0!</v>
      </c>
      <c r="O179" s="311" t="e">
        <f t="shared" si="8"/>
        <v>#DIV/0!</v>
      </c>
      <c r="P179" s="313"/>
    </row>
    <row r="180" spans="1:16" s="153" customFormat="1" x14ac:dyDescent="0.25">
      <c r="A180" s="150">
        <f>'B) D RI'!A181</f>
        <v>5703</v>
      </c>
      <c r="B180" s="151" t="str">
        <f>'B) D RI'!B181</f>
        <v>Bassins</v>
      </c>
      <c r="C180" s="309">
        <f>'B) D RI'!S181</f>
        <v>72.5</v>
      </c>
      <c r="D180" s="152">
        <f>'B) D RI'!AA181</f>
        <v>1487</v>
      </c>
      <c r="E180" s="307">
        <f>'D) Ecrêtage'!C180</f>
        <v>66800.247822660094</v>
      </c>
      <c r="F180" s="311">
        <f>'E) PCS'!G186</f>
        <v>1063406.1386257419</v>
      </c>
      <c r="G180" s="308">
        <f>'H) Péréquation directe'!I190</f>
        <v>852394.59819928417</v>
      </c>
      <c r="H180" s="311" t="e">
        <f>+'I) Dépenses thématiques'!S180</f>
        <v>#DIV/0!</v>
      </c>
      <c r="I180" s="308">
        <f>'K) Plafonnement aide'!J180</f>
        <v>0</v>
      </c>
      <c r="J180" s="311">
        <f>'J) Plafonnement effort'!J180</f>
        <v>0</v>
      </c>
      <c r="K180" s="308">
        <f>'L) Plafonnement taux'!Q181</f>
        <v>0</v>
      </c>
      <c r="L180" s="306" t="e">
        <f t="shared" si="9"/>
        <v>#DIV/0!</v>
      </c>
      <c r="M180" s="231">
        <f>'M) Police'!N180</f>
        <v>202175.04011902315</v>
      </c>
      <c r="N180" s="231" t="e">
        <f t="shared" si="7"/>
        <v>#DIV/0!</v>
      </c>
      <c r="O180" s="311" t="e">
        <f t="shared" si="8"/>
        <v>#DIV/0!</v>
      </c>
      <c r="P180" s="313"/>
    </row>
    <row r="181" spans="1:16" s="153" customFormat="1" x14ac:dyDescent="0.25">
      <c r="A181" s="150">
        <f>'B) D RI'!A182</f>
        <v>5704</v>
      </c>
      <c r="B181" s="151" t="str">
        <f>'B) D RI'!B182</f>
        <v>Begnins</v>
      </c>
      <c r="C181" s="309">
        <f>'B) D RI'!S182</f>
        <v>62.5</v>
      </c>
      <c r="D181" s="152">
        <f>'B) D RI'!AA182</f>
        <v>1941</v>
      </c>
      <c r="E181" s="307">
        <f>'D) Ecrêtage'!C181</f>
        <v>202343.35360000003</v>
      </c>
      <c r="F181" s="311">
        <f>'E) PCS'!G187</f>
        <v>5174320.5047818627</v>
      </c>
      <c r="G181" s="308">
        <f>'H) Péréquation directe'!I191</f>
        <v>3353129.6121292496</v>
      </c>
      <c r="H181" s="311" t="e">
        <f>+'I) Dépenses thématiques'!S181</f>
        <v>#DIV/0!</v>
      </c>
      <c r="I181" s="308">
        <f>'K) Plafonnement aide'!J181</f>
        <v>0</v>
      </c>
      <c r="J181" s="311">
        <f>'J) Plafonnement effort'!J181</f>
        <v>0</v>
      </c>
      <c r="K181" s="308">
        <f>'L) Plafonnement taux'!Q182</f>
        <v>0</v>
      </c>
      <c r="L181" s="306" t="e">
        <f t="shared" si="9"/>
        <v>#DIV/0!</v>
      </c>
      <c r="M181" s="231">
        <f>'M) Police'!N181</f>
        <v>409718.13647612114</v>
      </c>
      <c r="N181" s="231" t="e">
        <f t="shared" si="7"/>
        <v>#DIV/0!</v>
      </c>
      <c r="O181" s="311" t="e">
        <f t="shared" si="8"/>
        <v>#DIV/0!</v>
      </c>
      <c r="P181" s="313"/>
    </row>
    <row r="182" spans="1:16" s="153" customFormat="1" x14ac:dyDescent="0.25">
      <c r="A182" s="150">
        <f>'B) D RI'!A183</f>
        <v>5705</v>
      </c>
      <c r="B182" s="151" t="str">
        <f>'B) D RI'!B183</f>
        <v>Bogis-Bossey</v>
      </c>
      <c r="C182" s="309">
        <f>'B) D RI'!S183</f>
        <v>74.5</v>
      </c>
      <c r="D182" s="152">
        <f>'B) D RI'!AA183</f>
        <v>888</v>
      </c>
      <c r="E182" s="307">
        <f>'D) Ecrêtage'!C182</f>
        <v>51953.338389261742</v>
      </c>
      <c r="F182" s="311">
        <f>'E) PCS'!G188</f>
        <v>1055703.9032666122</v>
      </c>
      <c r="G182" s="308">
        <f>'H) Péréquation directe'!I192</f>
        <v>866590.66252570401</v>
      </c>
      <c r="H182" s="311" t="e">
        <f>+'I) Dépenses thématiques'!S182</f>
        <v>#DIV/0!</v>
      </c>
      <c r="I182" s="308">
        <f>'K) Plafonnement aide'!J182</f>
        <v>0</v>
      </c>
      <c r="J182" s="311">
        <f>'J) Plafonnement effort'!J182</f>
        <v>0</v>
      </c>
      <c r="K182" s="308">
        <f>'L) Plafonnement taux'!Q183</f>
        <v>0</v>
      </c>
      <c r="L182" s="306" t="e">
        <f t="shared" si="9"/>
        <v>#DIV/0!</v>
      </c>
      <c r="M182" s="231">
        <f>'M) Police'!N182</f>
        <v>140048.90925903252</v>
      </c>
      <c r="N182" s="231" t="e">
        <f t="shared" si="7"/>
        <v>#DIV/0!</v>
      </c>
      <c r="O182" s="311" t="e">
        <f t="shared" si="8"/>
        <v>#DIV/0!</v>
      </c>
      <c r="P182" s="313"/>
    </row>
    <row r="183" spans="1:16" s="153" customFormat="1" x14ac:dyDescent="0.25">
      <c r="A183" s="150">
        <f>'B) D RI'!A184</f>
        <v>5706</v>
      </c>
      <c r="B183" s="151" t="str">
        <f>'B) D RI'!B184</f>
        <v>Borex</v>
      </c>
      <c r="C183" s="309">
        <f>'B) D RI'!S184</f>
        <v>57</v>
      </c>
      <c r="D183" s="152">
        <f>'B) D RI'!AA184</f>
        <v>1165</v>
      </c>
      <c r="E183" s="307">
        <f>'D) Ecrêtage'!C183</f>
        <v>71207.99596491229</v>
      </c>
      <c r="F183" s="311">
        <f>'E) PCS'!G189</f>
        <v>1219943.7128392414</v>
      </c>
      <c r="G183" s="308">
        <f>'H) Péréquation directe'!I193</f>
        <v>1157211.4746749664</v>
      </c>
      <c r="H183" s="311" t="e">
        <f>+'I) Dépenses thématiques'!S183</f>
        <v>#DIV/0!</v>
      </c>
      <c r="I183" s="308">
        <f>'K) Plafonnement aide'!J183</f>
        <v>0</v>
      </c>
      <c r="J183" s="311">
        <f>'J) Plafonnement effort'!J183</f>
        <v>0</v>
      </c>
      <c r="K183" s="308">
        <f>'L) Plafonnement taux'!Q184</f>
        <v>0</v>
      </c>
      <c r="L183" s="306" t="e">
        <f t="shared" si="9"/>
        <v>#DIV/0!</v>
      </c>
      <c r="M183" s="231">
        <f>'M) Police'!N183</f>
        <v>187292.50661892269</v>
      </c>
      <c r="N183" s="231" t="e">
        <f t="shared" si="7"/>
        <v>#DIV/0!</v>
      </c>
      <c r="O183" s="311" t="e">
        <f t="shared" si="8"/>
        <v>#DIV/0!</v>
      </c>
      <c r="P183" s="313"/>
    </row>
    <row r="184" spans="1:16" s="153" customFormat="1" x14ac:dyDescent="0.25">
      <c r="A184" s="150">
        <f>'B) D RI'!A185</f>
        <v>5707</v>
      </c>
      <c r="B184" s="151" t="str">
        <f>'B) D RI'!B185</f>
        <v>Chavannes-de-Bogis</v>
      </c>
      <c r="C184" s="309">
        <f>'B) D RI'!S185</f>
        <v>58</v>
      </c>
      <c r="D184" s="152">
        <f>'B) D RI'!AA185</f>
        <v>1330</v>
      </c>
      <c r="E184" s="307">
        <f>'D) Ecrêtage'!C184</f>
        <v>88021.415574712664</v>
      </c>
      <c r="F184" s="311">
        <f>'E) PCS'!G190</f>
        <v>2045814.1695573148</v>
      </c>
      <c r="G184" s="308">
        <f>'H) Péréquation directe'!I194</f>
        <v>1415878.5567546492</v>
      </c>
      <c r="H184" s="311" t="e">
        <f>+'I) Dépenses thématiques'!S184</f>
        <v>#DIV/0!</v>
      </c>
      <c r="I184" s="308">
        <f>'K) Plafonnement aide'!J184</f>
        <v>0</v>
      </c>
      <c r="J184" s="311">
        <f>'J) Plafonnement effort'!J184</f>
        <v>0</v>
      </c>
      <c r="K184" s="308">
        <f>'L) Plafonnement taux'!Q185</f>
        <v>0</v>
      </c>
      <c r="L184" s="306" t="e">
        <f t="shared" si="9"/>
        <v>#DIV/0!</v>
      </c>
      <c r="M184" s="231">
        <f>'M) Police'!N184</f>
        <v>221669.75487904786</v>
      </c>
      <c r="N184" s="231" t="e">
        <f t="shared" si="7"/>
        <v>#DIV/0!</v>
      </c>
      <c r="O184" s="311" t="e">
        <f t="shared" si="8"/>
        <v>#DIV/0!</v>
      </c>
      <c r="P184" s="313"/>
    </row>
    <row r="185" spans="1:16" s="153" customFormat="1" x14ac:dyDescent="0.25">
      <c r="A185" s="150">
        <f>'B) D RI'!A186</f>
        <v>5708</v>
      </c>
      <c r="B185" s="151" t="str">
        <f>'B) D RI'!B186</f>
        <v>Chavannes-des-Bois</v>
      </c>
      <c r="C185" s="309">
        <f>'B) D RI'!S186</f>
        <v>68</v>
      </c>
      <c r="D185" s="152">
        <f>'B) D RI'!AA186</f>
        <v>1005</v>
      </c>
      <c r="E185" s="307">
        <f>'D) Ecrêtage'!C185</f>
        <v>67001.640000000014</v>
      </c>
      <c r="F185" s="311">
        <f>'E) PCS'!G191</f>
        <v>1269773.7032153469</v>
      </c>
      <c r="G185" s="308">
        <f>'H) Péréquation directe'!I195</f>
        <v>1133967.120187415</v>
      </c>
      <c r="H185" s="311" t="e">
        <f>+'I) Dépenses thématiques'!S185</f>
        <v>#DIV/0!</v>
      </c>
      <c r="I185" s="308">
        <f>'K) Plafonnement aide'!J185</f>
        <v>0</v>
      </c>
      <c r="J185" s="311">
        <f>'J) Plafonnement effort'!J185</f>
        <v>0</v>
      </c>
      <c r="K185" s="308">
        <f>'L) Plafonnement taux'!Q186</f>
        <v>0</v>
      </c>
      <c r="L185" s="306" t="e">
        <f t="shared" si="9"/>
        <v>#DIV/0!</v>
      </c>
      <c r="M185" s="231">
        <f>'M) Police'!N185</f>
        <v>168073.18220145814</v>
      </c>
      <c r="N185" s="231" t="e">
        <f t="shared" si="7"/>
        <v>#DIV/0!</v>
      </c>
      <c r="O185" s="311" t="e">
        <f t="shared" si="8"/>
        <v>#DIV/0!</v>
      </c>
      <c r="P185" s="313"/>
    </row>
    <row r="186" spans="1:16" s="153" customFormat="1" x14ac:dyDescent="0.25">
      <c r="A186" s="150">
        <f>'B) D RI'!A187</f>
        <v>5709</v>
      </c>
      <c r="B186" s="151" t="str">
        <f>'B) D RI'!B187</f>
        <v>Chéserex</v>
      </c>
      <c r="C186" s="309">
        <f>'B) D RI'!S187</f>
        <v>57</v>
      </c>
      <c r="D186" s="152">
        <f>'B) D RI'!AA187</f>
        <v>1263</v>
      </c>
      <c r="E186" s="307">
        <f>'D) Ecrêtage'!C186</f>
        <v>88342.385614035084</v>
      </c>
      <c r="F186" s="311">
        <f>'E) PCS'!G192</f>
        <v>2404098.5618905611</v>
      </c>
      <c r="G186" s="308">
        <f>'H) Péréquation directe'!I196</f>
        <v>1445319.5925204577</v>
      </c>
      <c r="H186" s="311" t="e">
        <f>+'I) Dépenses thématiques'!S186</f>
        <v>#DIV/0!</v>
      </c>
      <c r="I186" s="308">
        <f>'K) Plafonnement aide'!J186</f>
        <v>0</v>
      </c>
      <c r="J186" s="311">
        <f>'J) Plafonnement effort'!J186</f>
        <v>0</v>
      </c>
      <c r="K186" s="308">
        <f>'L) Plafonnement taux'!Q187</f>
        <v>0</v>
      </c>
      <c r="L186" s="306" t="e">
        <f t="shared" si="9"/>
        <v>#DIV/0!</v>
      </c>
      <c r="M186" s="231">
        <f>'M) Police'!N186</f>
        <v>216051.51454705675</v>
      </c>
      <c r="N186" s="231" t="e">
        <f t="shared" si="7"/>
        <v>#DIV/0!</v>
      </c>
      <c r="O186" s="311" t="e">
        <f t="shared" si="8"/>
        <v>#DIV/0!</v>
      </c>
      <c r="P186" s="313"/>
    </row>
    <row r="187" spans="1:16" s="153" customFormat="1" x14ac:dyDescent="0.25">
      <c r="A187" s="150">
        <f>'B) D RI'!A188</f>
        <v>5710</v>
      </c>
      <c r="B187" s="151" t="str">
        <f>'B) D RI'!B188</f>
        <v>Coinsins</v>
      </c>
      <c r="C187" s="309">
        <f>'B) D RI'!S188</f>
        <v>51</v>
      </c>
      <c r="D187" s="152">
        <f>'B) D RI'!AA188</f>
        <v>508</v>
      </c>
      <c r="E187" s="307">
        <f>'D) Ecrêtage'!C187</f>
        <v>43412.265098039228</v>
      </c>
      <c r="F187" s="311">
        <f>'E) PCS'!G193</f>
        <v>918390.10041251814</v>
      </c>
      <c r="G187" s="308">
        <f>'H) Péréquation directe'!I197</f>
        <v>753316.9461089843</v>
      </c>
      <c r="H187" s="311" t="e">
        <f>+'I) Dépenses thématiques'!S187</f>
        <v>#DIV/0!</v>
      </c>
      <c r="I187" s="308">
        <f>'K) Plafonnement aide'!J187</f>
        <v>0</v>
      </c>
      <c r="J187" s="311">
        <f>'J) Plafonnement effort'!J187</f>
        <v>0</v>
      </c>
      <c r="K187" s="308">
        <f>'L) Plafonnement taux'!Q188</f>
        <v>0</v>
      </c>
      <c r="L187" s="306" t="e">
        <f t="shared" si="9"/>
        <v>#DIV/0!</v>
      </c>
      <c r="M187" s="231">
        <f>'M) Police'!N187</f>
        <v>96093.82249048489</v>
      </c>
      <c r="N187" s="231" t="e">
        <f t="shared" si="7"/>
        <v>#DIV/0!</v>
      </c>
      <c r="O187" s="311" t="e">
        <f t="shared" si="8"/>
        <v>#DIV/0!</v>
      </c>
      <c r="P187" s="313"/>
    </row>
    <row r="188" spans="1:16" s="153" customFormat="1" x14ac:dyDescent="0.25">
      <c r="A188" s="150">
        <f>'B) D RI'!A189</f>
        <v>5711</v>
      </c>
      <c r="B188" s="151" t="str">
        <f>'B) D RI'!B189</f>
        <v>Commugny</v>
      </c>
      <c r="C188" s="309">
        <f>'B) D RI'!S189</f>
        <v>55.5</v>
      </c>
      <c r="D188" s="152">
        <f>'B) D RI'!AA189</f>
        <v>3001</v>
      </c>
      <c r="E188" s="307">
        <f>'D) Ecrêtage'!C188</f>
        <v>286273.03470547468</v>
      </c>
      <c r="F188" s="311">
        <f>'E) PCS'!G194</f>
        <v>7158306.4972816762</v>
      </c>
      <c r="G188" s="308">
        <f>'H) Péréquation directe'!I198</f>
        <v>4561645.6738902237</v>
      </c>
      <c r="H188" s="311" t="e">
        <f>+'I) Dépenses thématiques'!S188</f>
        <v>#DIV/0!</v>
      </c>
      <c r="I188" s="308">
        <f>'K) Plafonnement aide'!J188</f>
        <v>0</v>
      </c>
      <c r="J188" s="311">
        <f>'J) Plafonnement effort'!J188</f>
        <v>0</v>
      </c>
      <c r="K188" s="308">
        <f>'L) Plafonnement taux'!Q189</f>
        <v>0</v>
      </c>
      <c r="L188" s="306" t="e">
        <f t="shared" si="9"/>
        <v>#DIV/0!</v>
      </c>
      <c r="M188" s="231">
        <f>'M) Police'!N188</f>
        <v>602463.44148573128</v>
      </c>
      <c r="N188" s="231" t="e">
        <f t="shared" si="7"/>
        <v>#DIV/0!</v>
      </c>
      <c r="O188" s="311" t="e">
        <f t="shared" si="8"/>
        <v>#DIV/0!</v>
      </c>
      <c r="P188" s="313"/>
    </row>
    <row r="189" spans="1:16" s="153" customFormat="1" x14ac:dyDescent="0.25">
      <c r="A189" s="150">
        <f>'B) D RI'!A190</f>
        <v>5712</v>
      </c>
      <c r="B189" s="151" t="str">
        <f>'B) D RI'!B190</f>
        <v>Coppet</v>
      </c>
      <c r="C189" s="309">
        <f>'B) D RI'!S190</f>
        <v>53</v>
      </c>
      <c r="D189" s="152">
        <f>'B) D RI'!AA190</f>
        <v>3211</v>
      </c>
      <c r="E189" s="307">
        <f>'D) Ecrêtage'!C189</f>
        <v>333754.3945283019</v>
      </c>
      <c r="F189" s="311">
        <f>'E) PCS'!G195</f>
        <v>8460333.4385013878</v>
      </c>
      <c r="G189" s="308">
        <f>'H) Péréquation directe'!I199</f>
        <v>5350095.5851861211</v>
      </c>
      <c r="H189" s="311" t="e">
        <f>+'I) Dépenses thématiques'!S189</f>
        <v>#DIV/0!</v>
      </c>
      <c r="I189" s="308">
        <f>'K) Plafonnement aide'!J189</f>
        <v>0</v>
      </c>
      <c r="J189" s="311">
        <f>'J) Plafonnement effort'!J189</f>
        <v>0</v>
      </c>
      <c r="K189" s="308">
        <f>'L) Plafonnement taux'!Q190</f>
        <v>0</v>
      </c>
      <c r="L189" s="306" t="e">
        <f t="shared" si="9"/>
        <v>#DIV/0!</v>
      </c>
      <c r="M189" s="231">
        <f>'M) Police'!N189</f>
        <v>676650.93445917137</v>
      </c>
      <c r="N189" s="231" t="e">
        <f t="shared" si="7"/>
        <v>#DIV/0!</v>
      </c>
      <c r="O189" s="311" t="e">
        <f t="shared" si="8"/>
        <v>#DIV/0!</v>
      </c>
      <c r="P189" s="313"/>
    </row>
    <row r="190" spans="1:16" s="153" customFormat="1" x14ac:dyDescent="0.25">
      <c r="A190" s="150">
        <f>'B) D RI'!A191</f>
        <v>5713</v>
      </c>
      <c r="B190" s="151" t="str">
        <f>'B) D RI'!B191</f>
        <v>Crans</v>
      </c>
      <c r="C190" s="309">
        <f>'B) D RI'!S191</f>
        <v>56</v>
      </c>
      <c r="D190" s="152">
        <f>'B) D RI'!AA191</f>
        <v>2373</v>
      </c>
      <c r="E190" s="307">
        <f>'D) Ecrêtage'!C190</f>
        <v>302504.79982142855</v>
      </c>
      <c r="F190" s="311">
        <f>'E) PCS'!G196</f>
        <v>9502230.2616570368</v>
      </c>
      <c r="G190" s="308">
        <f>'H) Péréquation directe'!I200</f>
        <v>5086511.6826552749</v>
      </c>
      <c r="H190" s="311" t="e">
        <f>+'I) Dépenses thématiques'!S190</f>
        <v>#DIV/0!</v>
      </c>
      <c r="I190" s="308">
        <f>'K) Plafonnement aide'!J190</f>
        <v>0</v>
      </c>
      <c r="J190" s="311">
        <f>'J) Plafonnement effort'!J190</f>
        <v>0</v>
      </c>
      <c r="K190" s="308">
        <f>'L) Plafonnement taux'!Q191</f>
        <v>0</v>
      </c>
      <c r="L190" s="306" t="e">
        <f t="shared" si="9"/>
        <v>#DIV/0!</v>
      </c>
      <c r="M190" s="231">
        <f>'M) Police'!N190</f>
        <v>352981.32808683743</v>
      </c>
      <c r="N190" s="231" t="e">
        <f t="shared" si="7"/>
        <v>#DIV/0!</v>
      </c>
      <c r="O190" s="311" t="e">
        <f t="shared" si="8"/>
        <v>#DIV/0!</v>
      </c>
      <c r="P190" s="313"/>
    </row>
    <row r="191" spans="1:16" s="153" customFormat="1" x14ac:dyDescent="0.25">
      <c r="A191" s="150">
        <f>'B) D RI'!A192</f>
        <v>5714</v>
      </c>
      <c r="B191" s="151" t="str">
        <f>'B) D RI'!B192</f>
        <v>Crassier</v>
      </c>
      <c r="C191" s="309">
        <f>'B) D RI'!S192</f>
        <v>68</v>
      </c>
      <c r="D191" s="152">
        <f>'B) D RI'!AA192</f>
        <v>1228</v>
      </c>
      <c r="E191" s="307">
        <f>'D) Ecrêtage'!C191</f>
        <v>62136.029852941167</v>
      </c>
      <c r="F191" s="311">
        <f>'E) PCS'!G197</f>
        <v>1144968.0568975261</v>
      </c>
      <c r="G191" s="308">
        <f>'H) Péréquation directe'!I201</f>
        <v>964540.32632710692</v>
      </c>
      <c r="H191" s="311" t="e">
        <f>+'I) Dépenses thématiques'!S191</f>
        <v>#DIV/0!</v>
      </c>
      <c r="I191" s="308">
        <f>'K) Plafonnement aide'!J191</f>
        <v>0</v>
      </c>
      <c r="J191" s="311">
        <f>'J) Plafonnement effort'!J191</f>
        <v>0</v>
      </c>
      <c r="K191" s="308">
        <f>'L) Plafonnement taux'!Q192</f>
        <v>0</v>
      </c>
      <c r="L191" s="306" t="e">
        <f t="shared" si="9"/>
        <v>#DIV/0!</v>
      </c>
      <c r="M191" s="231">
        <f>'M) Police'!N191</f>
        <v>182341.76577454491</v>
      </c>
      <c r="N191" s="231" t="e">
        <f t="shared" si="7"/>
        <v>#DIV/0!</v>
      </c>
      <c r="O191" s="311" t="e">
        <f t="shared" si="8"/>
        <v>#DIV/0!</v>
      </c>
      <c r="P191" s="313"/>
    </row>
    <row r="192" spans="1:16" s="153" customFormat="1" x14ac:dyDescent="0.25">
      <c r="A192" s="150">
        <f>'B) D RI'!A193</f>
        <v>5715</v>
      </c>
      <c r="B192" s="151" t="str">
        <f>'B) D RI'!B193</f>
        <v>Duillier</v>
      </c>
      <c r="C192" s="309">
        <f>'B) D RI'!S193</f>
        <v>66</v>
      </c>
      <c r="D192" s="152">
        <f>'B) D RI'!AA193</f>
        <v>1146</v>
      </c>
      <c r="E192" s="307">
        <f>'D) Ecrêtage'!C192</f>
        <v>70395.129393939395</v>
      </c>
      <c r="F192" s="311">
        <f>'E) PCS'!G198</f>
        <v>1543097.0904529789</v>
      </c>
      <c r="G192" s="308">
        <f>'H) Péréquation directe'!I202</f>
        <v>1148556.1180036718</v>
      </c>
      <c r="H192" s="311" t="e">
        <f>+'I) Dépenses thématiques'!S192</f>
        <v>#DIV/0!</v>
      </c>
      <c r="I192" s="308">
        <f>'K) Plafonnement aide'!J192</f>
        <v>0</v>
      </c>
      <c r="J192" s="311">
        <f>'J) Plafonnement effort'!J192</f>
        <v>0</v>
      </c>
      <c r="K192" s="308">
        <f>'L) Plafonnement taux'!Q193</f>
        <v>0</v>
      </c>
      <c r="L192" s="306" t="e">
        <f t="shared" si="9"/>
        <v>#DIV/0!</v>
      </c>
      <c r="M192" s="231">
        <f>'M) Police'!N192</f>
        <v>184644.56189614884</v>
      </c>
      <c r="N192" s="231" t="e">
        <f t="shared" si="7"/>
        <v>#DIV/0!</v>
      </c>
      <c r="O192" s="311" t="e">
        <f t="shared" si="8"/>
        <v>#DIV/0!</v>
      </c>
      <c r="P192" s="313"/>
    </row>
    <row r="193" spans="1:16" s="153" customFormat="1" x14ac:dyDescent="0.25">
      <c r="A193" s="150">
        <f>'B) D RI'!A194</f>
        <v>5716</v>
      </c>
      <c r="B193" s="151" t="str">
        <f>'B) D RI'!B194</f>
        <v>Eysins</v>
      </c>
      <c r="C193" s="309">
        <f>'B) D RI'!S194</f>
        <v>59.5</v>
      </c>
      <c r="D193" s="152">
        <f>'B) D RI'!AA194</f>
        <v>1736</v>
      </c>
      <c r="E193" s="307">
        <f>'D) Ecrêtage'!C193</f>
        <v>203854.36605042018</v>
      </c>
      <c r="F193" s="311">
        <f>'E) PCS'!G199</f>
        <v>5421926.3773942497</v>
      </c>
      <c r="G193" s="308">
        <f>'H) Péréquation directe'!I203</f>
        <v>3453161.0264246361</v>
      </c>
      <c r="H193" s="311" t="e">
        <f>+'I) Dépenses thématiques'!S193</f>
        <v>#DIV/0!</v>
      </c>
      <c r="I193" s="308">
        <f>'K) Plafonnement aide'!J193</f>
        <v>0</v>
      </c>
      <c r="J193" s="311">
        <f>'J) Plafonnement effort'!J193</f>
        <v>0</v>
      </c>
      <c r="K193" s="308">
        <f>'L) Plafonnement taux'!Q194</f>
        <v>0</v>
      </c>
      <c r="L193" s="306" t="e">
        <f t="shared" si="9"/>
        <v>#DIV/0!</v>
      </c>
      <c r="M193" s="231">
        <f>'M) Police'!N193</f>
        <v>393145.19801721617</v>
      </c>
      <c r="N193" s="231" t="e">
        <f t="shared" ref="N193:N253" si="12">L193+M193</f>
        <v>#DIV/0!</v>
      </c>
      <c r="O193" s="311" t="e">
        <f t="shared" si="8"/>
        <v>#DIV/0!</v>
      </c>
      <c r="P193" s="313"/>
    </row>
    <row r="194" spans="1:16" s="153" customFormat="1" x14ac:dyDescent="0.25">
      <c r="A194" s="150">
        <f>'B) D RI'!A195</f>
        <v>5717</v>
      </c>
      <c r="B194" s="151" t="str">
        <f>'B) D RI'!B195</f>
        <v>Founex</v>
      </c>
      <c r="C194" s="309">
        <f>'B) D RI'!S195</f>
        <v>57</v>
      </c>
      <c r="D194" s="152">
        <f>'B) D RI'!AA195</f>
        <v>3822</v>
      </c>
      <c r="E194" s="307">
        <f>'D) Ecrêtage'!C194</f>
        <v>390728.72</v>
      </c>
      <c r="F194" s="311">
        <f>'E) PCS'!G200</f>
        <v>9725413.7076667529</v>
      </c>
      <c r="G194" s="308">
        <f>'H) Péréquation directe'!I204</f>
        <v>6117034.4459882397</v>
      </c>
      <c r="H194" s="311" t="e">
        <f>+'I) Dépenses thématiques'!S194</f>
        <v>#DIV/0!</v>
      </c>
      <c r="I194" s="308">
        <f>'K) Plafonnement aide'!J194</f>
        <v>0</v>
      </c>
      <c r="J194" s="311">
        <f>'J) Plafonnement effort'!J194</f>
        <v>0</v>
      </c>
      <c r="K194" s="308">
        <f>'L) Plafonnement taux'!Q195</f>
        <v>0</v>
      </c>
      <c r="L194" s="306" t="e">
        <f t="shared" si="9"/>
        <v>#DIV/0!</v>
      </c>
      <c r="M194" s="231">
        <f>'M) Police'!N194</f>
        <v>797782.57141706953</v>
      </c>
      <c r="N194" s="231" t="e">
        <f t="shared" si="12"/>
        <v>#DIV/0!</v>
      </c>
      <c r="O194" s="311" t="e">
        <f t="shared" si="8"/>
        <v>#DIV/0!</v>
      </c>
      <c r="P194" s="313"/>
    </row>
    <row r="195" spans="1:16" s="153" customFormat="1" x14ac:dyDescent="0.25">
      <c r="A195" s="150">
        <f>'B) D RI'!A196</f>
        <v>5718</v>
      </c>
      <c r="B195" s="151" t="str">
        <f>'B) D RI'!B196</f>
        <v>Genolier</v>
      </c>
      <c r="C195" s="309">
        <f>'B) D RI'!S196</f>
        <v>55</v>
      </c>
      <c r="D195" s="152">
        <f>'B) D RI'!AA196</f>
        <v>2022</v>
      </c>
      <c r="E195" s="307">
        <f>'D) Ecrêtage'!C195</f>
        <v>192274.57272727272</v>
      </c>
      <c r="F195" s="311">
        <f>'E) PCS'!G201</f>
        <v>4727273.8383823149</v>
      </c>
      <c r="G195" s="308">
        <f>'H) Péréquation directe'!I205</f>
        <v>3135418.6553210523</v>
      </c>
      <c r="H195" s="311" t="e">
        <f>+'I) Dépenses thématiques'!S195</f>
        <v>#DIV/0!</v>
      </c>
      <c r="I195" s="308">
        <f>'K) Plafonnement aide'!J195</f>
        <v>0</v>
      </c>
      <c r="J195" s="311">
        <f>'J) Plafonnement effort'!J195</f>
        <v>0</v>
      </c>
      <c r="K195" s="308">
        <f>'L) Plafonnement taux'!Q196</f>
        <v>0</v>
      </c>
      <c r="L195" s="306" t="e">
        <f t="shared" si="9"/>
        <v>#DIV/0!</v>
      </c>
      <c r="M195" s="231">
        <f>'M) Police'!N195</f>
        <v>405214.24784260453</v>
      </c>
      <c r="N195" s="231" t="e">
        <f t="shared" si="12"/>
        <v>#DIV/0!</v>
      </c>
      <c r="O195" s="311" t="e">
        <f t="shared" si="8"/>
        <v>#DIV/0!</v>
      </c>
      <c r="P195" s="313"/>
    </row>
    <row r="196" spans="1:16" s="153" customFormat="1" x14ac:dyDescent="0.25">
      <c r="A196" s="150">
        <f>'B) D RI'!A197</f>
        <v>5719</v>
      </c>
      <c r="B196" s="151" t="str">
        <f>'B) D RI'!B197</f>
        <v>Gingins</v>
      </c>
      <c r="C196" s="309">
        <f>'B) D RI'!S197</f>
        <v>60</v>
      </c>
      <c r="D196" s="152">
        <f>'B) D RI'!AA197</f>
        <v>1265</v>
      </c>
      <c r="E196" s="307">
        <f>'D) Ecrêtage'!C196</f>
        <v>151296.69466666671</v>
      </c>
      <c r="F196" s="311">
        <f>'E) PCS'!G202</f>
        <v>4322733.3938788017</v>
      </c>
      <c r="G196" s="308">
        <f>'H) Péréquation directe'!I206</f>
        <v>2628943.0558251082</v>
      </c>
      <c r="H196" s="311" t="e">
        <f>+'I) Dépenses thématiques'!S196</f>
        <v>#DIV/0!</v>
      </c>
      <c r="I196" s="308">
        <f>'K) Plafonnement aide'!J196</f>
        <v>0</v>
      </c>
      <c r="J196" s="311">
        <f>'J) Plafonnement effort'!J196</f>
        <v>0</v>
      </c>
      <c r="K196" s="308">
        <f>'L) Plafonnement taux'!Q197</f>
        <v>0</v>
      </c>
      <c r="L196" s="306" t="e">
        <f t="shared" si="9"/>
        <v>#DIV/0!</v>
      </c>
      <c r="M196" s="231">
        <f>'M) Police'!N196</f>
        <v>289689.38836251548</v>
      </c>
      <c r="N196" s="231" t="e">
        <f t="shared" si="12"/>
        <v>#DIV/0!</v>
      </c>
      <c r="O196" s="311" t="e">
        <f t="shared" si="8"/>
        <v>#DIV/0!</v>
      </c>
      <c r="P196" s="313"/>
    </row>
    <row r="197" spans="1:16" s="153" customFormat="1" x14ac:dyDescent="0.25">
      <c r="A197" s="150">
        <f>'B) D RI'!A198</f>
        <v>5720</v>
      </c>
      <c r="B197" s="151" t="str">
        <f>'B) D RI'!B198</f>
        <v>Givrins</v>
      </c>
      <c r="C197" s="309">
        <f>'B) D RI'!S198</f>
        <v>67</v>
      </c>
      <c r="D197" s="152">
        <f>'B) D RI'!AA198</f>
        <v>1010</v>
      </c>
      <c r="E197" s="307">
        <f>'D) Ecrêtage'!C197</f>
        <v>74789.829883913771</v>
      </c>
      <c r="F197" s="311">
        <f>'E) PCS'!G203</f>
        <v>1647418.939600239</v>
      </c>
      <c r="G197" s="308">
        <f>'H) Péréquation directe'!I207</f>
        <v>1278735.2355605862</v>
      </c>
      <c r="H197" s="311" t="e">
        <f>+'I) Dépenses thématiques'!S197</f>
        <v>#DIV/0!</v>
      </c>
      <c r="I197" s="308">
        <f>'K) Plafonnement aide'!J197</f>
        <v>0</v>
      </c>
      <c r="J197" s="311">
        <f>'J) Plafonnement effort'!J197</f>
        <v>0</v>
      </c>
      <c r="K197" s="308">
        <f>'L) Plafonnement taux'!Q198</f>
        <v>0</v>
      </c>
      <c r="L197" s="306" t="e">
        <f t="shared" si="9"/>
        <v>#DIV/0!</v>
      </c>
      <c r="M197" s="231">
        <f>'M) Police'!N197</f>
        <v>177608.14580998148</v>
      </c>
      <c r="N197" s="231" t="e">
        <f t="shared" si="12"/>
        <v>#DIV/0!</v>
      </c>
      <c r="O197" s="311" t="e">
        <f t="shared" si="8"/>
        <v>#DIV/0!</v>
      </c>
      <c r="P197" s="313"/>
    </row>
    <row r="198" spans="1:16" s="153" customFormat="1" x14ac:dyDescent="0.25">
      <c r="A198" s="150">
        <f>'B) D RI'!A199</f>
        <v>5721</v>
      </c>
      <c r="B198" s="151" t="str">
        <f>'B) D RI'!B199</f>
        <v>Gland</v>
      </c>
      <c r="C198" s="309">
        <f>'B) D RI'!S199</f>
        <v>61</v>
      </c>
      <c r="D198" s="152">
        <f>'B) D RI'!AA199</f>
        <v>13306</v>
      </c>
      <c r="E198" s="307">
        <f>'D) Ecrêtage'!C198</f>
        <v>723023.81196721317</v>
      </c>
      <c r="F198" s="311">
        <f>'E) PCS'!G204</f>
        <v>12301637.881907135</v>
      </c>
      <c r="G198" s="308">
        <f>'H) Péréquation directe'!I208</f>
        <v>5537077.4405561173</v>
      </c>
      <c r="H198" s="311" t="e">
        <f>+'I) Dépenses thématiques'!S198</f>
        <v>#DIV/0!</v>
      </c>
      <c r="I198" s="308">
        <f>'K) Plafonnement aide'!J198</f>
        <v>0</v>
      </c>
      <c r="J198" s="311">
        <f>'J) Plafonnement effort'!J198</f>
        <v>0</v>
      </c>
      <c r="K198" s="308">
        <f>'L) Plafonnement taux'!Q199</f>
        <v>0</v>
      </c>
      <c r="L198" s="306" t="e">
        <f t="shared" si="9"/>
        <v>#DIV/0!</v>
      </c>
      <c r="M198" s="231">
        <f>'M) Police'!N198</f>
        <v>2033814.7900256044</v>
      </c>
      <c r="N198" s="231" t="e">
        <f t="shared" si="12"/>
        <v>#DIV/0!</v>
      </c>
      <c r="O198" s="311" t="e">
        <f t="shared" ref="O198:O261" si="13">SUM(G198:K198)</f>
        <v>#DIV/0!</v>
      </c>
      <c r="P198" s="313"/>
    </row>
    <row r="199" spans="1:16" s="153" customFormat="1" x14ac:dyDescent="0.25">
      <c r="A199" s="150">
        <f>'B) D RI'!A200</f>
        <v>5722</v>
      </c>
      <c r="B199" s="151" t="str">
        <f>'B) D RI'!B200</f>
        <v>Grens</v>
      </c>
      <c r="C199" s="309">
        <f>'B) D RI'!S200</f>
        <v>62</v>
      </c>
      <c r="D199" s="152">
        <f>'B) D RI'!AA200</f>
        <v>401</v>
      </c>
      <c r="E199" s="307">
        <f>'D) Ecrêtage'!C199</f>
        <v>22316.761129032264</v>
      </c>
      <c r="F199" s="311">
        <f>'E) PCS'!G205</f>
        <v>320428.55373858602</v>
      </c>
      <c r="G199" s="308">
        <f>'H) Péréquation directe'!I209</f>
        <v>369807.83797287627</v>
      </c>
      <c r="H199" s="311" t="e">
        <f>+'I) Dépenses thématiques'!S199</f>
        <v>#DIV/0!</v>
      </c>
      <c r="I199" s="308">
        <f>'K) Plafonnement aide'!J199</f>
        <v>0</v>
      </c>
      <c r="J199" s="311">
        <f>'J) Plafonnement effort'!J199</f>
        <v>0</v>
      </c>
      <c r="K199" s="308">
        <f>'L) Plafonnement taux'!Q200</f>
        <v>0</v>
      </c>
      <c r="L199" s="306" t="e">
        <f t="shared" si="9"/>
        <v>#DIV/0!</v>
      </c>
      <c r="M199" s="231">
        <f>'M) Police'!N199</f>
        <v>61907.742454212676</v>
      </c>
      <c r="N199" s="231" t="e">
        <f t="shared" si="12"/>
        <v>#DIV/0!</v>
      </c>
      <c r="O199" s="311" t="e">
        <f t="shared" si="13"/>
        <v>#DIV/0!</v>
      </c>
      <c r="P199" s="313"/>
    </row>
    <row r="200" spans="1:16" s="153" customFormat="1" x14ac:dyDescent="0.25">
      <c r="A200" s="150">
        <f>'B) D RI'!A201</f>
        <v>5723</v>
      </c>
      <c r="B200" s="151" t="str">
        <f>'B) D RI'!B201</f>
        <v>Mies</v>
      </c>
      <c r="C200" s="309">
        <f>'B) D RI'!S201</f>
        <v>52</v>
      </c>
      <c r="D200" s="152">
        <f>'B) D RI'!AA201</f>
        <v>2195</v>
      </c>
      <c r="E200" s="307">
        <f>'D) Ecrêtage'!C200</f>
        <v>245974.84538461536</v>
      </c>
      <c r="F200" s="311">
        <f>'E) PCS'!G206</f>
        <v>7365889.6365538631</v>
      </c>
      <c r="G200" s="308">
        <f>'H) Péréquation directe'!I210</f>
        <v>4085221.8464286574</v>
      </c>
      <c r="H200" s="311" t="e">
        <f>+'I) Dépenses thématiques'!S200</f>
        <v>#DIV/0!</v>
      </c>
      <c r="I200" s="308">
        <f>'K) Plafonnement aide'!J200</f>
        <v>0</v>
      </c>
      <c r="J200" s="311">
        <f>'J) Plafonnement effort'!J200</f>
        <v>0</v>
      </c>
      <c r="K200" s="308">
        <f>'L) Plafonnement taux'!Q201</f>
        <v>0</v>
      </c>
      <c r="L200" s="306" t="e">
        <f t="shared" si="9"/>
        <v>#DIV/0!</v>
      </c>
      <c r="M200" s="231">
        <f>'M) Police'!N200</f>
        <v>483348.91424622585</v>
      </c>
      <c r="N200" s="231" t="e">
        <f t="shared" si="12"/>
        <v>#DIV/0!</v>
      </c>
      <c r="O200" s="311" t="e">
        <f t="shared" si="13"/>
        <v>#DIV/0!</v>
      </c>
      <c r="P200" s="313"/>
    </row>
    <row r="201" spans="1:16" s="153" customFormat="1" x14ac:dyDescent="0.25">
      <c r="A201" s="150">
        <f>'B) D RI'!A202</f>
        <v>5724</v>
      </c>
      <c r="B201" s="151" t="str">
        <f>'B) D RI'!B202</f>
        <v>Nyon</v>
      </c>
      <c r="C201" s="309">
        <f>'B) D RI'!S202</f>
        <v>61</v>
      </c>
      <c r="D201" s="152">
        <f>'B) D RI'!AA202</f>
        <v>22124</v>
      </c>
      <c r="E201" s="307">
        <f>'D) Ecrêtage'!C201</f>
        <v>1461873.0345355188</v>
      </c>
      <c r="F201" s="311">
        <f>'E) PCS'!G207</f>
        <v>30447922.353010189</v>
      </c>
      <c r="G201" s="308">
        <f>'H) Péréquation directe'!I211</f>
        <v>10280868.536465012</v>
      </c>
      <c r="H201" s="311" t="e">
        <f>+'I) Dépenses thématiques'!S201</f>
        <v>#DIV/0!</v>
      </c>
      <c r="I201" s="308">
        <f>'K) Plafonnement aide'!J201</f>
        <v>0</v>
      </c>
      <c r="J201" s="311">
        <f>'J) Plafonnement effort'!J201</f>
        <v>0</v>
      </c>
      <c r="K201" s="308">
        <f>'L) Plafonnement taux'!Q202</f>
        <v>0</v>
      </c>
      <c r="L201" s="306" t="e">
        <f t="shared" si="9"/>
        <v>#DIV/0!</v>
      </c>
      <c r="M201" s="231">
        <f>'M) Police'!N201</f>
        <v>1705803.9592406151</v>
      </c>
      <c r="N201" s="231" t="e">
        <f t="shared" si="12"/>
        <v>#DIV/0!</v>
      </c>
      <c r="O201" s="311" t="e">
        <f t="shared" si="13"/>
        <v>#DIV/0!</v>
      </c>
      <c r="P201" s="313"/>
    </row>
    <row r="202" spans="1:16" s="153" customFormat="1" x14ac:dyDescent="0.25">
      <c r="A202" s="150">
        <f>'B) D RI'!A203</f>
        <v>5725</v>
      </c>
      <c r="B202" s="151" t="str">
        <f>'B) D RI'!B203</f>
        <v>Prangins</v>
      </c>
      <c r="C202" s="309">
        <f>'B) D RI'!S203</f>
        <v>55</v>
      </c>
      <c r="D202" s="152">
        <f>'B) D RI'!AA203</f>
        <v>4060</v>
      </c>
      <c r="E202" s="307">
        <f>'D) Ecrêtage'!C202</f>
        <v>355082.58820779232</v>
      </c>
      <c r="F202" s="311">
        <f>'E) PCS'!G208</f>
        <v>8109127.5999672636</v>
      </c>
      <c r="G202" s="308">
        <f>'H) Péréquation directe'!I212</f>
        <v>5327684.3600313896</v>
      </c>
      <c r="H202" s="311" t="e">
        <f>+'I) Dépenses thématiques'!S202</f>
        <v>#DIV/0!</v>
      </c>
      <c r="I202" s="308">
        <f>'K) Plafonnement aide'!J202</f>
        <v>0</v>
      </c>
      <c r="J202" s="311">
        <f>'J) Plafonnement effort'!J202</f>
        <v>0</v>
      </c>
      <c r="K202" s="308">
        <f>'L) Plafonnement taux'!Q203</f>
        <v>0</v>
      </c>
      <c r="L202" s="306" t="e">
        <f t="shared" si="9"/>
        <v>#DIV/0!</v>
      </c>
      <c r="M202" s="231">
        <f>'M) Police'!N202</f>
        <v>414332.3465944542</v>
      </c>
      <c r="N202" s="231" t="e">
        <f t="shared" si="12"/>
        <v>#DIV/0!</v>
      </c>
      <c r="O202" s="311" t="e">
        <f t="shared" si="13"/>
        <v>#DIV/0!</v>
      </c>
      <c r="P202" s="313"/>
    </row>
    <row r="203" spans="1:16" s="153" customFormat="1" x14ac:dyDescent="0.25">
      <c r="A203" s="150">
        <f>'B) D RI'!A204</f>
        <v>5726</v>
      </c>
      <c r="B203" s="151" t="str">
        <f>'B) D RI'!B204</f>
        <v>La Rippe</v>
      </c>
      <c r="C203" s="309">
        <f>'B) D RI'!S204</f>
        <v>64</v>
      </c>
      <c r="D203" s="152">
        <f>'B) D RI'!AA204</f>
        <v>1165</v>
      </c>
      <c r="E203" s="307">
        <f>'D) Ecrêtage'!C203</f>
        <v>70366.469687500008</v>
      </c>
      <c r="F203" s="311">
        <f>'E) PCS'!G209</f>
        <v>1300418.2886626837</v>
      </c>
      <c r="G203" s="308">
        <f>'H) Péréquation directe'!I213</f>
        <v>1141380.3402367297</v>
      </c>
      <c r="H203" s="311" t="e">
        <f>+'I) Dépenses thématiques'!S203</f>
        <v>#DIV/0!</v>
      </c>
      <c r="I203" s="308">
        <f>'K) Plafonnement aide'!J203</f>
        <v>0</v>
      </c>
      <c r="J203" s="311">
        <f>'J) Plafonnement effort'!J203</f>
        <v>0</v>
      </c>
      <c r="K203" s="308">
        <f>'L) Plafonnement taux'!Q204</f>
        <v>0</v>
      </c>
      <c r="L203" s="306" t="e">
        <f t="shared" si="9"/>
        <v>#DIV/0!</v>
      </c>
      <c r="M203" s="231">
        <f>'M) Police'!N203</f>
        <v>186310.56166070615</v>
      </c>
      <c r="N203" s="231" t="e">
        <f t="shared" si="12"/>
        <v>#DIV/0!</v>
      </c>
      <c r="O203" s="311" t="e">
        <f t="shared" si="13"/>
        <v>#DIV/0!</v>
      </c>
      <c r="P203" s="313"/>
    </row>
    <row r="204" spans="1:16" s="153" customFormat="1" x14ac:dyDescent="0.25">
      <c r="A204" s="150">
        <f>'B) D RI'!A205</f>
        <v>5727</v>
      </c>
      <c r="B204" s="151" t="str">
        <f>'B) D RI'!B205</f>
        <v>Saint-Cergue</v>
      </c>
      <c r="C204" s="309">
        <f>'B) D RI'!S205</f>
        <v>66</v>
      </c>
      <c r="D204" s="152">
        <f>'B) D RI'!AA205</f>
        <v>2755</v>
      </c>
      <c r="E204" s="307">
        <f>'D) Ecrêtage'!C204</f>
        <v>106173.30404040407</v>
      </c>
      <c r="F204" s="311">
        <f>'E) PCS'!G210</f>
        <v>2031167.3472150415</v>
      </c>
      <c r="G204" s="308">
        <f>'H) Péréquation directe'!I214</f>
        <v>785359.13276019669</v>
      </c>
      <c r="H204" s="311" t="e">
        <f>+'I) Dépenses thématiques'!S204</f>
        <v>#DIV/0!</v>
      </c>
      <c r="I204" s="308">
        <f>'K) Plafonnement aide'!J204</f>
        <v>0</v>
      </c>
      <c r="J204" s="311">
        <f>'J) Plafonnement effort'!J204</f>
        <v>0</v>
      </c>
      <c r="K204" s="308">
        <f>'L) Plafonnement taux'!Q205</f>
        <v>0</v>
      </c>
      <c r="L204" s="306" t="e">
        <f t="shared" si="9"/>
        <v>#DIV/0!</v>
      </c>
      <c r="M204" s="231">
        <f>'M) Police'!N204</f>
        <v>319646.58571240248</v>
      </c>
      <c r="N204" s="231" t="e">
        <f t="shared" si="12"/>
        <v>#DIV/0!</v>
      </c>
      <c r="O204" s="311" t="e">
        <f t="shared" si="13"/>
        <v>#DIV/0!</v>
      </c>
      <c r="P204" s="313"/>
    </row>
    <row r="205" spans="1:16" s="153" customFormat="1" x14ac:dyDescent="0.25">
      <c r="A205" s="150">
        <f>'B) D RI'!A206</f>
        <v>5728</v>
      </c>
      <c r="B205" s="151" t="str">
        <f>'B) D RI'!B206</f>
        <v>Signy-Avenex</v>
      </c>
      <c r="C205" s="309">
        <f>'B) D RI'!S206</f>
        <v>58</v>
      </c>
      <c r="D205" s="152">
        <f>'B) D RI'!AA206</f>
        <v>584</v>
      </c>
      <c r="E205" s="307">
        <f>'D) Ecrêtage'!C205</f>
        <v>56477.02620689656</v>
      </c>
      <c r="F205" s="311">
        <f>'E) PCS'!G211</f>
        <v>1404720.7886073645</v>
      </c>
      <c r="G205" s="308">
        <f>'H) Péréquation directe'!I215</f>
        <v>989615.65802344517</v>
      </c>
      <c r="H205" s="311" t="e">
        <f>+'I) Dépenses thématiques'!S205</f>
        <v>#DIV/0!</v>
      </c>
      <c r="I205" s="308">
        <f>'K) Plafonnement aide'!J205</f>
        <v>0</v>
      </c>
      <c r="J205" s="311">
        <f>'J) Plafonnement effort'!J205</f>
        <v>0</v>
      </c>
      <c r="K205" s="308">
        <f>'L) Plafonnement taux'!Q206</f>
        <v>0</v>
      </c>
      <c r="L205" s="306" t="e">
        <f t="shared" si="9"/>
        <v>#DIV/0!</v>
      </c>
      <c r="M205" s="231">
        <f>'M) Police'!N205</f>
        <v>118136.36131090674</v>
      </c>
      <c r="N205" s="231" t="e">
        <f t="shared" si="12"/>
        <v>#DIV/0!</v>
      </c>
      <c r="O205" s="311" t="e">
        <f t="shared" si="13"/>
        <v>#DIV/0!</v>
      </c>
      <c r="P205" s="313"/>
    </row>
    <row r="206" spans="1:16" s="153" customFormat="1" x14ac:dyDescent="0.25">
      <c r="A206" s="150">
        <f>'B) D RI'!A207</f>
        <v>5729</v>
      </c>
      <c r="B206" s="151" t="str">
        <f>'B) D RI'!B207</f>
        <v>Tannay</v>
      </c>
      <c r="C206" s="309">
        <f>'B) D RI'!S207</f>
        <v>60.5</v>
      </c>
      <c r="D206" s="152">
        <f>'B) D RI'!AA207</f>
        <v>1644</v>
      </c>
      <c r="E206" s="307">
        <f>'D) Ecrêtage'!C206</f>
        <v>161688.04044077132</v>
      </c>
      <c r="F206" s="311">
        <f>'E) PCS'!G212</f>
        <v>4267636.911754135</v>
      </c>
      <c r="G206" s="308">
        <f>'H) Péréquation directe'!I216</f>
        <v>2692046.1783530172</v>
      </c>
      <c r="H206" s="311" t="e">
        <f>+'I) Dépenses thématiques'!S206</f>
        <v>#DIV/0!</v>
      </c>
      <c r="I206" s="308">
        <f>'K) Plafonnement aide'!J206</f>
        <v>0</v>
      </c>
      <c r="J206" s="311">
        <f>'J) Plafonnement effort'!J206</f>
        <v>0</v>
      </c>
      <c r="K206" s="308">
        <f>'L) Plafonnement taux'!Q207</f>
        <v>0</v>
      </c>
      <c r="L206" s="306" t="e">
        <f t="shared" si="9"/>
        <v>#DIV/0!</v>
      </c>
      <c r="M206" s="231">
        <f>'M) Police'!N206</f>
        <v>335714.04331273458</v>
      </c>
      <c r="N206" s="231" t="e">
        <f t="shared" si="12"/>
        <v>#DIV/0!</v>
      </c>
      <c r="O206" s="311" t="e">
        <f t="shared" si="13"/>
        <v>#DIV/0!</v>
      </c>
      <c r="P206" s="313"/>
    </row>
    <row r="207" spans="1:16" s="153" customFormat="1" x14ac:dyDescent="0.25">
      <c r="A207" s="150">
        <f>'B) D RI'!A208</f>
        <v>5730</v>
      </c>
      <c r="B207" s="151" t="str">
        <f>'B) D RI'!B208</f>
        <v>Trélex</v>
      </c>
      <c r="C207" s="309">
        <f>'B) D RI'!S208</f>
        <v>55.5</v>
      </c>
      <c r="D207" s="152">
        <f>'B) D RI'!AA208</f>
        <v>1439</v>
      </c>
      <c r="E207" s="307">
        <f>'D) Ecrêtage'!C207</f>
        <v>125085.64878878882</v>
      </c>
      <c r="F207" s="311">
        <f>'E) PCS'!G213</f>
        <v>3266663.7765847696</v>
      </c>
      <c r="G207" s="308">
        <f>'H) Péréquation directe'!I217</f>
        <v>2075072.7403467251</v>
      </c>
      <c r="H207" s="311" t="e">
        <f>+'I) Dépenses thématiques'!S207</f>
        <v>#DIV/0!</v>
      </c>
      <c r="I207" s="308">
        <f>'K) Plafonnement aide'!J207</f>
        <v>0</v>
      </c>
      <c r="J207" s="311">
        <f>'J) Plafonnement effort'!J207</f>
        <v>0</v>
      </c>
      <c r="K207" s="308">
        <f>'L) Plafonnement taux'!Q208</f>
        <v>0</v>
      </c>
      <c r="L207" s="306" t="e">
        <f t="shared" si="9"/>
        <v>#DIV/0!</v>
      </c>
      <c r="M207" s="231">
        <f>'M) Police'!N207</f>
        <v>274668.0253988324</v>
      </c>
      <c r="N207" s="231" t="e">
        <f t="shared" si="12"/>
        <v>#DIV/0!</v>
      </c>
      <c r="O207" s="311" t="e">
        <f t="shared" si="13"/>
        <v>#DIV/0!</v>
      </c>
      <c r="P207" s="313"/>
    </row>
    <row r="208" spans="1:16" s="153" customFormat="1" x14ac:dyDescent="0.25">
      <c r="A208" s="150">
        <f>'B) D RI'!A209</f>
        <v>5731</v>
      </c>
      <c r="B208" s="151" t="str">
        <f>'B) D RI'!B209</f>
        <v>Le Vaud</v>
      </c>
      <c r="C208" s="309">
        <f>'B) D RI'!S209</f>
        <v>74</v>
      </c>
      <c r="D208" s="152">
        <f>'B) D RI'!AA209</f>
        <v>1387</v>
      </c>
      <c r="E208" s="307">
        <f>'D) Ecrêtage'!C208</f>
        <v>69596.613288288281</v>
      </c>
      <c r="F208" s="311">
        <f>'E) PCS'!G214</f>
        <v>1020185.5723568372</v>
      </c>
      <c r="G208" s="308">
        <f>'H) Péréquation directe'!I218</f>
        <v>1049353.8267114868</v>
      </c>
      <c r="H208" s="311" t="e">
        <f>+'I) Dépenses thématiques'!S208</f>
        <v>#DIV/0!</v>
      </c>
      <c r="I208" s="308">
        <f>'K) Plafonnement aide'!J208</f>
        <v>0</v>
      </c>
      <c r="J208" s="311">
        <f>'J) Plafonnement effort'!J208</f>
        <v>0</v>
      </c>
      <c r="K208" s="308">
        <f>'L) Plafonnement taux'!Q209</f>
        <v>0</v>
      </c>
      <c r="L208" s="306" t="e">
        <f t="shared" si="9"/>
        <v>#DIV/0!</v>
      </c>
      <c r="M208" s="231">
        <f>'M) Police'!N208</f>
        <v>205268.87997007562</v>
      </c>
      <c r="N208" s="231" t="e">
        <f t="shared" si="12"/>
        <v>#DIV/0!</v>
      </c>
      <c r="O208" s="311" t="e">
        <f t="shared" si="13"/>
        <v>#DIV/0!</v>
      </c>
      <c r="P208" s="313"/>
    </row>
    <row r="209" spans="1:16" s="153" customFormat="1" x14ac:dyDescent="0.25">
      <c r="A209" s="150">
        <f>'B) D RI'!A210</f>
        <v>5732</v>
      </c>
      <c r="B209" s="151" t="str">
        <f>'B) D RI'!B210</f>
        <v>Vich</v>
      </c>
      <c r="C209" s="309">
        <f>'B) D RI'!S210</f>
        <v>63</v>
      </c>
      <c r="D209" s="152">
        <f>'B) D RI'!AA210</f>
        <v>1157</v>
      </c>
      <c r="E209" s="307">
        <f>'D) Ecrêtage'!C209</f>
        <v>86538.031587301579</v>
      </c>
      <c r="F209" s="311">
        <f>'E) PCS'!G215</f>
        <v>1709132.0655778602</v>
      </c>
      <c r="G209" s="308">
        <f>'H) Péréquation directe'!I219</f>
        <v>1448400.7031541513</v>
      </c>
      <c r="H209" s="311" t="e">
        <f>+'I) Dépenses thématiques'!S209</f>
        <v>#DIV/0!</v>
      </c>
      <c r="I209" s="308">
        <f>'K) Plafonnement aide'!J209</f>
        <v>0</v>
      </c>
      <c r="J209" s="311">
        <f>'J) Plafonnement effort'!J209</f>
        <v>0</v>
      </c>
      <c r="K209" s="308">
        <f>'L) Plafonnement taux'!Q210</f>
        <v>0</v>
      </c>
      <c r="L209" s="306" t="e">
        <f t="shared" si="9"/>
        <v>#DIV/0!</v>
      </c>
      <c r="M209" s="231">
        <f>'M) Police'!N209</f>
        <v>204464.98685110628</v>
      </c>
      <c r="N209" s="231" t="e">
        <f t="shared" si="12"/>
        <v>#DIV/0!</v>
      </c>
      <c r="O209" s="311" t="e">
        <f t="shared" si="13"/>
        <v>#DIV/0!</v>
      </c>
      <c r="P209" s="313"/>
    </row>
    <row r="210" spans="1:16" s="153" customFormat="1" x14ac:dyDescent="0.25">
      <c r="A210" s="150">
        <f>'B) D RI'!A211</f>
        <v>5741</v>
      </c>
      <c r="B210" s="151" t="str">
        <f>'B) D RI'!B211</f>
        <v>L'Abergement</v>
      </c>
      <c r="C210" s="309">
        <f>'B) D RI'!S211</f>
        <v>81</v>
      </c>
      <c r="D210" s="152">
        <f>'B) D RI'!AA211</f>
        <v>256</v>
      </c>
      <c r="E210" s="307">
        <f>'D) Ecrêtage'!C210</f>
        <v>8987.3782921810707</v>
      </c>
      <c r="F210" s="311">
        <f>'E) PCS'!G216</f>
        <v>140919.07393188227</v>
      </c>
      <c r="G210" s="308">
        <f>'H) Péréquation directe'!I220</f>
        <v>47725.572351927054</v>
      </c>
      <c r="H210" s="311" t="e">
        <f>+'I) Dépenses thématiques'!S210</f>
        <v>#DIV/0!</v>
      </c>
      <c r="I210" s="308">
        <f>'K) Plafonnement aide'!J210</f>
        <v>0</v>
      </c>
      <c r="J210" s="311">
        <f>'J) Plafonnement effort'!J210</f>
        <v>0</v>
      </c>
      <c r="K210" s="308">
        <f>'L) Plafonnement taux'!Q211</f>
        <v>0</v>
      </c>
      <c r="L210" s="306" t="e">
        <f t="shared" si="9"/>
        <v>#DIV/0!</v>
      </c>
      <c r="M210" s="231">
        <f>'M) Police'!N210</f>
        <v>27402.642967765958</v>
      </c>
      <c r="N210" s="231" t="e">
        <f t="shared" si="12"/>
        <v>#DIV/0!</v>
      </c>
      <c r="O210" s="311" t="e">
        <f t="shared" si="13"/>
        <v>#DIV/0!</v>
      </c>
      <c r="P210" s="313"/>
    </row>
    <row r="211" spans="1:16" s="153" customFormat="1" x14ac:dyDescent="0.25">
      <c r="A211" s="150">
        <f>'B) D RI'!A212</f>
        <v>5742</v>
      </c>
      <c r="B211" s="151" t="str">
        <f>'B) D RI'!B212</f>
        <v>Agiez</v>
      </c>
      <c r="C211" s="309">
        <f>'B) D RI'!S212</f>
        <v>76</v>
      </c>
      <c r="D211" s="152">
        <f>'B) D RI'!AA212</f>
        <v>375</v>
      </c>
      <c r="E211" s="307">
        <f>'D) Ecrêtage'!C211</f>
        <v>10160.069605263159</v>
      </c>
      <c r="F211" s="311">
        <f>'E) PCS'!G217</f>
        <v>126146.7088746074</v>
      </c>
      <c r="G211" s="308">
        <f>'H) Péréquation directe'!I221</f>
        <v>-40327.401261210849</v>
      </c>
      <c r="H211" s="311" t="e">
        <f>+'I) Dépenses thématiques'!S211</f>
        <v>#DIV/0!</v>
      </c>
      <c r="I211" s="308">
        <f>'K) Plafonnement aide'!J211</f>
        <v>0</v>
      </c>
      <c r="J211" s="311">
        <f>'J) Plafonnement effort'!J211</f>
        <v>0</v>
      </c>
      <c r="K211" s="308">
        <f>'L) Plafonnement taux'!Q212</f>
        <v>0</v>
      </c>
      <c r="L211" s="306" t="e">
        <f t="shared" si="9"/>
        <v>#DIV/0!</v>
      </c>
      <c r="M211" s="231">
        <f>'M) Police'!N211</f>
        <v>30588.190053431284</v>
      </c>
      <c r="N211" s="231" t="e">
        <f t="shared" si="12"/>
        <v>#DIV/0!</v>
      </c>
      <c r="O211" s="311" t="e">
        <f t="shared" si="13"/>
        <v>#DIV/0!</v>
      </c>
      <c r="P211" s="313"/>
    </row>
    <row r="212" spans="1:16" s="153" customFormat="1" x14ac:dyDescent="0.25">
      <c r="A212" s="150">
        <f>'B) D RI'!A213</f>
        <v>5743</v>
      </c>
      <c r="B212" s="151" t="str">
        <f>'B) D RI'!B213</f>
        <v>Arnex-sur-Orbe</v>
      </c>
      <c r="C212" s="309">
        <f>'B) D RI'!S213</f>
        <v>71</v>
      </c>
      <c r="D212" s="152">
        <f>'B) D RI'!AA213</f>
        <v>665</v>
      </c>
      <c r="E212" s="307">
        <f>'D) Ecrêtage'!C212</f>
        <v>18533.117816901413</v>
      </c>
      <c r="F212" s="311">
        <f>'E) PCS'!G218</f>
        <v>273180.11433289503</v>
      </c>
      <c r="G212" s="308">
        <f>'H) Péréquation directe'!I222</f>
        <v>-9737.6726823786739</v>
      </c>
      <c r="H212" s="311" t="e">
        <f>+'I) Dépenses thématiques'!S212</f>
        <v>#DIV/0!</v>
      </c>
      <c r="I212" s="308">
        <f>'K) Plafonnement aide'!J212</f>
        <v>0</v>
      </c>
      <c r="J212" s="311">
        <f>'J) Plafonnement effort'!J212</f>
        <v>0</v>
      </c>
      <c r="K212" s="308">
        <f>'L) Plafonnement taux'!Q213</f>
        <v>0</v>
      </c>
      <c r="L212" s="306" t="e">
        <f t="shared" si="9"/>
        <v>#DIV/0!</v>
      </c>
      <c r="M212" s="231">
        <f>'M) Police'!N212</f>
        <v>56221.194580651871</v>
      </c>
      <c r="N212" s="231" t="e">
        <f t="shared" si="12"/>
        <v>#DIV/0!</v>
      </c>
      <c r="O212" s="311" t="e">
        <f t="shared" si="13"/>
        <v>#DIV/0!</v>
      </c>
      <c r="P212" s="313"/>
    </row>
    <row r="213" spans="1:16" s="153" customFormat="1" x14ac:dyDescent="0.25">
      <c r="A213" s="150">
        <f>'B) D RI'!A214</f>
        <v>5744</v>
      </c>
      <c r="B213" s="151" t="str">
        <f>'B) D RI'!B214</f>
        <v>Ballaigues</v>
      </c>
      <c r="C213" s="309">
        <f>'B) D RI'!S214</f>
        <v>65</v>
      </c>
      <c r="D213" s="152">
        <f>'B) D RI'!AA214</f>
        <v>1173</v>
      </c>
      <c r="E213" s="307">
        <f>'D) Ecrêtage'!C213</f>
        <v>49245.2596923077</v>
      </c>
      <c r="F213" s="311">
        <f>'E) PCS'!G219</f>
        <v>1196292.4288281002</v>
      </c>
      <c r="G213" s="308">
        <f>'H) Péréquation directe'!I223</f>
        <v>613614.5491860644</v>
      </c>
      <c r="H213" s="311" t="e">
        <f>+'I) Dépenses thématiques'!S213</f>
        <v>#DIV/0!</v>
      </c>
      <c r="I213" s="308">
        <f>'K) Plafonnement aide'!J213</f>
        <v>0</v>
      </c>
      <c r="J213" s="311">
        <f>'J) Plafonnement effort'!J213</f>
        <v>0</v>
      </c>
      <c r="K213" s="308">
        <f>'L) Plafonnement taux'!Q214</f>
        <v>0</v>
      </c>
      <c r="L213" s="306" t="e">
        <f t="shared" si="9"/>
        <v>#DIV/0!</v>
      </c>
      <c r="M213" s="231">
        <f>'M) Police'!N213</f>
        <v>150077.40786898034</v>
      </c>
      <c r="N213" s="231" t="e">
        <f t="shared" si="12"/>
        <v>#DIV/0!</v>
      </c>
      <c r="O213" s="311" t="e">
        <f t="shared" si="13"/>
        <v>#DIV/0!</v>
      </c>
      <c r="P213" s="313"/>
    </row>
    <row r="214" spans="1:16" s="153" customFormat="1" x14ac:dyDescent="0.25">
      <c r="A214" s="150">
        <f>'B) D RI'!A215</f>
        <v>5745</v>
      </c>
      <c r="B214" s="151" t="str">
        <f>'B) D RI'!B215</f>
        <v>Baulmes</v>
      </c>
      <c r="C214" s="309">
        <f>'B) D RI'!S215</f>
        <v>76.5</v>
      </c>
      <c r="D214" s="152">
        <f>'B) D RI'!AA215</f>
        <v>1126</v>
      </c>
      <c r="E214" s="307">
        <f>'D) Ecrêtage'!C214</f>
        <v>28471.572156862745</v>
      </c>
      <c r="F214" s="311">
        <f>'E) PCS'!G220</f>
        <v>517207.99867547443</v>
      </c>
      <c r="G214" s="308">
        <f>'H) Péréquation directe'!I224</f>
        <v>-242619.27069992386</v>
      </c>
      <c r="H214" s="311" t="e">
        <f>+'I) Dépenses thématiques'!S214</f>
        <v>#DIV/0!</v>
      </c>
      <c r="I214" s="308">
        <f>'K) Plafonnement aide'!J214</f>
        <v>0</v>
      </c>
      <c r="J214" s="311">
        <f>'J) Plafonnement effort'!J214</f>
        <v>0</v>
      </c>
      <c r="K214" s="308">
        <f>'L) Plafonnement taux'!Q215</f>
        <v>0</v>
      </c>
      <c r="L214" s="306" t="e">
        <f t="shared" si="9"/>
        <v>#DIV/0!</v>
      </c>
      <c r="M214" s="231">
        <f>'M) Police'!N214</f>
        <v>86355.404008807585</v>
      </c>
      <c r="N214" s="231" t="e">
        <f t="shared" si="12"/>
        <v>#DIV/0!</v>
      </c>
      <c r="O214" s="311" t="e">
        <f t="shared" si="13"/>
        <v>#DIV/0!</v>
      </c>
      <c r="P214" s="313"/>
    </row>
    <row r="215" spans="1:16" s="153" customFormat="1" x14ac:dyDescent="0.25">
      <c r="A215" s="150">
        <f>'B) D RI'!A216</f>
        <v>5746</v>
      </c>
      <c r="B215" s="151" t="str">
        <f>'B) D RI'!B216</f>
        <v>Bavois</v>
      </c>
      <c r="C215" s="309">
        <f>'B) D RI'!S216</f>
        <v>73</v>
      </c>
      <c r="D215" s="152">
        <f>'B) D RI'!AA216</f>
        <v>978</v>
      </c>
      <c r="E215" s="307">
        <f>'D) Ecrêtage'!C215</f>
        <v>27408.124908675796</v>
      </c>
      <c r="F215" s="311">
        <f>'E) PCS'!G221</f>
        <v>504132.33839077433</v>
      </c>
      <c r="G215" s="308">
        <f>'H) Péréquation directe'!I225</f>
        <v>-31370.233564961934</v>
      </c>
      <c r="H215" s="311" t="e">
        <f>+'I) Dépenses thématiques'!S215</f>
        <v>#DIV/0!</v>
      </c>
      <c r="I215" s="308">
        <f>'K) Plafonnement aide'!J215</f>
        <v>0</v>
      </c>
      <c r="J215" s="311">
        <f>'J) Plafonnement effort'!J215</f>
        <v>0</v>
      </c>
      <c r="K215" s="308">
        <f>'L) Plafonnement taux'!Q216</f>
        <v>0</v>
      </c>
      <c r="L215" s="306" t="e">
        <f t="shared" si="9"/>
        <v>#DIV/0!</v>
      </c>
      <c r="M215" s="231">
        <f>'M) Police'!N215</f>
        <v>81219.768449526891</v>
      </c>
      <c r="N215" s="231" t="e">
        <f t="shared" si="12"/>
        <v>#DIV/0!</v>
      </c>
      <c r="O215" s="311" t="e">
        <f t="shared" si="13"/>
        <v>#DIV/0!</v>
      </c>
      <c r="P215" s="313"/>
    </row>
    <row r="216" spans="1:16" s="153" customFormat="1" x14ac:dyDescent="0.25">
      <c r="A216" s="150">
        <f>'B) D RI'!A217</f>
        <v>5747</v>
      </c>
      <c r="B216" s="151" t="str">
        <f>'B) D RI'!B217</f>
        <v>Bofflens</v>
      </c>
      <c r="C216" s="309">
        <f>'B) D RI'!S217</f>
        <v>69</v>
      </c>
      <c r="D216" s="152">
        <f>'B) D RI'!AA217</f>
        <v>206</v>
      </c>
      <c r="E216" s="307">
        <f>'D) Ecrêtage'!C216</f>
        <v>5808.1759420289845</v>
      </c>
      <c r="F216" s="311">
        <f>'E) PCS'!G222</f>
        <v>71001.824463655197</v>
      </c>
      <c r="G216" s="308">
        <f>'H) Péréquation directe'!I226</f>
        <v>4261.5161662882456</v>
      </c>
      <c r="H216" s="311" t="e">
        <f>+'I) Dépenses thématiques'!S216</f>
        <v>#DIV/0!</v>
      </c>
      <c r="I216" s="308">
        <f>'K) Plafonnement aide'!J216</f>
        <v>0</v>
      </c>
      <c r="J216" s="311">
        <f>'J) Plafonnement effort'!J216</f>
        <v>0</v>
      </c>
      <c r="K216" s="308">
        <f>'L) Plafonnement taux'!Q217</f>
        <v>0</v>
      </c>
      <c r="L216" s="306" t="e">
        <f t="shared" si="9"/>
        <v>#DIV/0!</v>
      </c>
      <c r="M216" s="231">
        <f>'M) Police'!N216</f>
        <v>17451.108540688514</v>
      </c>
      <c r="N216" s="231" t="e">
        <f t="shared" si="12"/>
        <v>#DIV/0!</v>
      </c>
      <c r="O216" s="311" t="e">
        <f t="shared" si="13"/>
        <v>#DIV/0!</v>
      </c>
      <c r="P216" s="313"/>
    </row>
    <row r="217" spans="1:16" s="153" customFormat="1" x14ac:dyDescent="0.25">
      <c r="A217" s="150">
        <f>'B) D RI'!A218</f>
        <v>5748</v>
      </c>
      <c r="B217" s="151" t="str">
        <f>'B) D RI'!B218</f>
        <v>Bretonnières</v>
      </c>
      <c r="C217" s="309">
        <f>'B) D RI'!S218</f>
        <v>70.5</v>
      </c>
      <c r="D217" s="152">
        <f>'B) D RI'!AA218</f>
        <v>266</v>
      </c>
      <c r="E217" s="307">
        <f>'D) Ecrêtage'!C217</f>
        <v>6643.6153664302601</v>
      </c>
      <c r="F217" s="311">
        <f>'E) PCS'!G223</f>
        <v>97894.998598810882</v>
      </c>
      <c r="G217" s="308">
        <f>'H) Péréquation directe'!I227</f>
        <v>-32117.113426188298</v>
      </c>
      <c r="H217" s="311" t="e">
        <f>+'I) Dépenses thématiques'!S217</f>
        <v>#DIV/0!</v>
      </c>
      <c r="I217" s="308">
        <f>'K) Plafonnement aide'!J217</f>
        <v>0</v>
      </c>
      <c r="J217" s="311">
        <f>'J) Plafonnement effort'!J217</f>
        <v>0</v>
      </c>
      <c r="K217" s="308">
        <f>'L) Plafonnement taux'!Q218</f>
        <v>0</v>
      </c>
      <c r="L217" s="306" t="e">
        <f t="shared" si="9"/>
        <v>#DIV/0!</v>
      </c>
      <c r="M217" s="231">
        <f>'M) Police'!N217</f>
        <v>19930.466813003808</v>
      </c>
      <c r="N217" s="231" t="e">
        <f t="shared" si="12"/>
        <v>#DIV/0!</v>
      </c>
      <c r="O217" s="311" t="e">
        <f t="shared" si="13"/>
        <v>#DIV/0!</v>
      </c>
      <c r="P217" s="313"/>
    </row>
    <row r="218" spans="1:16" s="153" customFormat="1" x14ac:dyDescent="0.25">
      <c r="A218" s="150">
        <f>'B) D RI'!A219</f>
        <v>5749</v>
      </c>
      <c r="B218" s="151" t="str">
        <f>'B) D RI'!B219</f>
        <v>Chavornay</v>
      </c>
      <c r="C218" s="309">
        <f>'B) D RI'!S219</f>
        <v>70.5</v>
      </c>
      <c r="D218" s="152">
        <f>'B) D RI'!AA219</f>
        <v>5366</v>
      </c>
      <c r="E218" s="307">
        <f>'D) Ecrêtage'!C218</f>
        <v>153338.61687943264</v>
      </c>
      <c r="F218" s="311">
        <f>'E) PCS'!G224</f>
        <v>2345718.0188899506</v>
      </c>
      <c r="G218" s="308">
        <f>'H) Péréquation directe'!I228</f>
        <v>-1271810.7071343306</v>
      </c>
      <c r="H218" s="311" t="e">
        <f>+'I) Dépenses thématiques'!S218</f>
        <v>#DIV/0!</v>
      </c>
      <c r="I218" s="308">
        <f>'K) Plafonnement aide'!J218</f>
        <v>0</v>
      </c>
      <c r="J218" s="311">
        <f>'J) Plafonnement effort'!J218</f>
        <v>0</v>
      </c>
      <c r="K218" s="308">
        <f>'L) Plafonnement taux'!Q219</f>
        <v>0</v>
      </c>
      <c r="L218" s="306" t="e">
        <f t="shared" ref="L218" si="14">F218+G218+H218+I218+J218+K218</f>
        <v>#DIV/0!</v>
      </c>
      <c r="M218" s="231">
        <f>'M) Police'!N218</f>
        <v>458635.45895875467</v>
      </c>
      <c r="N218" s="231" t="e">
        <f t="shared" ref="N218" si="15">L218+M218</f>
        <v>#DIV/0!</v>
      </c>
      <c r="O218" s="311" t="e">
        <f t="shared" si="13"/>
        <v>#DIV/0!</v>
      </c>
      <c r="P218" s="313"/>
    </row>
    <row r="219" spans="1:16" s="153" customFormat="1" x14ac:dyDescent="0.25">
      <c r="A219" s="150">
        <f>'B) D RI'!A220</f>
        <v>5750</v>
      </c>
      <c r="B219" s="151" t="str">
        <f>'B) D RI'!B220</f>
        <v>Les Clées</v>
      </c>
      <c r="C219" s="309">
        <f>'B) D RI'!S220</f>
        <v>80</v>
      </c>
      <c r="D219" s="152">
        <f>'B) D RI'!AA220</f>
        <v>182</v>
      </c>
      <c r="E219" s="307">
        <f>'D) Ecrêtage'!C219</f>
        <v>4819.774166666667</v>
      </c>
      <c r="F219" s="311">
        <f>'E) PCS'!G225</f>
        <v>81326.093891614641</v>
      </c>
      <c r="G219" s="308">
        <f>'H) Péréquation directe'!I229</f>
        <v>-34194.107665718126</v>
      </c>
      <c r="H219" s="311" t="e">
        <f>+'I) Dépenses thématiques'!S219</f>
        <v>#DIV/0!</v>
      </c>
      <c r="I219" s="308">
        <f>'K) Plafonnement aide'!J219</f>
        <v>0</v>
      </c>
      <c r="J219" s="311">
        <f>'J) Plafonnement effort'!J219</f>
        <v>0</v>
      </c>
      <c r="K219" s="308">
        <f>'L) Plafonnement taux'!Q220</f>
        <v>0</v>
      </c>
      <c r="L219" s="306" t="e">
        <f t="shared" si="9"/>
        <v>#DIV/0!</v>
      </c>
      <c r="M219" s="231">
        <f>'M) Police'!N219</f>
        <v>14677.803383241911</v>
      </c>
      <c r="N219" s="231" t="e">
        <f t="shared" si="12"/>
        <v>#DIV/0!</v>
      </c>
      <c r="O219" s="311" t="e">
        <f t="shared" si="13"/>
        <v>#DIV/0!</v>
      </c>
      <c r="P219" s="313"/>
    </row>
    <row r="220" spans="1:16" s="153" customFormat="1" x14ac:dyDescent="0.25">
      <c r="A220" s="150">
        <f>'B) D RI'!A221</f>
        <v>5752</v>
      </c>
      <c r="B220" s="151" t="str">
        <f>'B) D RI'!B221</f>
        <v>Croy</v>
      </c>
      <c r="C220" s="309">
        <f>'B) D RI'!S221</f>
        <v>74</v>
      </c>
      <c r="D220" s="152">
        <f>'B) D RI'!AA221</f>
        <v>390</v>
      </c>
      <c r="E220" s="307">
        <f>'D) Ecrêtage'!C220</f>
        <v>9670.9952316602321</v>
      </c>
      <c r="F220" s="311">
        <f>'E) PCS'!G226</f>
        <v>137119.42040047812</v>
      </c>
      <c r="G220" s="308">
        <f>'H) Péréquation directe'!I230</f>
        <v>-68410.64282373726</v>
      </c>
      <c r="H220" s="311" t="e">
        <f>+'I) Dépenses thématiques'!S220</f>
        <v>#DIV/0!</v>
      </c>
      <c r="I220" s="308">
        <f>'K) Plafonnement aide'!J220</f>
        <v>0</v>
      </c>
      <c r="J220" s="311">
        <f>'J) Plafonnement effort'!J220</f>
        <v>0</v>
      </c>
      <c r="K220" s="308">
        <f>'L) Plafonnement taux'!Q221</f>
        <v>0</v>
      </c>
      <c r="L220" s="306" t="e">
        <f t="shared" ref="L220:L264" si="16">F220+G220+H220+I220+J220+K220</f>
        <v>#DIV/0!</v>
      </c>
      <c r="M220" s="231">
        <f>'M) Police'!N220</f>
        <v>28943.348116447938</v>
      </c>
      <c r="N220" s="231" t="e">
        <f t="shared" si="12"/>
        <v>#DIV/0!</v>
      </c>
      <c r="O220" s="311" t="e">
        <f t="shared" si="13"/>
        <v>#DIV/0!</v>
      </c>
      <c r="P220" s="313"/>
    </row>
    <row r="221" spans="1:16" s="153" customFormat="1" x14ac:dyDescent="0.25">
      <c r="A221" s="150">
        <f>'B) D RI'!A222</f>
        <v>5754</v>
      </c>
      <c r="B221" s="151" t="str">
        <f>'B) D RI'!B222</f>
        <v>Juriens</v>
      </c>
      <c r="C221" s="309">
        <f>'B) D RI'!S222</f>
        <v>79</v>
      </c>
      <c r="D221" s="152">
        <f>'B) D RI'!AA222</f>
        <v>348</v>
      </c>
      <c r="E221" s="307">
        <f>'D) Ecrêtage'!C221</f>
        <v>9073.6935443037964</v>
      </c>
      <c r="F221" s="311">
        <f>'E) PCS'!G227</f>
        <v>175738.46985726192</v>
      </c>
      <c r="G221" s="308">
        <f>'H) Péréquation directe'!I231</f>
        <v>-66748.793642039294</v>
      </c>
      <c r="H221" s="311" t="e">
        <f>+'I) Dépenses thématiques'!S221</f>
        <v>#DIV/0!</v>
      </c>
      <c r="I221" s="308">
        <f>'K) Plafonnement aide'!J221</f>
        <v>0</v>
      </c>
      <c r="J221" s="311">
        <f>'J) Plafonnement effort'!J221</f>
        <v>0</v>
      </c>
      <c r="K221" s="308">
        <f>'L) Plafonnement taux'!Q222</f>
        <v>0</v>
      </c>
      <c r="L221" s="306" t="e">
        <f t="shared" si="16"/>
        <v>#DIV/0!</v>
      </c>
      <c r="M221" s="231">
        <f>'M) Police'!N221</f>
        <v>27580.030658493364</v>
      </c>
      <c r="N221" s="231" t="e">
        <f t="shared" si="12"/>
        <v>#DIV/0!</v>
      </c>
      <c r="O221" s="311" t="e">
        <f t="shared" si="13"/>
        <v>#DIV/0!</v>
      </c>
      <c r="P221" s="313"/>
    </row>
    <row r="222" spans="1:16" s="153" customFormat="1" x14ac:dyDescent="0.25">
      <c r="A222" s="150">
        <f>'B) D RI'!A223</f>
        <v>5755</v>
      </c>
      <c r="B222" s="151" t="str">
        <f>'B) D RI'!B223</f>
        <v>Lignerolle</v>
      </c>
      <c r="C222" s="309">
        <f>'B) D RI'!S223</f>
        <v>78.5</v>
      </c>
      <c r="D222" s="152">
        <f>'B) D RI'!AA223</f>
        <v>409</v>
      </c>
      <c r="E222" s="307">
        <f>'D) Ecrêtage'!C222</f>
        <v>10746.718034576888</v>
      </c>
      <c r="F222" s="311">
        <f>'E) PCS'!G228</f>
        <v>167694.95565630952</v>
      </c>
      <c r="G222" s="308">
        <f>'H) Péréquation directe'!I232</f>
        <v>-71986.531882573734</v>
      </c>
      <c r="H222" s="311" t="e">
        <f>+'I) Dépenses thématiques'!S222</f>
        <v>#DIV/0!</v>
      </c>
      <c r="I222" s="308">
        <f>'K) Plafonnement aide'!J222</f>
        <v>0</v>
      </c>
      <c r="J222" s="311">
        <f>'J) Plafonnement effort'!J222</f>
        <v>0</v>
      </c>
      <c r="K222" s="308">
        <f>'L) Plafonnement taux'!Q223</f>
        <v>0</v>
      </c>
      <c r="L222" s="306" t="e">
        <f t="shared" si="16"/>
        <v>#DIV/0!</v>
      </c>
      <c r="M222" s="231">
        <f>'M) Police'!N222</f>
        <v>32286.916299410528</v>
      </c>
      <c r="N222" s="231" t="e">
        <f t="shared" si="12"/>
        <v>#DIV/0!</v>
      </c>
      <c r="O222" s="311" t="e">
        <f t="shared" si="13"/>
        <v>#DIV/0!</v>
      </c>
      <c r="P222" s="313"/>
    </row>
    <row r="223" spans="1:16" s="153" customFormat="1" x14ac:dyDescent="0.25">
      <c r="A223" s="150">
        <f>'B) D RI'!A224</f>
        <v>5756</v>
      </c>
      <c r="B223" s="151" t="str">
        <f>'B) D RI'!B224</f>
        <v>Montcherand</v>
      </c>
      <c r="C223" s="309">
        <f>'B) D RI'!S224</f>
        <v>72</v>
      </c>
      <c r="D223" s="152">
        <f>'B) D RI'!AA224</f>
        <v>502</v>
      </c>
      <c r="E223" s="307">
        <f>'D) Ecrêtage'!C223</f>
        <v>17739.52444444444</v>
      </c>
      <c r="F223" s="311">
        <f>'E) PCS'!G229</f>
        <v>246273.07319570548</v>
      </c>
      <c r="G223" s="308">
        <f>'H) Péréquation directe'!I233</f>
        <v>134964.62197073214</v>
      </c>
      <c r="H223" s="311" t="e">
        <f>+'I) Dépenses thématiques'!S223</f>
        <v>#DIV/0!</v>
      </c>
      <c r="I223" s="308">
        <f>'K) Plafonnement aide'!J223</f>
        <v>0</v>
      </c>
      <c r="J223" s="311">
        <f>'J) Plafonnement effort'!J223</f>
        <v>0</v>
      </c>
      <c r="K223" s="308">
        <f>'L) Plafonnement taux'!Q224</f>
        <v>0</v>
      </c>
      <c r="L223" s="306" t="e">
        <f t="shared" si="16"/>
        <v>#DIV/0!</v>
      </c>
      <c r="M223" s="231">
        <f>'M) Police'!N223</f>
        <v>20699.575351284569</v>
      </c>
      <c r="N223" s="231" t="e">
        <f t="shared" si="12"/>
        <v>#DIV/0!</v>
      </c>
      <c r="O223" s="311" t="e">
        <f t="shared" si="13"/>
        <v>#DIV/0!</v>
      </c>
      <c r="P223" s="313"/>
    </row>
    <row r="224" spans="1:16" s="153" customFormat="1" x14ac:dyDescent="0.25">
      <c r="A224" s="150">
        <f>'B) D RI'!A225</f>
        <v>5757</v>
      </c>
      <c r="B224" s="151" t="str">
        <f>'B) D RI'!B225</f>
        <v>Orbe</v>
      </c>
      <c r="C224" s="309">
        <f>'B) D RI'!S225</f>
        <v>75.5</v>
      </c>
      <c r="D224" s="152">
        <f>'B) D RI'!AA225</f>
        <v>7570</v>
      </c>
      <c r="E224" s="307">
        <f>'D) Ecrêtage'!C224</f>
        <v>216184.82317880794</v>
      </c>
      <c r="F224" s="311">
        <f>'E) PCS'!G230</f>
        <v>4301693.2481758511</v>
      </c>
      <c r="G224" s="308">
        <f>'H) Péréquation directe'!I234</f>
        <v>-2719886.9623534442</v>
      </c>
      <c r="H224" s="311" t="e">
        <f>+'I) Dépenses thématiques'!S224</f>
        <v>#DIV/0!</v>
      </c>
      <c r="I224" s="308">
        <f>'K) Plafonnement aide'!J224</f>
        <v>0</v>
      </c>
      <c r="J224" s="311">
        <f>'J) Plafonnement effort'!J224</f>
        <v>0</v>
      </c>
      <c r="K224" s="308">
        <f>'L) Plafonnement taux'!Q225</f>
        <v>0</v>
      </c>
      <c r="L224" s="306" t="e">
        <f t="shared" si="16"/>
        <v>#DIV/0!</v>
      </c>
      <c r="M224" s="231">
        <f>'M) Police'!N224</f>
        <v>252257.83538945427</v>
      </c>
      <c r="N224" s="231" t="e">
        <f t="shared" si="12"/>
        <v>#DIV/0!</v>
      </c>
      <c r="O224" s="311" t="e">
        <f t="shared" si="13"/>
        <v>#DIV/0!</v>
      </c>
      <c r="P224" s="313"/>
    </row>
    <row r="225" spans="1:16" s="153" customFormat="1" x14ac:dyDescent="0.25">
      <c r="A225" s="150">
        <f>'B) D RI'!A226</f>
        <v>5758</v>
      </c>
      <c r="B225" s="151" t="str">
        <f>'B) D RI'!B226</f>
        <v>La Praz</v>
      </c>
      <c r="C225" s="309">
        <f>'B) D RI'!S226</f>
        <v>83</v>
      </c>
      <c r="D225" s="152">
        <f>'B) D RI'!AA226</f>
        <v>182</v>
      </c>
      <c r="E225" s="307">
        <f>'D) Ecrêtage'!C225</f>
        <v>4771.8661445783146</v>
      </c>
      <c r="F225" s="311">
        <f>'E) PCS'!G231</f>
        <v>80071.660251044988</v>
      </c>
      <c r="G225" s="308">
        <f>'H) Péréquation directe'!I235</f>
        <v>-44220.31804209933</v>
      </c>
      <c r="H225" s="311" t="e">
        <f>+'I) Dépenses thématiques'!S225</f>
        <v>#DIV/0!</v>
      </c>
      <c r="I225" s="308">
        <f>'K) Plafonnement aide'!J225</f>
        <v>0</v>
      </c>
      <c r="J225" s="311">
        <f>'J) Plafonnement effort'!J225</f>
        <v>0</v>
      </c>
      <c r="K225" s="308">
        <f>'L) Plafonnement taux'!Q226</f>
        <v>0</v>
      </c>
      <c r="L225" s="306" t="e">
        <f t="shared" si="16"/>
        <v>#DIV/0!</v>
      </c>
      <c r="M225" s="231">
        <f>'M) Police'!N225</f>
        <v>14403.323054017081</v>
      </c>
      <c r="N225" s="231" t="e">
        <f t="shared" si="12"/>
        <v>#DIV/0!</v>
      </c>
      <c r="O225" s="311" t="e">
        <f t="shared" si="13"/>
        <v>#DIV/0!</v>
      </c>
      <c r="P225" s="313"/>
    </row>
    <row r="226" spans="1:16" s="153" customFormat="1" x14ac:dyDescent="0.25">
      <c r="A226" s="150">
        <f>'B) D RI'!A227</f>
        <v>5759</v>
      </c>
      <c r="B226" s="151" t="str">
        <f>'B) D RI'!B227</f>
        <v>Premier</v>
      </c>
      <c r="C226" s="309">
        <f>'B) D RI'!S227</f>
        <v>79.5</v>
      </c>
      <c r="D226" s="152">
        <f>'B) D RI'!AA227</f>
        <v>232</v>
      </c>
      <c r="E226" s="307">
        <f>'D) Ecrêtage'!C226</f>
        <v>5900.0572327044019</v>
      </c>
      <c r="F226" s="311">
        <f>'E) PCS'!G232</f>
        <v>73264.578970799776</v>
      </c>
      <c r="G226" s="308">
        <f>'H) Péréquation directe'!I236</f>
        <v>-52712.082876387372</v>
      </c>
      <c r="H226" s="311" t="e">
        <f>+'I) Dépenses thématiques'!S226</f>
        <v>#DIV/0!</v>
      </c>
      <c r="I226" s="308">
        <f>'K) Plafonnement aide'!J226</f>
        <v>0</v>
      </c>
      <c r="J226" s="311">
        <f>'J) Plafonnement effort'!J226</f>
        <v>0</v>
      </c>
      <c r="K226" s="308">
        <f>'L) Plafonnement taux'!Q227</f>
        <v>0</v>
      </c>
      <c r="L226" s="306" t="e">
        <f t="shared" si="16"/>
        <v>#DIV/0!</v>
      </c>
      <c r="M226" s="231">
        <f>'M) Police'!N226</f>
        <v>17872.423741643539</v>
      </c>
      <c r="N226" s="231" t="e">
        <f t="shared" si="12"/>
        <v>#DIV/0!</v>
      </c>
      <c r="O226" s="311" t="e">
        <f t="shared" si="13"/>
        <v>#DIV/0!</v>
      </c>
      <c r="P226" s="313"/>
    </row>
    <row r="227" spans="1:16" s="153" customFormat="1" x14ac:dyDescent="0.25">
      <c r="A227" s="150">
        <f>'B) D RI'!A228</f>
        <v>5760</v>
      </c>
      <c r="B227" s="151" t="str">
        <f>'B) D RI'!B228</f>
        <v>Rances</v>
      </c>
      <c r="C227" s="309">
        <f>'B) D RI'!S228</f>
        <v>76.5</v>
      </c>
      <c r="D227" s="152">
        <f>'B) D RI'!AA228</f>
        <v>512</v>
      </c>
      <c r="E227" s="307">
        <f>'D) Ecrêtage'!C227</f>
        <v>14481.892461873636</v>
      </c>
      <c r="F227" s="311">
        <f>'E) PCS'!G233</f>
        <v>232895.41981768075</v>
      </c>
      <c r="G227" s="308">
        <f>'H) Péréquation directe'!I237</f>
        <v>-32644.147445851995</v>
      </c>
      <c r="H227" s="311" t="e">
        <f>+'I) Dépenses thématiques'!S227</f>
        <v>#DIV/0!</v>
      </c>
      <c r="I227" s="308">
        <f>'K) Plafonnement aide'!J227</f>
        <v>0</v>
      </c>
      <c r="J227" s="311">
        <f>'J) Plafonnement effort'!J227</f>
        <v>0</v>
      </c>
      <c r="K227" s="308">
        <f>'L) Plafonnement taux'!Q228</f>
        <v>0</v>
      </c>
      <c r="L227" s="306" t="e">
        <f t="shared" si="16"/>
        <v>#DIV/0!</v>
      </c>
      <c r="M227" s="231">
        <f>'M) Police'!N227</f>
        <v>43715.870377861531</v>
      </c>
      <c r="N227" s="231" t="e">
        <f t="shared" si="12"/>
        <v>#DIV/0!</v>
      </c>
      <c r="O227" s="311" t="e">
        <f t="shared" si="13"/>
        <v>#DIV/0!</v>
      </c>
      <c r="P227" s="313"/>
    </row>
    <row r="228" spans="1:16" s="153" customFormat="1" x14ac:dyDescent="0.25">
      <c r="A228" s="150">
        <f>'B) D RI'!A229</f>
        <v>5761</v>
      </c>
      <c r="B228" s="151" t="str">
        <f>'B) D RI'!B229</f>
        <v>Romainmôtier-Envy</v>
      </c>
      <c r="C228" s="309">
        <f>'B) D RI'!S229</f>
        <v>81</v>
      </c>
      <c r="D228" s="152">
        <f>'B) D RI'!AA229</f>
        <v>551</v>
      </c>
      <c r="E228" s="307">
        <f>'D) Ecrêtage'!C228</f>
        <v>12913.984792368126</v>
      </c>
      <c r="F228" s="311">
        <f>'E) PCS'!G234</f>
        <v>252837.49379965942</v>
      </c>
      <c r="G228" s="308">
        <f>'H) Péréquation directe'!I238</f>
        <v>-186862.97123788437</v>
      </c>
      <c r="H228" s="311" t="e">
        <f>+'I) Dépenses thématiques'!S228</f>
        <v>#DIV/0!</v>
      </c>
      <c r="I228" s="308">
        <f>'K) Plafonnement aide'!J228</f>
        <v>0</v>
      </c>
      <c r="J228" s="311">
        <f>'J) Plafonnement effort'!J228</f>
        <v>0</v>
      </c>
      <c r="K228" s="308">
        <f>'L) Plafonnement taux'!Q229</f>
        <v>0</v>
      </c>
      <c r="L228" s="306" t="e">
        <f t="shared" si="16"/>
        <v>#DIV/0!</v>
      </c>
      <c r="M228" s="231">
        <f>'M) Police'!N228</f>
        <v>38640.791263721083</v>
      </c>
      <c r="N228" s="231" t="e">
        <f t="shared" si="12"/>
        <v>#DIV/0!</v>
      </c>
      <c r="O228" s="311" t="e">
        <f t="shared" si="13"/>
        <v>#DIV/0!</v>
      </c>
      <c r="P228" s="313"/>
    </row>
    <row r="229" spans="1:16" s="153" customFormat="1" x14ac:dyDescent="0.25">
      <c r="A229" s="150">
        <f>'B) D RI'!A230</f>
        <v>5762</v>
      </c>
      <c r="B229" s="151" t="str">
        <f>'B) D RI'!B230</f>
        <v>Sergey</v>
      </c>
      <c r="C229" s="309">
        <f>'B) D RI'!S230</f>
        <v>78</v>
      </c>
      <c r="D229" s="152">
        <f>'B) D RI'!AA230</f>
        <v>141</v>
      </c>
      <c r="E229" s="307">
        <f>'D) Ecrêtage'!C229</f>
        <v>3849.6283333333336</v>
      </c>
      <c r="F229" s="311">
        <f>'E) PCS'!G235</f>
        <v>50589.434166219406</v>
      </c>
      <c r="G229" s="308">
        <f>'H) Péréquation directe'!I239</f>
        <v>-17596.102615831522</v>
      </c>
      <c r="H229" s="311" t="e">
        <f>+'I) Dépenses thématiques'!S229</f>
        <v>#DIV/0!</v>
      </c>
      <c r="I229" s="308">
        <f>'K) Plafonnement aide'!J229</f>
        <v>0</v>
      </c>
      <c r="J229" s="311">
        <f>'J) Plafonnement effort'!J229</f>
        <v>0</v>
      </c>
      <c r="K229" s="308">
        <f>'L) Plafonnement taux'!Q230</f>
        <v>0</v>
      </c>
      <c r="L229" s="306" t="e">
        <f t="shared" si="16"/>
        <v>#DIV/0!</v>
      </c>
      <c r="M229" s="231">
        <f>'M) Police'!N229</f>
        <v>11639.633638876228</v>
      </c>
      <c r="N229" s="231" t="e">
        <f t="shared" si="12"/>
        <v>#DIV/0!</v>
      </c>
      <c r="O229" s="311" t="e">
        <f t="shared" si="13"/>
        <v>#DIV/0!</v>
      </c>
      <c r="P229" s="313"/>
    </row>
    <row r="230" spans="1:16" s="153" customFormat="1" x14ac:dyDescent="0.25">
      <c r="A230" s="150">
        <f>'B) D RI'!A231</f>
        <v>5763</v>
      </c>
      <c r="B230" s="151" t="str">
        <f>'B) D RI'!B231</f>
        <v>Valeyres-sous-Rances</v>
      </c>
      <c r="C230" s="309">
        <f>'B) D RI'!S231</f>
        <v>68</v>
      </c>
      <c r="D230" s="152">
        <f>'B) D RI'!AA231</f>
        <v>614</v>
      </c>
      <c r="E230" s="307">
        <f>'D) Ecrêtage'!C230</f>
        <v>22663.97352941176</v>
      </c>
      <c r="F230" s="311">
        <f>'E) PCS'!G236</f>
        <v>299854.05360280978</v>
      </c>
      <c r="G230" s="308">
        <f>'H) Péréquation directe'!I240</f>
        <v>219113.20343438981</v>
      </c>
      <c r="H230" s="311" t="e">
        <f>+'I) Dépenses thématiques'!S230</f>
        <v>#DIV/0!</v>
      </c>
      <c r="I230" s="308">
        <f>'K) Plafonnement aide'!J230</f>
        <v>0</v>
      </c>
      <c r="J230" s="311">
        <f>'J) Plafonnement effort'!J230</f>
        <v>0</v>
      </c>
      <c r="K230" s="308">
        <f>'L) Plafonnement taux'!Q231</f>
        <v>0</v>
      </c>
      <c r="L230" s="306" t="e">
        <f t="shared" si="16"/>
        <v>#DIV/0!</v>
      </c>
      <c r="M230" s="231">
        <f>'M) Police'!N230</f>
        <v>68886.537703597234</v>
      </c>
      <c r="N230" s="231" t="e">
        <f t="shared" si="12"/>
        <v>#DIV/0!</v>
      </c>
      <c r="O230" s="311" t="e">
        <f t="shared" si="13"/>
        <v>#DIV/0!</v>
      </c>
      <c r="P230" s="313"/>
    </row>
    <row r="231" spans="1:16" s="153" customFormat="1" x14ac:dyDescent="0.25">
      <c r="A231" s="150">
        <f>'B) D RI'!A232</f>
        <v>5764</v>
      </c>
      <c r="B231" s="151" t="str">
        <f>'B) D RI'!B232</f>
        <v>Vallorbe</v>
      </c>
      <c r="C231" s="309">
        <f>'B) D RI'!S232</f>
        <v>71.5</v>
      </c>
      <c r="D231" s="152">
        <f>'B) D RI'!AA232</f>
        <v>3924</v>
      </c>
      <c r="E231" s="307">
        <f>'D) Ecrêtage'!C231</f>
        <v>83682.382797202779</v>
      </c>
      <c r="F231" s="311">
        <f>'E) PCS'!G237</f>
        <v>1911856.763392475</v>
      </c>
      <c r="G231" s="308">
        <f>'H) Péréquation directe'!I241</f>
        <v>-1883051.7080960933</v>
      </c>
      <c r="H231" s="311" t="e">
        <f>+'I) Dépenses thématiques'!S231</f>
        <v>#DIV/0!</v>
      </c>
      <c r="I231" s="308">
        <f>'K) Plafonnement aide'!J231</f>
        <v>0</v>
      </c>
      <c r="J231" s="311">
        <f>'J) Plafonnement effort'!J231</f>
        <v>0</v>
      </c>
      <c r="K231" s="308">
        <f>'L) Plafonnement taux'!Q232</f>
        <v>0</v>
      </c>
      <c r="L231" s="306" t="e">
        <f t="shared" si="16"/>
        <v>#DIV/0!</v>
      </c>
      <c r="M231" s="231">
        <f>'M) Police'!N231</f>
        <v>250743.67358007887</v>
      </c>
      <c r="N231" s="231" t="e">
        <f t="shared" si="12"/>
        <v>#DIV/0!</v>
      </c>
      <c r="O231" s="311" t="e">
        <f t="shared" si="13"/>
        <v>#DIV/0!</v>
      </c>
      <c r="P231" s="313"/>
    </row>
    <row r="232" spans="1:16" s="153" customFormat="1" x14ac:dyDescent="0.25">
      <c r="A232" s="150">
        <f>'B) D RI'!A233</f>
        <v>5765</v>
      </c>
      <c r="B232" s="151" t="str">
        <f>'B) D RI'!B233</f>
        <v>Vaulion</v>
      </c>
      <c r="C232" s="309">
        <f>'B) D RI'!S233</f>
        <v>81</v>
      </c>
      <c r="D232" s="152">
        <f>'B) D RI'!AA233</f>
        <v>492</v>
      </c>
      <c r="E232" s="307">
        <f>'D) Ecrêtage'!C232</f>
        <v>10279.479012345679</v>
      </c>
      <c r="F232" s="311">
        <f>'E) PCS'!G238</f>
        <v>175256.09297187574</v>
      </c>
      <c r="G232" s="308">
        <f>'H) Péréquation directe'!I242</f>
        <v>-223226.83412765976</v>
      </c>
      <c r="H232" s="311" t="e">
        <f>+'I) Dépenses thématiques'!S232</f>
        <v>#DIV/0!</v>
      </c>
      <c r="I232" s="308">
        <f>'K) Plafonnement aide'!J232</f>
        <v>0</v>
      </c>
      <c r="J232" s="311">
        <f>'J) Plafonnement effort'!J232</f>
        <v>0</v>
      </c>
      <c r="K232" s="308">
        <f>'L) Plafonnement taux'!Q233</f>
        <v>0</v>
      </c>
      <c r="L232" s="306" t="e">
        <f t="shared" si="16"/>
        <v>#DIV/0!</v>
      </c>
      <c r="M232" s="231">
        <f>'M) Police'!N232</f>
        <v>30943.127561710102</v>
      </c>
      <c r="N232" s="231" t="e">
        <f t="shared" si="12"/>
        <v>#DIV/0!</v>
      </c>
      <c r="O232" s="311" t="e">
        <f t="shared" si="13"/>
        <v>#DIV/0!</v>
      </c>
      <c r="P232" s="313"/>
    </row>
    <row r="233" spans="1:16" s="153" customFormat="1" x14ac:dyDescent="0.25">
      <c r="A233" s="150">
        <f>'B) D RI'!A234</f>
        <v>5766</v>
      </c>
      <c r="B233" s="151" t="str">
        <f>'B) D RI'!B234</f>
        <v>Vuiteboeuf</v>
      </c>
      <c r="C233" s="309">
        <f>'B) D RI'!S234</f>
        <v>75</v>
      </c>
      <c r="D233" s="152">
        <f>'B) D RI'!AA234</f>
        <v>591</v>
      </c>
      <c r="E233" s="307">
        <f>'D) Ecrêtage'!C233</f>
        <v>15554.101904761903</v>
      </c>
      <c r="F233" s="311">
        <f>'E) PCS'!G239</f>
        <v>241553.67549198592</v>
      </c>
      <c r="G233" s="308">
        <f>'H) Péréquation directe'!I243</f>
        <v>-74867.288663232699</v>
      </c>
      <c r="H233" s="311" t="e">
        <f>+'I) Dépenses thématiques'!S233</f>
        <v>#DIV/0!</v>
      </c>
      <c r="I233" s="308">
        <f>'K) Plafonnement aide'!J233</f>
        <v>0</v>
      </c>
      <c r="J233" s="311">
        <f>'J) Plafonnement effort'!J233</f>
        <v>0</v>
      </c>
      <c r="K233" s="308">
        <f>'L) Plafonnement taux'!Q234</f>
        <v>0</v>
      </c>
      <c r="L233" s="306" t="e">
        <f t="shared" si="16"/>
        <v>#DIV/0!</v>
      </c>
      <c r="M233" s="231">
        <f>'M) Police'!N233</f>
        <v>46994.591702152524</v>
      </c>
      <c r="N233" s="231" t="e">
        <f t="shared" si="12"/>
        <v>#DIV/0!</v>
      </c>
      <c r="O233" s="311" t="e">
        <f t="shared" si="13"/>
        <v>#DIV/0!</v>
      </c>
      <c r="P233" s="313"/>
    </row>
    <row r="234" spans="1:16" s="153" customFormat="1" x14ac:dyDescent="0.25">
      <c r="A234" s="150">
        <f>'B) D RI'!A235</f>
        <v>5785</v>
      </c>
      <c r="B234" s="151" t="str">
        <f>'B) D RI'!B235</f>
        <v>Corcelles-le-Jorat</v>
      </c>
      <c r="C234" s="309">
        <f>'B) D RI'!S235</f>
        <v>77</v>
      </c>
      <c r="D234" s="152">
        <f>'B) D RI'!AA235</f>
        <v>489</v>
      </c>
      <c r="E234" s="307">
        <f>'D) Ecrêtage'!C234</f>
        <v>14579.940909090908</v>
      </c>
      <c r="F234" s="311">
        <f>'E) PCS'!G240</f>
        <v>215730.52754058607</v>
      </c>
      <c r="G234" s="308">
        <f>'H) Péréquation directe'!I244</f>
        <v>-2375.3336068874341</v>
      </c>
      <c r="H234" s="311" t="e">
        <f>+'I) Dépenses thématiques'!S234</f>
        <v>#DIV/0!</v>
      </c>
      <c r="I234" s="308">
        <f>'K) Plafonnement aide'!J234</f>
        <v>0</v>
      </c>
      <c r="J234" s="311">
        <f>'J) Plafonnement effort'!J234</f>
        <v>0</v>
      </c>
      <c r="K234" s="308">
        <f>'L) Plafonnement taux'!Q235</f>
        <v>0</v>
      </c>
      <c r="L234" s="306" t="e">
        <f t="shared" si="16"/>
        <v>#DIV/0!</v>
      </c>
      <c r="M234" s="231">
        <f>'M) Police'!N234</f>
        <v>44162.362092356867</v>
      </c>
      <c r="N234" s="231" t="e">
        <f t="shared" si="12"/>
        <v>#DIV/0!</v>
      </c>
      <c r="O234" s="311" t="e">
        <f t="shared" si="13"/>
        <v>#DIV/0!</v>
      </c>
      <c r="P234" s="313"/>
    </row>
    <row r="235" spans="1:16" s="153" customFormat="1" x14ac:dyDescent="0.25">
      <c r="A235" s="150">
        <f>'B) D RI'!A236</f>
        <v>5788</v>
      </c>
      <c r="B235" s="151" t="str">
        <f>'B) D RI'!B236</f>
        <v>Essertes</v>
      </c>
      <c r="C235" s="309">
        <f>'B) D RI'!S236</f>
        <v>71.5</v>
      </c>
      <c r="D235" s="152">
        <f>'B) D RI'!AA236</f>
        <v>397</v>
      </c>
      <c r="E235" s="307">
        <f>'D) Ecrêtage'!C235</f>
        <v>13314.951048951047</v>
      </c>
      <c r="F235" s="311">
        <f>'E) PCS'!G241</f>
        <v>176937.23034318554</v>
      </c>
      <c r="G235" s="308">
        <f>'H) Péréquation directe'!I245</f>
        <v>80198.741373027762</v>
      </c>
      <c r="H235" s="311" t="e">
        <f>+'I) Dépenses thématiques'!S235</f>
        <v>#DIV/0!</v>
      </c>
      <c r="I235" s="308">
        <f>'K) Plafonnement aide'!J235</f>
        <v>0</v>
      </c>
      <c r="J235" s="311">
        <f>'J) Plafonnement effort'!J235</f>
        <v>0</v>
      </c>
      <c r="K235" s="308">
        <f>'L) Plafonnement taux'!Q236</f>
        <v>0</v>
      </c>
      <c r="L235" s="306" t="e">
        <f t="shared" si="16"/>
        <v>#DIV/0!</v>
      </c>
      <c r="M235" s="231">
        <f>'M) Police'!N235</f>
        <v>39379.572410965862</v>
      </c>
      <c r="N235" s="231" t="e">
        <f t="shared" si="12"/>
        <v>#DIV/0!</v>
      </c>
      <c r="O235" s="311" t="e">
        <f t="shared" si="13"/>
        <v>#DIV/0!</v>
      </c>
      <c r="P235" s="313"/>
    </row>
    <row r="236" spans="1:16" s="153" customFormat="1" x14ac:dyDescent="0.25">
      <c r="A236" s="150">
        <f>'B) D RI'!A237</f>
        <v>5790</v>
      </c>
      <c r="B236" s="151" t="str">
        <f>'B) D RI'!B237</f>
        <v>Maracon</v>
      </c>
      <c r="C236" s="309">
        <f>'B) D RI'!S237</f>
        <v>74.5</v>
      </c>
      <c r="D236" s="152">
        <f>'B) D RI'!AA237</f>
        <v>547</v>
      </c>
      <c r="E236" s="307">
        <f>'D) Ecrêtage'!C236</f>
        <v>15172.050604026846</v>
      </c>
      <c r="F236" s="311">
        <f>'E) PCS'!G242</f>
        <v>218167.65037244209</v>
      </c>
      <c r="G236" s="308">
        <f>'H) Péréquation directe'!I246</f>
        <v>-33868.733306765091</v>
      </c>
      <c r="H236" s="311" t="e">
        <f>+'I) Dépenses thématiques'!S236</f>
        <v>#DIV/0!</v>
      </c>
      <c r="I236" s="308">
        <f>'K) Plafonnement aide'!J236</f>
        <v>0</v>
      </c>
      <c r="J236" s="311">
        <f>'J) Plafonnement effort'!J236</f>
        <v>0</v>
      </c>
      <c r="K236" s="308">
        <f>'L) Plafonnement taux'!Q237</f>
        <v>0</v>
      </c>
      <c r="L236" s="306" t="e">
        <f t="shared" si="16"/>
        <v>#DIV/0!</v>
      </c>
      <c r="M236" s="231">
        <f>'M) Police'!N236</f>
        <v>45339.528730887905</v>
      </c>
      <c r="N236" s="231" t="e">
        <f t="shared" si="12"/>
        <v>#DIV/0!</v>
      </c>
      <c r="O236" s="311" t="e">
        <f t="shared" si="13"/>
        <v>#DIV/0!</v>
      </c>
      <c r="P236" s="313"/>
    </row>
    <row r="237" spans="1:16" s="153" customFormat="1" x14ac:dyDescent="0.25">
      <c r="A237" s="150">
        <f>'B) D RI'!A238</f>
        <v>5792</v>
      </c>
      <c r="B237" s="151" t="str">
        <f>'B) D RI'!B238</f>
        <v>Montpreveyres</v>
      </c>
      <c r="C237" s="309">
        <f>'B) D RI'!S238</f>
        <v>75.5</v>
      </c>
      <c r="D237" s="152">
        <f>'B) D RI'!AA238</f>
        <v>662</v>
      </c>
      <c r="E237" s="307">
        <f>'D) Ecrêtage'!C237</f>
        <v>20145.836291390729</v>
      </c>
      <c r="F237" s="311">
        <f>'E) PCS'!G243</f>
        <v>333156.8285807161</v>
      </c>
      <c r="G237" s="308">
        <f>'H) Péréquation directe'!I247</f>
        <v>25009.555379174417</v>
      </c>
      <c r="H237" s="311" t="e">
        <f>+'I) Dépenses thématiques'!S237</f>
        <v>#DIV/0!</v>
      </c>
      <c r="I237" s="308">
        <f>'K) Plafonnement aide'!J237</f>
        <v>0</v>
      </c>
      <c r="J237" s="311">
        <f>'J) Plafonnement effort'!J237</f>
        <v>0</v>
      </c>
      <c r="K237" s="308">
        <f>'L) Plafonnement taux'!Q238</f>
        <v>0</v>
      </c>
      <c r="L237" s="306" t="e">
        <f t="shared" si="16"/>
        <v>#DIV/0!</v>
      </c>
      <c r="M237" s="231">
        <f>'M) Police'!N237</f>
        <v>60531.402098333951</v>
      </c>
      <c r="N237" s="231" t="e">
        <f t="shared" si="12"/>
        <v>#DIV/0!</v>
      </c>
      <c r="O237" s="311" t="e">
        <f t="shared" si="13"/>
        <v>#DIV/0!</v>
      </c>
      <c r="P237" s="313"/>
    </row>
    <row r="238" spans="1:16" s="153" customFormat="1" x14ac:dyDescent="0.25">
      <c r="A238" s="150">
        <f>'B) D RI'!A239</f>
        <v>5798</v>
      </c>
      <c r="B238" s="151" t="str">
        <f>'B) D RI'!B239</f>
        <v>Ropraz</v>
      </c>
      <c r="C238" s="309">
        <f>'B) D RI'!S239</f>
        <v>77.5</v>
      </c>
      <c r="D238" s="152">
        <f>'B) D RI'!AA239</f>
        <v>534</v>
      </c>
      <c r="E238" s="307">
        <f>'D) Ecrêtage'!C238</f>
        <v>17444.805161290325</v>
      </c>
      <c r="F238" s="311">
        <f>'E) PCS'!G244</f>
        <v>281728.51176504651</v>
      </c>
      <c r="G238" s="308">
        <f>'H) Péréquation directe'!I248</f>
        <v>59558.373140757554</v>
      </c>
      <c r="H238" s="311" t="e">
        <f>+'I) Dépenses thématiques'!S238</f>
        <v>#DIV/0!</v>
      </c>
      <c r="I238" s="308">
        <f>'K) Plafonnement aide'!J238</f>
        <v>0</v>
      </c>
      <c r="J238" s="311">
        <f>'J) Plafonnement effort'!J238</f>
        <v>0</v>
      </c>
      <c r="K238" s="308">
        <f>'L) Plafonnement taux'!Q239</f>
        <v>0</v>
      </c>
      <c r="L238" s="306" t="e">
        <f t="shared" si="16"/>
        <v>#DIV/0!</v>
      </c>
      <c r="M238" s="231">
        <f>'M) Police'!N238</f>
        <v>52669.827033132533</v>
      </c>
      <c r="N238" s="231" t="e">
        <f t="shared" si="12"/>
        <v>#DIV/0!</v>
      </c>
      <c r="O238" s="311" t="e">
        <f t="shared" si="13"/>
        <v>#DIV/0!</v>
      </c>
      <c r="P238" s="313"/>
    </row>
    <row r="239" spans="1:16" s="153" customFormat="1" x14ac:dyDescent="0.25">
      <c r="A239" s="150">
        <f>'B) D RI'!A240</f>
        <v>5799</v>
      </c>
      <c r="B239" s="151" t="str">
        <f>'B) D RI'!B240</f>
        <v>Servion</v>
      </c>
      <c r="C239" s="309">
        <f>'B) D RI'!S240</f>
        <v>69</v>
      </c>
      <c r="D239" s="152">
        <f>'B) D RI'!AA240</f>
        <v>2107</v>
      </c>
      <c r="E239" s="307">
        <f>'D) Ecrêtage'!C239</f>
        <v>71744.263478260895</v>
      </c>
      <c r="F239" s="311">
        <f>'E) PCS'!G245</f>
        <v>1123942.835815262</v>
      </c>
      <c r="G239" s="308">
        <f>'H) Péréquation directe'!I249</f>
        <v>261886.41344621964</v>
      </c>
      <c r="H239" s="311" t="e">
        <f>+'I) Dépenses thématiques'!S239</f>
        <v>#DIV/0!</v>
      </c>
      <c r="I239" s="308">
        <f>'K) Plafonnement aide'!J239</f>
        <v>0</v>
      </c>
      <c r="J239" s="311">
        <f>'J) Plafonnement effort'!J239</f>
        <v>0</v>
      </c>
      <c r="K239" s="308">
        <f>'L) Plafonnement taux'!Q240</f>
        <v>0</v>
      </c>
      <c r="L239" s="306" t="e">
        <f t="shared" si="16"/>
        <v>#DIV/0!</v>
      </c>
      <c r="M239" s="231">
        <f>'M) Police'!N239</f>
        <v>214531.72299750563</v>
      </c>
      <c r="N239" s="231" t="e">
        <f t="shared" si="12"/>
        <v>#DIV/0!</v>
      </c>
      <c r="O239" s="311" t="e">
        <f t="shared" si="13"/>
        <v>#DIV/0!</v>
      </c>
      <c r="P239" s="313"/>
    </row>
    <row r="240" spans="1:16" s="153" customFormat="1" x14ac:dyDescent="0.25">
      <c r="A240" s="150">
        <f>'B) D RI'!A241</f>
        <v>5803</v>
      </c>
      <c r="B240" s="151" t="str">
        <f>'B) D RI'!B241</f>
        <v>Vulliens</v>
      </c>
      <c r="C240" s="309">
        <f>'B) D RI'!S241</f>
        <v>76</v>
      </c>
      <c r="D240" s="152">
        <f>'B) D RI'!AA241</f>
        <v>631</v>
      </c>
      <c r="E240" s="307">
        <f>'D) Ecrêtage'!C240</f>
        <v>17996.188026315795</v>
      </c>
      <c r="F240" s="311">
        <f>'E) PCS'!G246</f>
        <v>273469.18864995782</v>
      </c>
      <c r="G240" s="308">
        <f>'H) Péréquation directe'!I250</f>
        <v>-30140.808246175468</v>
      </c>
      <c r="H240" s="311" t="e">
        <f>+'I) Dépenses thématiques'!S240</f>
        <v>#DIV/0!</v>
      </c>
      <c r="I240" s="308">
        <f>'K) Plafonnement aide'!J240</f>
        <v>0</v>
      </c>
      <c r="J240" s="311">
        <f>'J) Plafonnement effort'!J240</f>
        <v>0</v>
      </c>
      <c r="K240" s="308">
        <f>'L) Plafonnement taux'!Q241</f>
        <v>0</v>
      </c>
      <c r="L240" s="306" t="e">
        <f t="shared" si="16"/>
        <v>#DIV/0!</v>
      </c>
      <c r="M240" s="231">
        <f>'M) Police'!N240</f>
        <v>54270.156834616435</v>
      </c>
      <c r="N240" s="231" t="e">
        <f t="shared" si="12"/>
        <v>#DIV/0!</v>
      </c>
      <c r="O240" s="311" t="e">
        <f t="shared" si="13"/>
        <v>#DIV/0!</v>
      </c>
      <c r="P240" s="313"/>
    </row>
    <row r="241" spans="1:16" s="153" customFormat="1" x14ac:dyDescent="0.25">
      <c r="A241" s="150">
        <f>'B) D RI'!A242</f>
        <v>5804</v>
      </c>
      <c r="B241" s="151" t="str">
        <f>'B) D RI'!B242</f>
        <v>Jorat-Menthue</v>
      </c>
      <c r="C241" s="309">
        <f>'B) D RI'!S242</f>
        <v>70.5</v>
      </c>
      <c r="D241" s="152">
        <f>'B) D RI'!AA242</f>
        <v>1603</v>
      </c>
      <c r="E241" s="307">
        <f>'D) Ecrêtage'!C241</f>
        <v>46854.424539007086</v>
      </c>
      <c r="F241" s="311">
        <f>'E) PCS'!G247</f>
        <v>657100.26597862074</v>
      </c>
      <c r="G241" s="308">
        <f>'H) Péréquation directe'!I251</f>
        <v>-65242.740148247685</v>
      </c>
      <c r="H241" s="311" t="e">
        <f>+'I) Dépenses thématiques'!S241</f>
        <v>#DIV/0!</v>
      </c>
      <c r="I241" s="308">
        <f>'K) Plafonnement aide'!J241</f>
        <v>0</v>
      </c>
      <c r="J241" s="311">
        <f>'J) Plafonnement effort'!J241</f>
        <v>0</v>
      </c>
      <c r="K241" s="308">
        <f>'L) Plafonnement taux'!Q242</f>
        <v>0</v>
      </c>
      <c r="L241" s="306" t="e">
        <f>F241+G241+H241+I241+J241+K241</f>
        <v>#DIV/0!</v>
      </c>
      <c r="M241" s="231">
        <f>'M) Police'!N241</f>
        <v>140493.38168467043</v>
      </c>
      <c r="N241" s="231" t="e">
        <f t="shared" si="12"/>
        <v>#DIV/0!</v>
      </c>
      <c r="O241" s="311" t="e">
        <f t="shared" si="13"/>
        <v>#DIV/0!</v>
      </c>
      <c r="P241" s="313"/>
    </row>
    <row r="242" spans="1:16" s="153" customFormat="1" x14ac:dyDescent="0.25">
      <c r="A242" s="150">
        <f>'B) D RI'!A243</f>
        <v>5805</v>
      </c>
      <c r="B242" s="151" t="str">
        <f>'B) D RI'!B243</f>
        <v>Oron</v>
      </c>
      <c r="C242" s="309">
        <f>'B) D RI'!S243</f>
        <v>69</v>
      </c>
      <c r="D242" s="152">
        <f>'B) D RI'!AA243</f>
        <v>5703</v>
      </c>
      <c r="E242" s="307">
        <f>'D) Ecrêtage'!C242</f>
        <v>162115.58504611329</v>
      </c>
      <c r="F242" s="311">
        <f>'E) PCS'!G248</f>
        <v>2296435.7813313827</v>
      </c>
      <c r="G242" s="308">
        <f>'H) Péréquation directe'!I252</f>
        <v>-1362934.1865301062</v>
      </c>
      <c r="H242" s="311" t="e">
        <f>+'I) Dépenses thématiques'!S242</f>
        <v>#DIV/0!</v>
      </c>
      <c r="I242" s="308">
        <f>'K) Plafonnement aide'!J242</f>
        <v>0</v>
      </c>
      <c r="J242" s="311">
        <f>'J) Plafonnement effort'!J242</f>
        <v>0</v>
      </c>
      <c r="K242" s="308">
        <f>'L) Plafonnement taux'!Q243</f>
        <v>0</v>
      </c>
      <c r="L242" s="306" t="e">
        <f>F242+G242+H242+I242+J242+K242</f>
        <v>#DIV/0!</v>
      </c>
      <c r="M242" s="231">
        <f>'M) Police'!N242</f>
        <v>483288.05025958281</v>
      </c>
      <c r="N242" s="231" t="e">
        <f t="shared" si="12"/>
        <v>#DIV/0!</v>
      </c>
      <c r="O242" s="311" t="e">
        <f t="shared" si="13"/>
        <v>#DIV/0!</v>
      </c>
      <c r="P242" s="313"/>
    </row>
    <row r="243" spans="1:16" s="153" customFormat="1" x14ac:dyDescent="0.25">
      <c r="A243" s="150">
        <f>'B) D RI'!A244</f>
        <v>5806</v>
      </c>
      <c r="B243" s="151" t="str">
        <f>'B) D RI'!B244</f>
        <v>Jorat-Mézières</v>
      </c>
      <c r="C243" s="309">
        <f>'B) D RI'!S244</f>
        <v>73</v>
      </c>
      <c r="D243" s="152">
        <f>'B) D RI'!AA244</f>
        <v>3095</v>
      </c>
      <c r="E243" s="307">
        <f>'D) Ecrêtage'!C243</f>
        <v>102077.74465753423</v>
      </c>
      <c r="F243" s="311">
        <f>'E) PCS'!G249</f>
        <v>1739792.972974214</v>
      </c>
      <c r="G243" s="308">
        <f>'H) Péréquation directe'!I253</f>
        <v>31460.237738009077</v>
      </c>
      <c r="H243" s="311" t="e">
        <f>+'I) Dépenses thématiques'!S243</f>
        <v>#DIV/0!</v>
      </c>
      <c r="I243" s="308">
        <f>'K) Plafonnement aide'!J243</f>
        <v>0</v>
      </c>
      <c r="J243" s="311">
        <f>'J) Plafonnement effort'!J243</f>
        <v>0</v>
      </c>
      <c r="K243" s="308">
        <f>'L) Plafonnement taux'!Q244</f>
        <v>0</v>
      </c>
      <c r="L243" s="306" t="e">
        <f>F243+G243+H243+I243+J243+K243</f>
        <v>#DIV/0!</v>
      </c>
      <c r="M243" s="231">
        <f>'M) Police'!N243</f>
        <v>308034.62264381372</v>
      </c>
      <c r="N243" s="231" t="e">
        <f t="shared" ref="N243" si="17">L243+M243</f>
        <v>#DIV/0!</v>
      </c>
      <c r="O243" s="311" t="e">
        <f t="shared" si="13"/>
        <v>#DIV/0!</v>
      </c>
      <c r="P243" s="313"/>
    </row>
    <row r="244" spans="1:16" s="153" customFormat="1" x14ac:dyDescent="0.25">
      <c r="A244" s="150">
        <f>'B) D RI'!A245</f>
        <v>5812</v>
      </c>
      <c r="B244" s="151" t="str">
        <f>'B) D RI'!B245</f>
        <v>Champtauroz</v>
      </c>
      <c r="C244" s="309">
        <f>'B) D RI'!S245</f>
        <v>77</v>
      </c>
      <c r="D244" s="152">
        <f>'B) D RI'!AA245</f>
        <v>169</v>
      </c>
      <c r="E244" s="307">
        <f>'D) Ecrêtage'!C244</f>
        <v>3349.1505194805191</v>
      </c>
      <c r="F244" s="311">
        <f>'E) PCS'!G250</f>
        <v>47942.969706390548</v>
      </c>
      <c r="G244" s="308">
        <f>'H) Péréquation directe'!I254</f>
        <v>-72652.468068125512</v>
      </c>
      <c r="H244" s="311" t="e">
        <f>+'I) Dépenses thématiques'!S244</f>
        <v>#DIV/0!</v>
      </c>
      <c r="I244" s="308">
        <f>'K) Plafonnement aide'!J244</f>
        <v>0</v>
      </c>
      <c r="J244" s="311">
        <f>'J) Plafonnement effort'!J244</f>
        <v>0</v>
      </c>
      <c r="K244" s="308">
        <f>'L) Plafonnement taux'!Q245</f>
        <v>0</v>
      </c>
      <c r="L244" s="306" t="e">
        <f t="shared" si="16"/>
        <v>#DIV/0!</v>
      </c>
      <c r="M244" s="231">
        <f>'M) Police'!N244</f>
        <v>10096.232271318278</v>
      </c>
      <c r="N244" s="231" t="e">
        <f t="shared" si="12"/>
        <v>#DIV/0!</v>
      </c>
      <c r="O244" s="311" t="e">
        <f t="shared" si="13"/>
        <v>#DIV/0!</v>
      </c>
      <c r="P244" s="313"/>
    </row>
    <row r="245" spans="1:16" s="153" customFormat="1" x14ac:dyDescent="0.25">
      <c r="A245" s="150">
        <f>'B) D RI'!A246</f>
        <v>5813</v>
      </c>
      <c r="B245" s="151" t="str">
        <f>'B) D RI'!B246</f>
        <v>Chevroux</v>
      </c>
      <c r="C245" s="309">
        <f>'B) D RI'!S246</f>
        <v>68.5</v>
      </c>
      <c r="D245" s="152">
        <f>'B) D RI'!AA246</f>
        <v>506</v>
      </c>
      <c r="E245" s="307">
        <f>'D) Ecrêtage'!C245</f>
        <v>15276.905328467155</v>
      </c>
      <c r="F245" s="311">
        <f>'E) PCS'!G251</f>
        <v>262441.24932472059</v>
      </c>
      <c r="G245" s="308">
        <f>'H) Péréquation directe'!I255</f>
        <v>51232.008484398888</v>
      </c>
      <c r="H245" s="311" t="e">
        <f>+'I) Dépenses thématiques'!S245</f>
        <v>#DIV/0!</v>
      </c>
      <c r="I245" s="308">
        <f>'K) Plafonnement aide'!J245</f>
        <v>0</v>
      </c>
      <c r="J245" s="311">
        <f>'J) Plafonnement effort'!J245</f>
        <v>0</v>
      </c>
      <c r="K245" s="308">
        <f>'L) Plafonnement taux'!Q246</f>
        <v>0</v>
      </c>
      <c r="L245" s="306" t="e">
        <f t="shared" si="16"/>
        <v>#DIV/0!</v>
      </c>
      <c r="M245" s="231">
        <f>'M) Police'!N245</f>
        <v>45509.824018896252</v>
      </c>
      <c r="N245" s="231" t="e">
        <f t="shared" si="12"/>
        <v>#DIV/0!</v>
      </c>
      <c r="O245" s="311" t="e">
        <f t="shared" si="13"/>
        <v>#DIV/0!</v>
      </c>
      <c r="P245" s="313"/>
    </row>
    <row r="246" spans="1:16" s="153" customFormat="1" x14ac:dyDescent="0.25">
      <c r="A246" s="150">
        <f>'B) D RI'!A247</f>
        <v>5816</v>
      </c>
      <c r="B246" s="151" t="str">
        <f>'B) D RI'!B247</f>
        <v>Corcelles-près-Payerne</v>
      </c>
      <c r="C246" s="309">
        <f>'B) D RI'!S247</f>
        <v>68.5</v>
      </c>
      <c r="D246" s="152">
        <f>'B) D RI'!AA247</f>
        <v>2722</v>
      </c>
      <c r="E246" s="307">
        <f>'D) Ecrêtage'!C246</f>
        <v>65651.255161626686</v>
      </c>
      <c r="F246" s="311">
        <f>'E) PCS'!G252</f>
        <v>936089.22932510811</v>
      </c>
      <c r="G246" s="308">
        <f>'H) Péréquation directe'!I256</f>
        <v>-732062.41188831511</v>
      </c>
      <c r="H246" s="311" t="e">
        <f>+'I) Dépenses thématiques'!S246</f>
        <v>#DIV/0!</v>
      </c>
      <c r="I246" s="308">
        <f>'K) Plafonnement aide'!J246</f>
        <v>0</v>
      </c>
      <c r="J246" s="311">
        <f>'J) Plafonnement effort'!J246</f>
        <v>0</v>
      </c>
      <c r="K246" s="308">
        <f>'L) Plafonnement taux'!Q247</f>
        <v>0</v>
      </c>
      <c r="L246" s="306" t="e">
        <f t="shared" si="16"/>
        <v>#DIV/0!</v>
      </c>
      <c r="M246" s="231">
        <f>'M) Police'!N246</f>
        <v>195807.56787940377</v>
      </c>
      <c r="N246" s="231" t="e">
        <f t="shared" si="12"/>
        <v>#DIV/0!</v>
      </c>
      <c r="O246" s="311" t="e">
        <f t="shared" si="13"/>
        <v>#DIV/0!</v>
      </c>
      <c r="P246" s="313"/>
    </row>
    <row r="247" spans="1:16" s="153" customFormat="1" x14ac:dyDescent="0.25">
      <c r="A247" s="150">
        <f>'B) D RI'!A248</f>
        <v>5817</v>
      </c>
      <c r="B247" s="151" t="str">
        <f>'B) D RI'!B248</f>
        <v>Grandcour</v>
      </c>
      <c r="C247" s="309">
        <f>'B) D RI'!S248</f>
        <v>73.5</v>
      </c>
      <c r="D247" s="152">
        <f>'B) D RI'!AA248</f>
        <v>987</v>
      </c>
      <c r="E247" s="307">
        <f>'D) Ecrêtage'!C247</f>
        <v>24623.103809523807</v>
      </c>
      <c r="F247" s="311">
        <f>'E) PCS'!G253</f>
        <v>323117.30860897002</v>
      </c>
      <c r="G247" s="308">
        <f>'H) Péréquation directe'!I257</f>
        <v>-160275.14397402189</v>
      </c>
      <c r="H247" s="311" t="e">
        <f>+'I) Dépenses thématiques'!S247</f>
        <v>#DIV/0!</v>
      </c>
      <c r="I247" s="308">
        <f>'K) Plafonnement aide'!J247</f>
        <v>0</v>
      </c>
      <c r="J247" s="311">
        <f>'J) Plafonnement effort'!J247</f>
        <v>0</v>
      </c>
      <c r="K247" s="308">
        <f>'L) Plafonnement taux'!Q248</f>
        <v>0</v>
      </c>
      <c r="L247" s="306" t="e">
        <f t="shared" si="16"/>
        <v>#DIV/0!</v>
      </c>
      <c r="M247" s="231">
        <f>'M) Police'!N247</f>
        <v>74163.770886961414</v>
      </c>
      <c r="N247" s="231" t="e">
        <f t="shared" si="12"/>
        <v>#DIV/0!</v>
      </c>
      <c r="O247" s="311" t="e">
        <f t="shared" si="13"/>
        <v>#DIV/0!</v>
      </c>
      <c r="P247" s="313"/>
    </row>
    <row r="248" spans="1:16" s="153" customFormat="1" x14ac:dyDescent="0.25">
      <c r="A248" s="150">
        <f>'B) D RI'!A249</f>
        <v>5819</v>
      </c>
      <c r="B248" s="151" t="str">
        <f>'B) D RI'!B249</f>
        <v>Henniez</v>
      </c>
      <c r="C248" s="309">
        <f>'B) D RI'!S249</f>
        <v>69</v>
      </c>
      <c r="D248" s="152">
        <f>'B) D RI'!AA249</f>
        <v>407</v>
      </c>
      <c r="E248" s="307">
        <f>'D) Ecrêtage'!C248</f>
        <v>10073.647101449274</v>
      </c>
      <c r="F248" s="311">
        <f>'E) PCS'!G254</f>
        <v>156013.05019325338</v>
      </c>
      <c r="G248" s="308">
        <f>'H) Péréquation directe'!I258</f>
        <v>-44625.027465424617</v>
      </c>
      <c r="H248" s="311" t="e">
        <f>+'I) Dépenses thématiques'!S248</f>
        <v>#DIV/0!</v>
      </c>
      <c r="I248" s="308">
        <f>'K) Plafonnement aide'!J248</f>
        <v>0</v>
      </c>
      <c r="J248" s="311">
        <f>'J) Plafonnement effort'!J248</f>
        <v>0</v>
      </c>
      <c r="K248" s="308">
        <f>'L) Plafonnement taux'!Q249</f>
        <v>0</v>
      </c>
      <c r="L248" s="306" t="e">
        <f t="shared" si="16"/>
        <v>#DIV/0!</v>
      </c>
      <c r="M248" s="231">
        <f>'M) Police'!N248</f>
        <v>29154.017402418467</v>
      </c>
      <c r="N248" s="231" t="e">
        <f t="shared" si="12"/>
        <v>#DIV/0!</v>
      </c>
      <c r="O248" s="311" t="e">
        <f t="shared" si="13"/>
        <v>#DIV/0!</v>
      </c>
      <c r="P248" s="313"/>
    </row>
    <row r="249" spans="1:16" s="153" customFormat="1" x14ac:dyDescent="0.25">
      <c r="A249" s="150">
        <f>'B) D RI'!A250</f>
        <v>5821</v>
      </c>
      <c r="B249" s="151" t="str">
        <f>'B) D RI'!B250</f>
        <v>Missy</v>
      </c>
      <c r="C249" s="309">
        <f>'B) D RI'!S250</f>
        <v>72</v>
      </c>
      <c r="D249" s="152">
        <f>'B) D RI'!AA250</f>
        <v>366</v>
      </c>
      <c r="E249" s="307">
        <f>'D) Ecrêtage'!C249</f>
        <v>8044.6855555555558</v>
      </c>
      <c r="F249" s="311">
        <f>'E) PCS'!G255</f>
        <v>110384.43405616359</v>
      </c>
      <c r="G249" s="308">
        <f>'H) Péréquation directe'!I259</f>
        <v>-94872.898566114018</v>
      </c>
      <c r="H249" s="311" t="e">
        <f>+'I) Dépenses thématiques'!S249</f>
        <v>#DIV/0!</v>
      </c>
      <c r="I249" s="308">
        <f>'K) Plafonnement aide'!J249</f>
        <v>0</v>
      </c>
      <c r="J249" s="311">
        <f>'J) Plafonnement effort'!J249</f>
        <v>0</v>
      </c>
      <c r="K249" s="308">
        <f>'L) Plafonnement taux'!Q250</f>
        <v>0</v>
      </c>
      <c r="L249" s="306" t="e">
        <f t="shared" si="16"/>
        <v>#DIV/0!</v>
      </c>
      <c r="M249" s="231">
        <f>'M) Police'!N249</f>
        <v>23913.111030505333</v>
      </c>
      <c r="N249" s="231" t="e">
        <f t="shared" si="12"/>
        <v>#DIV/0!</v>
      </c>
      <c r="O249" s="311" t="e">
        <f t="shared" si="13"/>
        <v>#DIV/0!</v>
      </c>
      <c r="P249" s="313"/>
    </row>
    <row r="250" spans="1:16" s="153" customFormat="1" x14ac:dyDescent="0.25">
      <c r="A250" s="150">
        <f>'B) D RI'!A251</f>
        <v>5822</v>
      </c>
      <c r="B250" s="151" t="str">
        <f>'B) D RI'!B251</f>
        <v>Payerne</v>
      </c>
      <c r="C250" s="309">
        <f>'B) D RI'!S251</f>
        <v>73</v>
      </c>
      <c r="D250" s="152">
        <f>'B) D RI'!AA251</f>
        <v>10258</v>
      </c>
      <c r="E250" s="307">
        <f>'D) Ecrêtage'!C250</f>
        <v>239984.44424657538</v>
      </c>
      <c r="F250" s="311">
        <f>'E) PCS'!G256</f>
        <v>4066577.759506125</v>
      </c>
      <c r="G250" s="308">
        <f>'H) Péréquation directe'!I260</f>
        <v>-6238062.5551398508</v>
      </c>
      <c r="H250" s="311" t="e">
        <f>+'I) Dépenses thématiques'!S250</f>
        <v>#DIV/0!</v>
      </c>
      <c r="I250" s="308">
        <f>'K) Plafonnement aide'!J250</f>
        <v>251609.2416611228</v>
      </c>
      <c r="J250" s="311">
        <f>'J) Plafonnement effort'!J250</f>
        <v>0</v>
      </c>
      <c r="K250" s="308">
        <f>'L) Plafonnement taux'!Q251</f>
        <v>0</v>
      </c>
      <c r="L250" s="306" t="e">
        <f t="shared" si="16"/>
        <v>#DIV/0!</v>
      </c>
      <c r="M250" s="231">
        <f>'M) Police'!N250</f>
        <v>712277.24857086933</v>
      </c>
      <c r="N250" s="231" t="e">
        <f t="shared" si="12"/>
        <v>#DIV/0!</v>
      </c>
      <c r="O250" s="311" t="e">
        <f t="shared" si="13"/>
        <v>#DIV/0!</v>
      </c>
      <c r="P250" s="313"/>
    </row>
    <row r="251" spans="1:16" s="153" customFormat="1" x14ac:dyDescent="0.25">
      <c r="A251" s="150">
        <f>'B) D RI'!A252</f>
        <v>5827</v>
      </c>
      <c r="B251" s="151" t="str">
        <f>'B) D RI'!B252</f>
        <v>Trey</v>
      </c>
      <c r="C251" s="309">
        <f>'B) D RI'!S252</f>
        <v>78</v>
      </c>
      <c r="D251" s="152">
        <f>'B) D RI'!AA252</f>
        <v>321</v>
      </c>
      <c r="E251" s="307">
        <f>'D) Ecrêtage'!C251</f>
        <v>7747.4438461538457</v>
      </c>
      <c r="F251" s="311">
        <f>'E) PCS'!G257</f>
        <v>152158.56583314491</v>
      </c>
      <c r="G251" s="308">
        <f>'H) Péréquation directe'!I261</f>
        <v>-83905.668511164753</v>
      </c>
      <c r="H251" s="311" t="e">
        <f>+'I) Dépenses thématiques'!S251</f>
        <v>#DIV/0!</v>
      </c>
      <c r="I251" s="308">
        <f>'K) Plafonnement aide'!J251</f>
        <v>0</v>
      </c>
      <c r="J251" s="311">
        <f>'J) Plafonnement effort'!J251</f>
        <v>0</v>
      </c>
      <c r="K251" s="308">
        <f>'L) Plafonnement taux'!Q252</f>
        <v>0</v>
      </c>
      <c r="L251" s="306" t="e">
        <f t="shared" si="16"/>
        <v>#DIV/0!</v>
      </c>
      <c r="M251" s="231">
        <f>'M) Police'!N251</f>
        <v>23384.861728646625</v>
      </c>
      <c r="N251" s="231" t="e">
        <f t="shared" si="12"/>
        <v>#DIV/0!</v>
      </c>
      <c r="O251" s="311" t="e">
        <f t="shared" si="13"/>
        <v>#DIV/0!</v>
      </c>
      <c r="P251" s="313"/>
    </row>
    <row r="252" spans="1:16" s="153" customFormat="1" x14ac:dyDescent="0.25">
      <c r="A252" s="150">
        <f>'B) D RI'!A253</f>
        <v>5828</v>
      </c>
      <c r="B252" s="151" t="str">
        <f>'B) D RI'!B253</f>
        <v>Treytorrens (Payerne)</v>
      </c>
      <c r="C252" s="309">
        <f>'B) D RI'!S253</f>
        <v>82.5</v>
      </c>
      <c r="D252" s="152">
        <f>'B) D RI'!AA253</f>
        <v>110</v>
      </c>
      <c r="E252" s="307">
        <f>'D) Ecrêtage'!C252</f>
        <v>2899.2203232323236</v>
      </c>
      <c r="F252" s="311">
        <f>'E) PCS'!G258</f>
        <v>42188.194363826507</v>
      </c>
      <c r="G252" s="308">
        <f>'H) Péréquation directe'!I262</f>
        <v>-25222.604818330627</v>
      </c>
      <c r="H252" s="311" t="e">
        <f>+'I) Dépenses thématiques'!S252</f>
        <v>#DIV/0!</v>
      </c>
      <c r="I252" s="308">
        <f>'K) Plafonnement aide'!J252</f>
        <v>0</v>
      </c>
      <c r="J252" s="311">
        <f>'J) Plafonnement effort'!J252</f>
        <v>0</v>
      </c>
      <c r="K252" s="308">
        <f>'L) Plafonnement taux'!Q253</f>
        <v>-323.40141232415726</v>
      </c>
      <c r="L252" s="306" t="e">
        <f t="shared" si="16"/>
        <v>#DIV/0!</v>
      </c>
      <c r="M252" s="231">
        <f>'M) Police'!N252</f>
        <v>8780.6942447299843</v>
      </c>
      <c r="N252" s="231" t="e">
        <f t="shared" si="12"/>
        <v>#DIV/0!</v>
      </c>
      <c r="O252" s="311" t="e">
        <f t="shared" si="13"/>
        <v>#DIV/0!</v>
      </c>
      <c r="P252" s="313"/>
    </row>
    <row r="253" spans="1:16" s="153" customFormat="1" x14ac:dyDescent="0.25">
      <c r="A253" s="150">
        <f>'B) D RI'!A254</f>
        <v>5830</v>
      </c>
      <c r="B253" s="151" t="str">
        <f>'B) D RI'!B254</f>
        <v>Villarzel</v>
      </c>
      <c r="C253" s="309">
        <f>'B) D RI'!S254</f>
        <v>75</v>
      </c>
      <c r="D253" s="152">
        <f>'B) D RI'!AA254</f>
        <v>500</v>
      </c>
      <c r="E253" s="307">
        <f>'D) Ecrêtage'!C253</f>
        <v>12409.986933333334</v>
      </c>
      <c r="F253" s="311">
        <f>'E) PCS'!G259</f>
        <v>216025.11824397621</v>
      </c>
      <c r="G253" s="308">
        <f>'H) Péréquation directe'!I263</f>
        <v>-94276.244300820777</v>
      </c>
      <c r="H253" s="311" t="e">
        <f>+'I) Dépenses thématiques'!S253</f>
        <v>#DIV/0!</v>
      </c>
      <c r="I253" s="308">
        <f>'K) Plafonnement aide'!J253</f>
        <v>0</v>
      </c>
      <c r="J253" s="311">
        <f>'J) Plafonnement effort'!J253</f>
        <v>0</v>
      </c>
      <c r="K253" s="308">
        <f>'L) Plafonnement taux'!Q254</f>
        <v>0</v>
      </c>
      <c r="L253" s="306" t="e">
        <f t="shared" si="16"/>
        <v>#DIV/0!</v>
      </c>
      <c r="M253" s="231">
        <f>'M) Police'!N253</f>
        <v>37657.621572332202</v>
      </c>
      <c r="N253" s="231" t="e">
        <f t="shared" si="12"/>
        <v>#DIV/0!</v>
      </c>
      <c r="O253" s="311" t="e">
        <f t="shared" si="13"/>
        <v>#DIV/0!</v>
      </c>
      <c r="P253" s="313"/>
    </row>
    <row r="254" spans="1:16" s="153" customFormat="1" x14ac:dyDescent="0.25">
      <c r="A254" s="150">
        <f>'B) D RI'!A255</f>
        <v>5831</v>
      </c>
      <c r="B254" s="151" t="str">
        <f>'B) D RI'!B255</f>
        <v>Valbroye</v>
      </c>
      <c r="C254" s="309">
        <f>'B) D RI'!S255</f>
        <v>70.5</v>
      </c>
      <c r="D254" s="152">
        <f>'B) D RI'!AA255</f>
        <v>3349</v>
      </c>
      <c r="E254" s="307">
        <f>'D) Ecrêtage'!C254</f>
        <v>81049.404018912537</v>
      </c>
      <c r="F254" s="311">
        <f>'E) PCS'!G260</f>
        <v>1420569.6718108456</v>
      </c>
      <c r="G254" s="308">
        <f>'H) Péréquation directe'!I264</f>
        <v>-1084447.2207362338</v>
      </c>
      <c r="H254" s="311" t="e">
        <f>+'I) Dépenses thématiques'!S254</f>
        <v>#DIV/0!</v>
      </c>
      <c r="I254" s="308">
        <f>'K) Plafonnement aide'!J254</f>
        <v>0</v>
      </c>
      <c r="J254" s="311">
        <f>'J) Plafonnement effort'!J254</f>
        <v>0</v>
      </c>
      <c r="K254" s="308">
        <f>'L) Plafonnement taux'!Q255</f>
        <v>0</v>
      </c>
      <c r="L254" s="306" t="e">
        <f>F254+G254+H254+I254+J254+K254</f>
        <v>#DIV/0!</v>
      </c>
      <c r="M254" s="231">
        <f>'M) Police'!N254</f>
        <v>241847.43531579961</v>
      </c>
      <c r="N254" s="231" t="e">
        <f t="shared" ref="N254:N313" si="18">L254+M254</f>
        <v>#DIV/0!</v>
      </c>
      <c r="O254" s="311" t="e">
        <f t="shared" si="13"/>
        <v>#DIV/0!</v>
      </c>
      <c r="P254" s="313"/>
    </row>
    <row r="255" spans="1:16" s="153" customFormat="1" x14ac:dyDescent="0.25">
      <c r="A255" s="150">
        <f>'B) D RI'!A256</f>
        <v>5841</v>
      </c>
      <c r="B255" s="151" t="str">
        <f>'B) D RI'!B256</f>
        <v>Château-d'Oex</v>
      </c>
      <c r="C255" s="309">
        <f>'B) D RI'!S256</f>
        <v>81.5</v>
      </c>
      <c r="D255" s="152">
        <f>'B) D RI'!AA256</f>
        <v>3549</v>
      </c>
      <c r="E255" s="307">
        <f>'D) Ecrêtage'!C255</f>
        <v>110857.63779141105</v>
      </c>
      <c r="F255" s="311">
        <f>'E) PCS'!G261</f>
        <v>2246131.4805252985</v>
      </c>
      <c r="G255" s="308">
        <f>'H) Péréquation directe'!I265</f>
        <v>-631402.23437162489</v>
      </c>
      <c r="H255" s="311" t="e">
        <f>+'I) Dépenses thématiques'!S255</f>
        <v>#DIV/0!</v>
      </c>
      <c r="I255" s="308">
        <f>'K) Plafonnement aide'!J255</f>
        <v>0</v>
      </c>
      <c r="J255" s="311">
        <f>'J) Plafonnement effort'!J255</f>
        <v>0</v>
      </c>
      <c r="K255" s="308">
        <f>'L) Plafonnement taux'!Q256</f>
        <v>0</v>
      </c>
      <c r="L255" s="306" t="e">
        <f t="shared" si="16"/>
        <v>#DIV/0!</v>
      </c>
      <c r="M255" s="231">
        <f>'M) Police'!N255</f>
        <v>325369.55678176187</v>
      </c>
      <c r="N255" s="231" t="e">
        <f t="shared" si="18"/>
        <v>#DIV/0!</v>
      </c>
      <c r="O255" s="311" t="e">
        <f t="shared" si="13"/>
        <v>#DIV/0!</v>
      </c>
      <c r="P255" s="313"/>
    </row>
    <row r="256" spans="1:16" s="153" customFormat="1" x14ac:dyDescent="0.25">
      <c r="A256" s="150">
        <f>'B) D RI'!A257</f>
        <v>5842</v>
      </c>
      <c r="B256" s="151" t="str">
        <f>'B) D RI'!B257</f>
        <v>Rossinière</v>
      </c>
      <c r="C256" s="309">
        <f>'B) D RI'!S257</f>
        <v>81</v>
      </c>
      <c r="D256" s="152">
        <f>'B) D RI'!AA257</f>
        <v>534</v>
      </c>
      <c r="E256" s="307">
        <f>'D) Ecrêtage'!C256</f>
        <v>14944.680411522633</v>
      </c>
      <c r="F256" s="311">
        <f>'E) PCS'!G262</f>
        <v>225806.69407575799</v>
      </c>
      <c r="G256" s="308">
        <f>'H) Péréquation directe'!I266</f>
        <v>-71697.125496593129</v>
      </c>
      <c r="H256" s="311" t="e">
        <f>+'I) Dépenses thématiques'!S256</f>
        <v>#DIV/0!</v>
      </c>
      <c r="I256" s="308">
        <f>'K) Plafonnement aide'!J256</f>
        <v>0</v>
      </c>
      <c r="J256" s="311">
        <f>'J) Plafonnement effort'!J256</f>
        <v>0</v>
      </c>
      <c r="K256" s="308">
        <f>'L) Plafonnement taux'!Q257</f>
        <v>0</v>
      </c>
      <c r="L256" s="306" t="e">
        <f t="shared" si="16"/>
        <v>#DIV/0!</v>
      </c>
      <c r="M256" s="231">
        <f>'M) Police'!N256</f>
        <v>44943.413617371618</v>
      </c>
      <c r="N256" s="231" t="e">
        <f t="shared" si="18"/>
        <v>#DIV/0!</v>
      </c>
      <c r="O256" s="311" t="e">
        <f t="shared" si="13"/>
        <v>#DIV/0!</v>
      </c>
      <c r="P256" s="313"/>
    </row>
    <row r="257" spans="1:16" s="153" customFormat="1" x14ac:dyDescent="0.25">
      <c r="A257" s="150">
        <f>'B) D RI'!A258</f>
        <v>5843</v>
      </c>
      <c r="B257" s="151" t="str">
        <f>'B) D RI'!B258</f>
        <v>Rougemont</v>
      </c>
      <c r="C257" s="309">
        <f>'B) D RI'!S258</f>
        <v>74</v>
      </c>
      <c r="D257" s="152">
        <f>'B) D RI'!AA258</f>
        <v>862</v>
      </c>
      <c r="E257" s="307">
        <f>'D) Ecrêtage'!C257</f>
        <v>97088.109459459462</v>
      </c>
      <c r="F257" s="311">
        <f>'E) PCS'!G263</f>
        <v>3867997.8033399037</v>
      </c>
      <c r="G257" s="308">
        <f>'H) Péréquation directe'!I267</f>
        <v>1718927.7854021231</v>
      </c>
      <c r="H257" s="311" t="e">
        <f>+'I) Dépenses thématiques'!S257</f>
        <v>#DIV/0!</v>
      </c>
      <c r="I257" s="308">
        <f>'K) Plafonnement aide'!J257</f>
        <v>0</v>
      </c>
      <c r="J257" s="311">
        <f>'J) Plafonnement effort'!J257</f>
        <v>0</v>
      </c>
      <c r="K257" s="308">
        <f>'L) Plafonnement taux'!Q258</f>
        <v>0</v>
      </c>
      <c r="L257" s="306" t="e">
        <f t="shared" si="16"/>
        <v>#DIV/0!</v>
      </c>
      <c r="M257" s="231">
        <f>'M) Police'!N257</f>
        <v>190389.40259666936</v>
      </c>
      <c r="N257" s="231" t="e">
        <f t="shared" si="18"/>
        <v>#DIV/0!</v>
      </c>
      <c r="O257" s="311" t="e">
        <f t="shared" si="13"/>
        <v>#DIV/0!</v>
      </c>
      <c r="P257" s="313"/>
    </row>
    <row r="258" spans="1:16" s="153" customFormat="1" x14ac:dyDescent="0.25">
      <c r="A258" s="150">
        <f>'B) D RI'!A259</f>
        <v>5851</v>
      </c>
      <c r="B258" s="151" t="str">
        <f>'B) D RI'!B259</f>
        <v>Allaman</v>
      </c>
      <c r="C258" s="309">
        <f>'B) D RI'!S259</f>
        <v>60</v>
      </c>
      <c r="D258" s="152">
        <f>'B) D RI'!AA259</f>
        <v>430</v>
      </c>
      <c r="E258" s="307">
        <f>'D) Ecrêtage'!C258</f>
        <v>24875.935818181821</v>
      </c>
      <c r="F258" s="311">
        <f>'E) PCS'!G264</f>
        <v>405655.93621237902</v>
      </c>
      <c r="G258" s="308">
        <f>'H) Péréquation directe'!I268</f>
        <v>414334.36637473432</v>
      </c>
      <c r="H258" s="311" t="e">
        <f>+'I) Dépenses thématiques'!S258</f>
        <v>#DIV/0!</v>
      </c>
      <c r="I258" s="308">
        <f>'K) Plafonnement aide'!J258</f>
        <v>0</v>
      </c>
      <c r="J258" s="311">
        <f>'J) Plafonnement effort'!J258</f>
        <v>0</v>
      </c>
      <c r="K258" s="308">
        <f>'L) Plafonnement taux'!Q259</f>
        <v>0</v>
      </c>
      <c r="L258" s="306" t="e">
        <f t="shared" si="16"/>
        <v>#DIV/0!</v>
      </c>
      <c r="M258" s="231">
        <f>'M) Police'!N258</f>
        <v>67487.830592547689</v>
      </c>
      <c r="N258" s="231" t="e">
        <f t="shared" si="18"/>
        <v>#DIV/0!</v>
      </c>
      <c r="O258" s="311" t="e">
        <f t="shared" si="13"/>
        <v>#DIV/0!</v>
      </c>
      <c r="P258" s="313"/>
    </row>
    <row r="259" spans="1:16" s="153" customFormat="1" x14ac:dyDescent="0.25">
      <c r="A259" s="150">
        <f>'B) D RI'!A260</f>
        <v>5852</v>
      </c>
      <c r="B259" s="151" t="str">
        <f>'B) D RI'!B260</f>
        <v>Bursinel</v>
      </c>
      <c r="C259" s="309">
        <f>'B) D RI'!S260</f>
        <v>62</v>
      </c>
      <c r="D259" s="152">
        <f>'B) D RI'!AA260</f>
        <v>515</v>
      </c>
      <c r="E259" s="307">
        <f>'D) Ecrêtage'!C259</f>
        <v>34636.657688172039</v>
      </c>
      <c r="F259" s="311">
        <f>'E) PCS'!G265</f>
        <v>742378.82864303445</v>
      </c>
      <c r="G259" s="308">
        <f>'H) Péréquation directe'!I269</f>
        <v>587353.41251066618</v>
      </c>
      <c r="H259" s="311" t="e">
        <f>+'I) Dépenses thématiques'!S259</f>
        <v>#DIV/0!</v>
      </c>
      <c r="I259" s="308">
        <f>'K) Plafonnement aide'!J259</f>
        <v>0</v>
      </c>
      <c r="J259" s="311">
        <f>'J) Plafonnement effort'!J259</f>
        <v>0</v>
      </c>
      <c r="K259" s="308">
        <f>'L) Plafonnement taux'!Q260</f>
        <v>0</v>
      </c>
      <c r="L259" s="306" t="e">
        <f t="shared" si="16"/>
        <v>#DIV/0!</v>
      </c>
      <c r="M259" s="231">
        <f>'M) Police'!N259</f>
        <v>86480.010573113948</v>
      </c>
      <c r="N259" s="231" t="e">
        <f t="shared" si="18"/>
        <v>#DIV/0!</v>
      </c>
      <c r="O259" s="311" t="e">
        <f t="shared" si="13"/>
        <v>#DIV/0!</v>
      </c>
      <c r="P259" s="313"/>
    </row>
    <row r="260" spans="1:16" s="153" customFormat="1" x14ac:dyDescent="0.25">
      <c r="A260" s="150">
        <f>'B) D RI'!A261</f>
        <v>5853</v>
      </c>
      <c r="B260" s="151" t="str">
        <f>'B) D RI'!B261</f>
        <v>Bursins</v>
      </c>
      <c r="C260" s="309">
        <f>'B) D RI'!S261</f>
        <v>71</v>
      </c>
      <c r="D260" s="152">
        <f>'B) D RI'!AA261</f>
        <v>773</v>
      </c>
      <c r="E260" s="307">
        <f>'D) Ecrêtage'!C260</f>
        <v>44486.311690140843</v>
      </c>
      <c r="F260" s="311">
        <f>'E) PCS'!G266</f>
        <v>928421.1539433134</v>
      </c>
      <c r="G260" s="308">
        <f>'H) Péréquation directe'!I270</f>
        <v>740463.99713355582</v>
      </c>
      <c r="H260" s="311" t="e">
        <f>+'I) Dépenses thématiques'!S260</f>
        <v>#DIV/0!</v>
      </c>
      <c r="I260" s="308">
        <f>'K) Plafonnement aide'!J260</f>
        <v>0</v>
      </c>
      <c r="J260" s="311">
        <f>'J) Plafonnement effort'!J260</f>
        <v>0</v>
      </c>
      <c r="K260" s="308">
        <f>'L) Plafonnement taux'!Q261</f>
        <v>0</v>
      </c>
      <c r="L260" s="306" t="e">
        <f t="shared" si="16"/>
        <v>#DIV/0!</v>
      </c>
      <c r="M260" s="231">
        <f>'M) Police'!N260</f>
        <v>121049.82582811086</v>
      </c>
      <c r="N260" s="231" t="e">
        <f t="shared" si="18"/>
        <v>#DIV/0!</v>
      </c>
      <c r="O260" s="311" t="e">
        <f t="shared" si="13"/>
        <v>#DIV/0!</v>
      </c>
      <c r="P260" s="313"/>
    </row>
    <row r="261" spans="1:16" s="153" customFormat="1" x14ac:dyDescent="0.25">
      <c r="A261" s="150">
        <f>'B) D RI'!A262</f>
        <v>5854</v>
      </c>
      <c r="B261" s="151" t="str">
        <f>'B) D RI'!B262</f>
        <v>Burtigny</v>
      </c>
      <c r="C261" s="309">
        <f>'B) D RI'!S262</f>
        <v>80</v>
      </c>
      <c r="D261" s="152">
        <f>'B) D RI'!AA262</f>
        <v>416</v>
      </c>
      <c r="E261" s="307">
        <f>'D) Ecrêtage'!C261</f>
        <v>15255.967208333332</v>
      </c>
      <c r="F261" s="311">
        <f>'E) PCS'!G267</f>
        <v>221376.1837775431</v>
      </c>
      <c r="G261" s="308">
        <f>'H) Péréquation directe'!I271</f>
        <v>110040.76809331425</v>
      </c>
      <c r="H261" s="311" t="e">
        <f>+'I) Dépenses thématiques'!S261</f>
        <v>#DIV/0!</v>
      </c>
      <c r="I261" s="308">
        <f>'K) Plafonnement aide'!J261</f>
        <v>0</v>
      </c>
      <c r="J261" s="311">
        <f>'J) Plafonnement effort'!J261</f>
        <v>0</v>
      </c>
      <c r="K261" s="308">
        <f>'L) Plafonnement taux'!Q262</f>
        <v>0</v>
      </c>
      <c r="L261" s="306" t="e">
        <f t="shared" si="16"/>
        <v>#DIV/0!</v>
      </c>
      <c r="M261" s="231">
        <f>'M) Police'!N261</f>
        <v>46352.259764584887</v>
      </c>
      <c r="N261" s="231" t="e">
        <f t="shared" si="18"/>
        <v>#DIV/0!</v>
      </c>
      <c r="O261" s="311" t="e">
        <f t="shared" si="13"/>
        <v>#DIV/0!</v>
      </c>
      <c r="P261" s="313"/>
    </row>
    <row r="262" spans="1:16" s="153" customFormat="1" x14ac:dyDescent="0.25">
      <c r="A262" s="150">
        <f>'B) D RI'!A263</f>
        <v>5855</v>
      </c>
      <c r="B262" s="151" t="str">
        <f>'B) D RI'!B263</f>
        <v>Dully</v>
      </c>
      <c r="C262" s="309">
        <f>'B) D RI'!S263</f>
        <v>49</v>
      </c>
      <c r="D262" s="152">
        <f>'B) D RI'!AA263</f>
        <v>634</v>
      </c>
      <c r="E262" s="307">
        <f>'D) Ecrêtage'!C262</f>
        <v>93684.152857142864</v>
      </c>
      <c r="F262" s="311">
        <f>'E) PCS'!G268</f>
        <v>2771563.8107092264</v>
      </c>
      <c r="G262" s="308">
        <f>'H) Péréquation directe'!I272</f>
        <v>1683333.8259168782</v>
      </c>
      <c r="H262" s="311" t="e">
        <f>+'I) Dépenses thématiques'!S262</f>
        <v>#DIV/0!</v>
      </c>
      <c r="I262" s="308">
        <f>'K) Plafonnement aide'!J262</f>
        <v>0</v>
      </c>
      <c r="J262" s="311">
        <f>'J) Plafonnement effort'!J262</f>
        <v>0</v>
      </c>
      <c r="K262" s="308">
        <f>'L) Plafonnement taux'!Q263</f>
        <v>0</v>
      </c>
      <c r="L262" s="306" t="e">
        <f t="shared" si="16"/>
        <v>#DIV/0!</v>
      </c>
      <c r="M262" s="231">
        <f>'M) Police'!N262</f>
        <v>166024.15508706032</v>
      </c>
      <c r="N262" s="231" t="e">
        <f t="shared" si="18"/>
        <v>#DIV/0!</v>
      </c>
      <c r="O262" s="311" t="e">
        <f t="shared" ref="O262:O313" si="19">SUM(G262:K262)</f>
        <v>#DIV/0!</v>
      </c>
      <c r="P262" s="313"/>
    </row>
    <row r="263" spans="1:16" s="153" customFormat="1" x14ac:dyDescent="0.25">
      <c r="A263" s="150">
        <f>'B) D RI'!A264</f>
        <v>5856</v>
      </c>
      <c r="B263" s="151" t="str">
        <f>'B) D RI'!B264</f>
        <v>Essertines-sur-Rolle</v>
      </c>
      <c r="C263" s="309">
        <f>'B) D RI'!S264</f>
        <v>66.5</v>
      </c>
      <c r="D263" s="152">
        <f>'B) D RI'!AA264</f>
        <v>753</v>
      </c>
      <c r="E263" s="307">
        <f>'D) Ecrêtage'!C263</f>
        <v>42220.114424522842</v>
      </c>
      <c r="F263" s="311">
        <f>'E) PCS'!G269</f>
        <v>826208.16947364621</v>
      </c>
      <c r="G263" s="308">
        <f>'H) Péréquation directe'!I273</f>
        <v>700326.34270942851</v>
      </c>
      <c r="H263" s="311" t="e">
        <f>+'I) Dépenses thématiques'!S263</f>
        <v>#DIV/0!</v>
      </c>
      <c r="I263" s="308">
        <f>'K) Plafonnement aide'!J263</f>
        <v>0</v>
      </c>
      <c r="J263" s="311">
        <f>'J) Plafonnement effort'!J263</f>
        <v>0</v>
      </c>
      <c r="K263" s="308">
        <f>'L) Plafonnement taux'!Q264</f>
        <v>0</v>
      </c>
      <c r="L263" s="306" t="e">
        <f t="shared" si="16"/>
        <v>#DIV/0!</v>
      </c>
      <c r="M263" s="231">
        <f>'M) Police'!N263</f>
        <v>116616.60057795058</v>
      </c>
      <c r="N263" s="231" t="e">
        <f t="shared" si="18"/>
        <v>#DIV/0!</v>
      </c>
      <c r="O263" s="311" t="e">
        <f t="shared" si="19"/>
        <v>#DIV/0!</v>
      </c>
      <c r="P263" s="313"/>
    </row>
    <row r="264" spans="1:16" s="153" customFormat="1" x14ac:dyDescent="0.25">
      <c r="A264" s="150">
        <f>'B) D RI'!A265</f>
        <v>5857</v>
      </c>
      <c r="B264" s="151" t="str">
        <f>'B) D RI'!B265</f>
        <v>Gilly</v>
      </c>
      <c r="C264" s="309">
        <f>'B) D RI'!S265</f>
        <v>64.5</v>
      </c>
      <c r="D264" s="152">
        <f>'B) D RI'!AA265</f>
        <v>1438</v>
      </c>
      <c r="E264" s="307">
        <f>'D) Ecrêtage'!C264</f>
        <v>88866.553953488372</v>
      </c>
      <c r="F264" s="311">
        <f>'E) PCS'!G270</f>
        <v>1611632.3691488854</v>
      </c>
      <c r="G264" s="308">
        <f>'H) Péréquation directe'!I274</f>
        <v>1394053.6998501981</v>
      </c>
      <c r="H264" s="311" t="e">
        <f>+'I) Dépenses thématiques'!S264</f>
        <v>#DIV/0!</v>
      </c>
      <c r="I264" s="308">
        <f>'K) Plafonnement aide'!J264</f>
        <v>0</v>
      </c>
      <c r="J264" s="311">
        <f>'J) Plafonnement effort'!J264</f>
        <v>0</v>
      </c>
      <c r="K264" s="308">
        <f>'L) Plafonnement taux'!Q265</f>
        <v>0</v>
      </c>
      <c r="L264" s="306" t="e">
        <f t="shared" si="16"/>
        <v>#DIV/0!</v>
      </c>
      <c r="M264" s="231">
        <f>'M) Police'!N264</f>
        <v>232315.89897159138</v>
      </c>
      <c r="N264" s="231" t="e">
        <f t="shared" si="18"/>
        <v>#DIV/0!</v>
      </c>
      <c r="O264" s="311" t="e">
        <f t="shared" si="19"/>
        <v>#DIV/0!</v>
      </c>
      <c r="P264" s="313"/>
    </row>
    <row r="265" spans="1:16" s="153" customFormat="1" x14ac:dyDescent="0.25">
      <c r="A265" s="150">
        <f>'B) D RI'!A266</f>
        <v>5858</v>
      </c>
      <c r="B265" s="151" t="str">
        <f>'B) D RI'!B266</f>
        <v>Luins</v>
      </c>
      <c r="C265" s="309">
        <f>'B) D RI'!S266</f>
        <v>58.5</v>
      </c>
      <c r="D265" s="152">
        <f>'B) D RI'!AA266</f>
        <v>630</v>
      </c>
      <c r="E265" s="307">
        <f>'D) Ecrêtage'!C265</f>
        <v>38253.397207977199</v>
      </c>
      <c r="F265" s="311">
        <f>'E) PCS'!G271</f>
        <v>620858.27233755984</v>
      </c>
      <c r="G265" s="308">
        <f>'H) Péréquation directe'!I275</f>
        <v>641046.91021968168</v>
      </c>
      <c r="H265" s="311" t="e">
        <f>+'I) Dépenses thématiques'!S265</f>
        <v>#DIV/0!</v>
      </c>
      <c r="I265" s="308">
        <f>'K) Plafonnement aide'!J265</f>
        <v>0</v>
      </c>
      <c r="J265" s="311">
        <f>'J) Plafonnement effort'!J265</f>
        <v>0</v>
      </c>
      <c r="K265" s="308">
        <f>'L) Plafonnement taux'!Q266</f>
        <v>0</v>
      </c>
      <c r="L265" s="306" t="e">
        <f t="shared" ref="L265:L314" si="20">F265+G265+H265+I265+J265+K265</f>
        <v>#DIV/0!</v>
      </c>
      <c r="M265" s="231">
        <f>'M) Police'!N265</f>
        <v>100986.34055723783</v>
      </c>
      <c r="N265" s="231" t="e">
        <f t="shared" si="18"/>
        <v>#DIV/0!</v>
      </c>
      <c r="O265" s="311" t="e">
        <f t="shared" si="19"/>
        <v>#DIV/0!</v>
      </c>
      <c r="P265" s="313"/>
    </row>
    <row r="266" spans="1:16" s="153" customFormat="1" x14ac:dyDescent="0.25">
      <c r="A266" s="150">
        <f>'B) D RI'!A267</f>
        <v>5859</v>
      </c>
      <c r="B266" s="151" t="str">
        <f>'B) D RI'!B267</f>
        <v>Mont-sur-Rolle</v>
      </c>
      <c r="C266" s="309">
        <f>'B) D RI'!S267</f>
        <v>63.5</v>
      </c>
      <c r="D266" s="152">
        <f>'B) D RI'!AA267</f>
        <v>2739</v>
      </c>
      <c r="E266" s="307">
        <f>'D) Ecrêtage'!C266</f>
        <v>160910.93779527559</v>
      </c>
      <c r="F266" s="311">
        <f>'E) PCS'!G272</f>
        <v>3203808.0781691447</v>
      </c>
      <c r="G266" s="308">
        <f>'H) Péréquation directe'!I276</f>
        <v>2294948.1342292409</v>
      </c>
      <c r="H266" s="311" t="e">
        <f>+'I) Dépenses thématiques'!S266</f>
        <v>#DIV/0!</v>
      </c>
      <c r="I266" s="308">
        <f>'K) Plafonnement aide'!J266</f>
        <v>0</v>
      </c>
      <c r="J266" s="311">
        <f>'J) Plafonnement effort'!J266</f>
        <v>0</v>
      </c>
      <c r="K266" s="308">
        <f>'L) Plafonnement taux'!Q267</f>
        <v>0</v>
      </c>
      <c r="L266" s="306" t="e">
        <f t="shared" si="20"/>
        <v>#DIV/0!</v>
      </c>
      <c r="M266" s="231">
        <f>'M) Police'!N266</f>
        <v>432748.77943259163</v>
      </c>
      <c r="N266" s="231" t="e">
        <f t="shared" si="18"/>
        <v>#DIV/0!</v>
      </c>
      <c r="O266" s="311" t="e">
        <f t="shared" si="19"/>
        <v>#DIV/0!</v>
      </c>
      <c r="P266" s="313"/>
    </row>
    <row r="267" spans="1:16" s="153" customFormat="1" x14ac:dyDescent="0.25">
      <c r="A267" s="150">
        <f>'B) D RI'!A268</f>
        <v>5860</v>
      </c>
      <c r="B267" s="151" t="str">
        <f>'B) D RI'!B268</f>
        <v>Perroy</v>
      </c>
      <c r="C267" s="309">
        <f>'B) D RI'!S268</f>
        <v>58.5</v>
      </c>
      <c r="D267" s="152">
        <f>'B) D RI'!AA268</f>
        <v>1514</v>
      </c>
      <c r="E267" s="307">
        <f>'D) Ecrêtage'!C267</f>
        <v>124242.10120973046</v>
      </c>
      <c r="F267" s="311">
        <f>'E) PCS'!G273</f>
        <v>2918615.1952244127</v>
      </c>
      <c r="G267" s="308">
        <f>'H) Péréquation directe'!I277</f>
        <v>2033006.397261607</v>
      </c>
      <c r="H267" s="311" t="e">
        <f>+'I) Dépenses thématiques'!S267</f>
        <v>#DIV/0!</v>
      </c>
      <c r="I267" s="308">
        <f>'K) Plafonnement aide'!J267</f>
        <v>0</v>
      </c>
      <c r="J267" s="311">
        <f>'J) Plafonnement effort'!J267</f>
        <v>0</v>
      </c>
      <c r="K267" s="308">
        <f>'L) Plafonnement taux'!Q268</f>
        <v>0</v>
      </c>
      <c r="L267" s="306" t="e">
        <f t="shared" si="20"/>
        <v>#DIV/0!</v>
      </c>
      <c r="M267" s="231">
        <f>'M) Police'!N267</f>
        <v>280392.04429879971</v>
      </c>
      <c r="N267" s="231" t="e">
        <f t="shared" si="18"/>
        <v>#DIV/0!</v>
      </c>
      <c r="O267" s="311" t="e">
        <f t="shared" si="19"/>
        <v>#DIV/0!</v>
      </c>
      <c r="P267" s="313"/>
    </row>
    <row r="268" spans="1:16" s="153" customFormat="1" x14ac:dyDescent="0.25">
      <c r="A268" s="150">
        <f>'B) D RI'!A269</f>
        <v>5861</v>
      </c>
      <c r="B268" s="151" t="str">
        <f>'B) D RI'!B269</f>
        <v>Rolle</v>
      </c>
      <c r="C268" s="309">
        <f>'B) D RI'!S269</f>
        <v>59.5</v>
      </c>
      <c r="D268" s="152">
        <f>'B) D RI'!AA269</f>
        <v>6291</v>
      </c>
      <c r="E268" s="307">
        <f>'D) Ecrêtage'!C268</f>
        <v>638128.58403361356</v>
      </c>
      <c r="F268" s="311">
        <f>'E) PCS'!G274</f>
        <v>16433407.352204736</v>
      </c>
      <c r="G268" s="308">
        <f>'H) Péréquation directe'!I278</f>
        <v>9410364.9261795953</v>
      </c>
      <c r="H268" s="311" t="e">
        <f>+'I) Dépenses thématiques'!S268</f>
        <v>#DIV/0!</v>
      </c>
      <c r="I268" s="308">
        <f>'K) Plafonnement aide'!J268</f>
        <v>0</v>
      </c>
      <c r="J268" s="311">
        <f>'J) Plafonnement effort'!J268</f>
        <v>0</v>
      </c>
      <c r="K268" s="308">
        <f>'L) Plafonnement taux'!Q269</f>
        <v>0</v>
      </c>
      <c r="L268" s="306" t="e">
        <f t="shared" si="20"/>
        <v>#DIV/0!</v>
      </c>
      <c r="M268" s="231">
        <f>'M) Police'!N268</f>
        <v>1307302.0236176741</v>
      </c>
      <c r="N268" s="231" t="e">
        <f t="shared" si="18"/>
        <v>#DIV/0!</v>
      </c>
      <c r="O268" s="311" t="e">
        <f t="shared" si="19"/>
        <v>#DIV/0!</v>
      </c>
      <c r="P268" s="313"/>
    </row>
    <row r="269" spans="1:16" s="153" customFormat="1" x14ac:dyDescent="0.25">
      <c r="A269" s="150">
        <f>'B) D RI'!A270</f>
        <v>5862</v>
      </c>
      <c r="B269" s="151" t="str">
        <f>'B) D RI'!B270</f>
        <v>Tartegnin</v>
      </c>
      <c r="C269" s="309">
        <f>'B) D RI'!S270</f>
        <v>79</v>
      </c>
      <c r="D269" s="152">
        <f>'B) D RI'!AA270</f>
        <v>241</v>
      </c>
      <c r="E269" s="307">
        <f>'D) Ecrêtage'!C269</f>
        <v>7891.022278481013</v>
      </c>
      <c r="F269" s="311">
        <f>'E) PCS'!G275</f>
        <v>114253.08599122451</v>
      </c>
      <c r="G269" s="308">
        <f>'H) Péréquation directe'!I279</f>
        <v>24103.448621235715</v>
      </c>
      <c r="H269" s="311" t="e">
        <f>+'I) Dépenses thématiques'!S269</f>
        <v>#DIV/0!</v>
      </c>
      <c r="I269" s="308">
        <f>'K) Plafonnement aide'!J269</f>
        <v>0</v>
      </c>
      <c r="J269" s="311">
        <f>'J) Plafonnement effort'!J269</f>
        <v>0</v>
      </c>
      <c r="K269" s="308">
        <f>'L) Plafonnement taux'!Q270</f>
        <v>0</v>
      </c>
      <c r="L269" s="306" t="e">
        <f t="shared" si="20"/>
        <v>#DIV/0!</v>
      </c>
      <c r="M269" s="231">
        <f>'M) Police'!N269</f>
        <v>23717.89179785685</v>
      </c>
      <c r="N269" s="231" t="e">
        <f t="shared" si="18"/>
        <v>#DIV/0!</v>
      </c>
      <c r="O269" s="311" t="e">
        <f t="shared" si="19"/>
        <v>#DIV/0!</v>
      </c>
      <c r="P269" s="313"/>
    </row>
    <row r="270" spans="1:16" s="153" customFormat="1" x14ac:dyDescent="0.25">
      <c r="A270" s="150">
        <f>'B) D RI'!A271</f>
        <v>5863</v>
      </c>
      <c r="B270" s="151" t="str">
        <f>'B) D RI'!B271</f>
        <v>Vinzel</v>
      </c>
      <c r="C270" s="309">
        <f>'B) D RI'!S271</f>
        <v>67</v>
      </c>
      <c r="D270" s="152">
        <f>'B) D RI'!AA271</f>
        <v>369</v>
      </c>
      <c r="E270" s="307">
        <f>'D) Ecrêtage'!C270</f>
        <v>21424.128507462683</v>
      </c>
      <c r="F270" s="311">
        <f>'E) PCS'!G276</f>
        <v>413517.19348884263</v>
      </c>
      <c r="G270" s="308">
        <f>'H) Péréquation directe'!I280</f>
        <v>357007.22192223789</v>
      </c>
      <c r="H270" s="311" t="e">
        <f>+'I) Dépenses thématiques'!S270</f>
        <v>#DIV/0!</v>
      </c>
      <c r="I270" s="308">
        <f>'K) Plafonnement aide'!J270</f>
        <v>0</v>
      </c>
      <c r="J270" s="311">
        <f>'J) Plafonnement effort'!J270</f>
        <v>0</v>
      </c>
      <c r="K270" s="308">
        <f>'L) Plafonnement taux'!Q271</f>
        <v>0</v>
      </c>
      <c r="L270" s="306" t="e">
        <f t="shared" si="20"/>
        <v>#DIV/0!</v>
      </c>
      <c r="M270" s="231">
        <f>'M) Police'!N270</f>
        <v>58003.945876129052</v>
      </c>
      <c r="N270" s="231" t="e">
        <f t="shared" si="18"/>
        <v>#DIV/0!</v>
      </c>
      <c r="O270" s="311" t="e">
        <f t="shared" si="19"/>
        <v>#DIV/0!</v>
      </c>
      <c r="P270" s="313"/>
    </row>
    <row r="271" spans="1:16" s="153" customFormat="1" x14ac:dyDescent="0.25">
      <c r="A271" s="150">
        <f>'B) D RI'!A272</f>
        <v>5871</v>
      </c>
      <c r="B271" s="151" t="str">
        <f>'B) D RI'!B272</f>
        <v>L'Abbaye</v>
      </c>
      <c r="C271" s="309">
        <f>'B) D RI'!S272</f>
        <v>76</v>
      </c>
      <c r="D271" s="152">
        <f>'B) D RI'!AA272</f>
        <v>1521</v>
      </c>
      <c r="E271" s="307">
        <f>'D) Ecrêtage'!C271</f>
        <v>53269.472631578945</v>
      </c>
      <c r="F271" s="311">
        <f>'E) PCS'!G277</f>
        <v>1135505.336864823</v>
      </c>
      <c r="G271" s="308">
        <f>'H) Péréquation directe'!I281</f>
        <v>224757.53780315933</v>
      </c>
      <c r="H271" s="311" t="e">
        <f>+'I) Dépenses thématiques'!S271</f>
        <v>#DIV/0!</v>
      </c>
      <c r="I271" s="308">
        <f>'K) Plafonnement aide'!J271</f>
        <v>0</v>
      </c>
      <c r="J271" s="311">
        <f>'J) Plafonnement effort'!J271</f>
        <v>0</v>
      </c>
      <c r="K271" s="308">
        <f>'L) Plafonnement taux'!Q272</f>
        <v>0</v>
      </c>
      <c r="L271" s="306" t="e">
        <f t="shared" si="20"/>
        <v>#DIV/0!</v>
      </c>
      <c r="M271" s="231">
        <f>'M) Police'!N271</f>
        <v>161376.79008509946</v>
      </c>
      <c r="N271" s="231" t="e">
        <f t="shared" si="18"/>
        <v>#DIV/0!</v>
      </c>
      <c r="O271" s="311" t="e">
        <f t="shared" si="19"/>
        <v>#DIV/0!</v>
      </c>
      <c r="P271" s="313"/>
    </row>
    <row r="272" spans="1:16" s="153" customFormat="1" x14ac:dyDescent="0.25">
      <c r="A272" s="150">
        <f>'B) D RI'!A273</f>
        <v>5872</v>
      </c>
      <c r="B272" s="151" t="str">
        <f>'B) D RI'!B273</f>
        <v>Le Chenit</v>
      </c>
      <c r="C272" s="309">
        <f>'B) D RI'!S273</f>
        <v>58.5</v>
      </c>
      <c r="D272" s="152">
        <f>'B) D RI'!AA273</f>
        <v>4569</v>
      </c>
      <c r="E272" s="307">
        <f>'D) Ecrêtage'!C272</f>
        <v>228048.33794871799</v>
      </c>
      <c r="F272" s="311">
        <f>'E) PCS'!G278</f>
        <v>5724128.0928364163</v>
      </c>
      <c r="G272" s="308">
        <f>'H) Péréquation directe'!I282</f>
        <v>2683876.4730748571</v>
      </c>
      <c r="H272" s="311" t="e">
        <f>+'I) Dépenses thématiques'!S272</f>
        <v>#DIV/0!</v>
      </c>
      <c r="I272" s="308">
        <f>'K) Plafonnement aide'!J272</f>
        <v>0</v>
      </c>
      <c r="J272" s="311">
        <f>'J) Plafonnement effort'!J272</f>
        <v>0</v>
      </c>
      <c r="K272" s="308">
        <f>'L) Plafonnement taux'!Q273</f>
        <v>0</v>
      </c>
      <c r="L272" s="306" t="e">
        <f t="shared" si="20"/>
        <v>#DIV/0!</v>
      </c>
      <c r="M272" s="231">
        <f>'M) Police'!N272</f>
        <v>674771.92180469562</v>
      </c>
      <c r="N272" s="231" t="e">
        <f t="shared" si="18"/>
        <v>#DIV/0!</v>
      </c>
      <c r="O272" s="311" t="e">
        <f t="shared" si="19"/>
        <v>#DIV/0!</v>
      </c>
      <c r="P272" s="313"/>
    </row>
    <row r="273" spans="1:16" s="153" customFormat="1" x14ac:dyDescent="0.25">
      <c r="A273" s="150">
        <f>'B) D RI'!A274</f>
        <v>5873</v>
      </c>
      <c r="B273" s="151" t="str">
        <f>'B) D RI'!B274</f>
        <v>Le Lieu</v>
      </c>
      <c r="C273" s="309">
        <f>'B) D RI'!S274</f>
        <v>70</v>
      </c>
      <c r="D273" s="152">
        <f>'B) D RI'!AA274</f>
        <v>881</v>
      </c>
      <c r="E273" s="307">
        <f>'D) Ecrêtage'!C273</f>
        <v>31475.129392857143</v>
      </c>
      <c r="F273" s="311">
        <f>'E) PCS'!G279</f>
        <v>756720.34313947614</v>
      </c>
      <c r="G273" s="308">
        <f>'H) Péréquation directe'!I283</f>
        <v>263104.6376616981</v>
      </c>
      <c r="H273" s="311" t="e">
        <f>+'I) Dépenses thématiques'!S273</f>
        <v>#DIV/0!</v>
      </c>
      <c r="I273" s="308">
        <f>'K) Plafonnement aide'!J273</f>
        <v>0</v>
      </c>
      <c r="J273" s="311">
        <f>'J) Plafonnement effort'!J273</f>
        <v>0</v>
      </c>
      <c r="K273" s="308">
        <f>'L) Plafonnement taux'!Q274</f>
        <v>0</v>
      </c>
      <c r="L273" s="306" t="e">
        <f t="shared" si="20"/>
        <v>#DIV/0!</v>
      </c>
      <c r="M273" s="231">
        <f>'M) Police'!N273</f>
        <v>95428.347271747902</v>
      </c>
      <c r="N273" s="231" t="e">
        <f t="shared" si="18"/>
        <v>#DIV/0!</v>
      </c>
      <c r="O273" s="311" t="e">
        <f t="shared" si="19"/>
        <v>#DIV/0!</v>
      </c>
      <c r="P273" s="313"/>
    </row>
    <row r="274" spans="1:16" s="153" customFormat="1" x14ac:dyDescent="0.25">
      <c r="A274" s="150">
        <f>'B) D RI'!A275</f>
        <v>5881</v>
      </c>
      <c r="B274" s="151" t="str">
        <f>'B) D RI'!B275</f>
        <v>Blonay</v>
      </c>
      <c r="C274" s="309">
        <f>'B) D RI'!S275</f>
        <v>68.5</v>
      </c>
      <c r="D274" s="152">
        <f>'B) D RI'!AA275</f>
        <v>6291</v>
      </c>
      <c r="E274" s="307">
        <f>'D) Ecrêtage'!C274</f>
        <v>371401.9382481752</v>
      </c>
      <c r="F274" s="311">
        <f>'E) PCS'!G280</f>
        <v>7920454.8783758767</v>
      </c>
      <c r="G274" s="308">
        <f>'H) Péréquation directe'!I284</f>
        <v>4392594.8326849993</v>
      </c>
      <c r="H274" s="311" t="e">
        <f>+'I) Dépenses thématiques'!S274</f>
        <v>#DIV/0!</v>
      </c>
      <c r="I274" s="308">
        <f>'K) Plafonnement aide'!J274</f>
        <v>0</v>
      </c>
      <c r="J274" s="311">
        <f>'J) Plafonnement effort'!J274</f>
        <v>0</v>
      </c>
      <c r="K274" s="308">
        <f>'L) Plafonnement taux'!Q275</f>
        <v>0</v>
      </c>
      <c r="L274" s="306" t="e">
        <f t="shared" si="20"/>
        <v>#DIV/0!</v>
      </c>
      <c r="M274" s="231">
        <f>'M) Police'!N274</f>
        <v>433374.77453003993</v>
      </c>
      <c r="N274" s="231" t="e">
        <f t="shared" si="18"/>
        <v>#DIV/0!</v>
      </c>
      <c r="O274" s="311" t="e">
        <f t="shared" si="19"/>
        <v>#DIV/0!</v>
      </c>
      <c r="P274" s="313"/>
    </row>
    <row r="275" spans="1:16" s="153" customFormat="1" x14ac:dyDescent="0.25">
      <c r="A275" s="150">
        <f>'B) D RI'!A276</f>
        <v>5882</v>
      </c>
      <c r="B275" s="151" t="str">
        <f>'B) D RI'!B276</f>
        <v>Chardonne</v>
      </c>
      <c r="C275" s="309">
        <f>'B) D RI'!S276</f>
        <v>68</v>
      </c>
      <c r="D275" s="152">
        <f>'B) D RI'!AA276</f>
        <v>3078</v>
      </c>
      <c r="E275" s="307">
        <f>'D) Ecrêtage'!C275</f>
        <v>186952.68588235296</v>
      </c>
      <c r="F275" s="311">
        <f>'E) PCS'!G281</f>
        <v>3584228.6265074001</v>
      </c>
      <c r="G275" s="308">
        <f>'H) Péréquation directe'!I285</f>
        <v>2654768.3596951948</v>
      </c>
      <c r="H275" s="311" t="e">
        <f>+'I) Dépenses thématiques'!S275</f>
        <v>#DIV/0!</v>
      </c>
      <c r="I275" s="308">
        <f>'K) Plafonnement aide'!J275</f>
        <v>0</v>
      </c>
      <c r="J275" s="311">
        <f>'J) Plafonnement effort'!J275</f>
        <v>0</v>
      </c>
      <c r="K275" s="308">
        <f>'L) Plafonnement taux'!Q276</f>
        <v>0</v>
      </c>
      <c r="L275" s="306" t="e">
        <f t="shared" si="20"/>
        <v>#DIV/0!</v>
      </c>
      <c r="M275" s="231">
        <f>'M) Police'!N275</f>
        <v>218147.96787062316</v>
      </c>
      <c r="N275" s="231" t="e">
        <f t="shared" si="18"/>
        <v>#DIV/0!</v>
      </c>
      <c r="O275" s="311" t="e">
        <f t="shared" si="19"/>
        <v>#DIV/0!</v>
      </c>
      <c r="P275" s="313"/>
    </row>
    <row r="276" spans="1:16" s="153" customFormat="1" x14ac:dyDescent="0.25">
      <c r="A276" s="150">
        <f>'B) D RI'!A277</f>
        <v>5883</v>
      </c>
      <c r="B276" s="151" t="str">
        <f>'B) D RI'!B277</f>
        <v>Corseaux</v>
      </c>
      <c r="C276" s="309">
        <f>'B) D RI'!S277</f>
        <v>67.5</v>
      </c>
      <c r="D276" s="152">
        <f>'B) D RI'!AA277</f>
        <v>2330</v>
      </c>
      <c r="E276" s="307">
        <f>'D) Ecrêtage'!C276</f>
        <v>193095.30118518518</v>
      </c>
      <c r="F276" s="311">
        <f>'E) PCS'!G282</f>
        <v>5540959.1406979207</v>
      </c>
      <c r="G276" s="308">
        <f>'H) Péréquation directe'!I286</f>
        <v>3043275.434132325</v>
      </c>
      <c r="H276" s="311" t="e">
        <f>+'I) Dépenses thématiques'!S276</f>
        <v>#DIV/0!</v>
      </c>
      <c r="I276" s="308">
        <f>'K) Plafonnement aide'!J276</f>
        <v>0</v>
      </c>
      <c r="J276" s="311">
        <f>'J) Plafonnement effort'!J276</f>
        <v>0</v>
      </c>
      <c r="K276" s="308">
        <f>'L) Plafonnement taux'!Q277</f>
        <v>0</v>
      </c>
      <c r="L276" s="306" t="e">
        <f t="shared" si="20"/>
        <v>#DIV/0!</v>
      </c>
      <c r="M276" s="231">
        <f>'M) Police'!N276</f>
        <v>225315.5516868144</v>
      </c>
      <c r="N276" s="231" t="e">
        <f t="shared" si="18"/>
        <v>#DIV/0!</v>
      </c>
      <c r="O276" s="311" t="e">
        <f t="shared" si="19"/>
        <v>#DIV/0!</v>
      </c>
      <c r="P276" s="313"/>
    </row>
    <row r="277" spans="1:16" s="153" customFormat="1" x14ac:dyDescent="0.25">
      <c r="A277" s="150">
        <f>'B) D RI'!A278</f>
        <v>5884</v>
      </c>
      <c r="B277" s="151" t="str">
        <f>'B) D RI'!B278</f>
        <v>Corsier-sur-Vevey</v>
      </c>
      <c r="C277" s="309">
        <f>'B) D RI'!S278</f>
        <v>64.5</v>
      </c>
      <c r="D277" s="152">
        <f>'B) D RI'!AA278</f>
        <v>3390</v>
      </c>
      <c r="E277" s="307">
        <f>'D) Ecrêtage'!C277</f>
        <v>148896.79012919901</v>
      </c>
      <c r="F277" s="311">
        <f>'E) PCS'!G283</f>
        <v>2372770.6700750976</v>
      </c>
      <c r="G277" s="308">
        <f>'H) Péréquation directe'!I287</f>
        <v>1529318.4367840965</v>
      </c>
      <c r="H277" s="311" t="e">
        <f>+'I) Dépenses thématiques'!S277</f>
        <v>#DIV/0!</v>
      </c>
      <c r="I277" s="308">
        <f>'K) Plafonnement aide'!J277</f>
        <v>0</v>
      </c>
      <c r="J277" s="311">
        <f>'J) Plafonnement effort'!J277</f>
        <v>0</v>
      </c>
      <c r="K277" s="308">
        <f>'L) Plafonnement taux'!Q278</f>
        <v>0</v>
      </c>
      <c r="L277" s="306" t="e">
        <f t="shared" si="20"/>
        <v>#DIV/0!</v>
      </c>
      <c r="M277" s="231">
        <f>'M) Police'!N277</f>
        <v>173741.99271779202</v>
      </c>
      <c r="N277" s="231" t="e">
        <f t="shared" si="18"/>
        <v>#DIV/0!</v>
      </c>
      <c r="O277" s="311" t="e">
        <f t="shared" si="19"/>
        <v>#DIV/0!</v>
      </c>
      <c r="P277" s="313"/>
    </row>
    <row r="278" spans="1:16" s="153" customFormat="1" x14ac:dyDescent="0.25">
      <c r="A278" s="150">
        <f>'B) D RI'!A279</f>
        <v>5885</v>
      </c>
      <c r="B278" s="151" t="str">
        <f>'B) D RI'!B279</f>
        <v>Jongny</v>
      </c>
      <c r="C278" s="309">
        <f>'B) D RI'!S279</f>
        <v>69.5</v>
      </c>
      <c r="D278" s="152">
        <f>'B) D RI'!AA279</f>
        <v>1805</v>
      </c>
      <c r="E278" s="307">
        <f>'D) Ecrêtage'!C278</f>
        <v>97076.940527577928</v>
      </c>
      <c r="F278" s="311">
        <f>'E) PCS'!G284</f>
        <v>1899391.0914001127</v>
      </c>
      <c r="G278" s="308">
        <f>'H) Péréquation directe'!I288</f>
        <v>1420319.2805729846</v>
      </c>
      <c r="H278" s="311" t="e">
        <f>+'I) Dépenses thématiques'!S278</f>
        <v>#DIV/0!</v>
      </c>
      <c r="I278" s="308">
        <f>'K) Plafonnement aide'!J278</f>
        <v>0</v>
      </c>
      <c r="J278" s="311">
        <f>'J) Plafonnement effort'!J278</f>
        <v>0</v>
      </c>
      <c r="K278" s="308">
        <f>'L) Plafonnement taux'!Q279</f>
        <v>0</v>
      </c>
      <c r="L278" s="306" t="e">
        <f t="shared" si="20"/>
        <v>#DIV/0!</v>
      </c>
      <c r="M278" s="231">
        <f>'M) Police'!N278</f>
        <v>113275.38410715842</v>
      </c>
      <c r="N278" s="231" t="e">
        <f t="shared" si="18"/>
        <v>#DIV/0!</v>
      </c>
      <c r="O278" s="311" t="e">
        <f t="shared" si="19"/>
        <v>#DIV/0!</v>
      </c>
      <c r="P278" s="313"/>
    </row>
    <row r="279" spans="1:16" s="153" customFormat="1" x14ac:dyDescent="0.25">
      <c r="A279" s="150">
        <f>'B) D RI'!A280</f>
        <v>5886</v>
      </c>
      <c r="B279" s="151" t="str">
        <f>'B) D RI'!B280</f>
        <v>Montreux</v>
      </c>
      <c r="C279" s="309">
        <f>'B) D RI'!S280</f>
        <v>65</v>
      </c>
      <c r="D279" s="152">
        <f>'B) D RI'!AA280</f>
        <v>26012</v>
      </c>
      <c r="E279" s="307">
        <f>'D) Ecrêtage'!C279</f>
        <v>1223405.0430769229</v>
      </c>
      <c r="F279" s="311">
        <f>'E) PCS'!G285</f>
        <v>30450241.584282145</v>
      </c>
      <c r="G279" s="308">
        <f>'H) Péréquation directe'!I289</f>
        <v>1108589.5463962182</v>
      </c>
      <c r="H279" s="311" t="e">
        <f>+'I) Dépenses thématiques'!S279</f>
        <v>#DIV/0!</v>
      </c>
      <c r="I279" s="308">
        <f>'K) Plafonnement aide'!J279</f>
        <v>0</v>
      </c>
      <c r="J279" s="311">
        <f>'J) Plafonnement effort'!J279</f>
        <v>0</v>
      </c>
      <c r="K279" s="308">
        <f>'L) Plafonnement taux'!Q280</f>
        <v>0</v>
      </c>
      <c r="L279" s="306" t="e">
        <f t="shared" si="20"/>
        <v>#DIV/0!</v>
      </c>
      <c r="M279" s="231">
        <f>'M) Police'!N279</f>
        <v>1427544.7435820703</v>
      </c>
      <c r="N279" s="231" t="e">
        <f t="shared" si="18"/>
        <v>#DIV/0!</v>
      </c>
      <c r="O279" s="311" t="e">
        <f t="shared" si="19"/>
        <v>#DIV/0!</v>
      </c>
      <c r="P279" s="313"/>
    </row>
    <row r="280" spans="1:16" s="153" customFormat="1" x14ac:dyDescent="0.25">
      <c r="A280" s="150">
        <f>'B) D RI'!A281</f>
        <v>5888</v>
      </c>
      <c r="B280" s="151" t="str">
        <f>'B) D RI'!B281</f>
        <v>Saint-Légier-La Chiésaz</v>
      </c>
      <c r="C280" s="309">
        <f>'B) D RI'!S281</f>
        <v>68.5</v>
      </c>
      <c r="D280" s="152">
        <f>'B) D RI'!AA281</f>
        <v>5634</v>
      </c>
      <c r="E280" s="307">
        <f>'D) Ecrêtage'!C280</f>
        <v>334017.18953771284</v>
      </c>
      <c r="F280" s="311">
        <f>'E) PCS'!G286</f>
        <v>6350998.8288915223</v>
      </c>
      <c r="G280" s="308">
        <f>'H) Péréquation directe'!I290</f>
        <v>4082704.5828846833</v>
      </c>
      <c r="H280" s="311" t="e">
        <f>+'I) Dépenses thématiques'!S280</f>
        <v>#DIV/0!</v>
      </c>
      <c r="I280" s="308">
        <f>'K) Plafonnement aide'!J280</f>
        <v>0</v>
      </c>
      <c r="J280" s="311">
        <f>'J) Plafonnement effort'!J280</f>
        <v>0</v>
      </c>
      <c r="K280" s="308">
        <f>'L) Plafonnement taux'!Q281</f>
        <v>0</v>
      </c>
      <c r="L280" s="306" t="e">
        <f t="shared" si="20"/>
        <v>#DIV/0!</v>
      </c>
      <c r="M280" s="231">
        <f>'M) Police'!N280</f>
        <v>389751.93529640965</v>
      </c>
      <c r="N280" s="231" t="e">
        <f t="shared" si="18"/>
        <v>#DIV/0!</v>
      </c>
      <c r="O280" s="311" t="e">
        <f t="shared" si="19"/>
        <v>#DIV/0!</v>
      </c>
      <c r="P280" s="313"/>
    </row>
    <row r="281" spans="1:16" s="153" customFormat="1" x14ac:dyDescent="0.25">
      <c r="A281" s="150">
        <f>'B) D RI'!A282</f>
        <v>5889</v>
      </c>
      <c r="B281" s="151" t="str">
        <f>'B) D RI'!B282</f>
        <v>La Tour-de-Peilz</v>
      </c>
      <c r="C281" s="309">
        <f>'B) D RI'!S282</f>
        <v>64</v>
      </c>
      <c r="D281" s="152">
        <f>'B) D RI'!AA282</f>
        <v>12222</v>
      </c>
      <c r="E281" s="307">
        <f>'D) Ecrêtage'!C281</f>
        <v>740535.59942708339</v>
      </c>
      <c r="F281" s="311">
        <f>'E) PCS'!G287</f>
        <v>13114902.666918527</v>
      </c>
      <c r="G281" s="308">
        <f>'H) Péréquation directe'!I291</f>
        <v>6948335.2188381432</v>
      </c>
      <c r="H281" s="311" t="e">
        <f>+'I) Dépenses thématiques'!S281</f>
        <v>#DIV/0!</v>
      </c>
      <c r="I281" s="308">
        <f>'K) Plafonnement aide'!J281</f>
        <v>0</v>
      </c>
      <c r="J281" s="311">
        <f>'J) Plafonnement effort'!J281</f>
        <v>0</v>
      </c>
      <c r="K281" s="308">
        <f>'L) Plafonnement taux'!Q282</f>
        <v>0</v>
      </c>
      <c r="L281" s="306" t="e">
        <f t="shared" si="20"/>
        <v>#DIV/0!</v>
      </c>
      <c r="M281" s="231">
        <f>'M) Police'!N281</f>
        <v>864102.78294975229</v>
      </c>
      <c r="N281" s="231" t="e">
        <f t="shared" si="18"/>
        <v>#DIV/0!</v>
      </c>
      <c r="O281" s="311" t="e">
        <f t="shared" si="19"/>
        <v>#DIV/0!</v>
      </c>
      <c r="P281" s="313"/>
    </row>
    <row r="282" spans="1:16" s="153" customFormat="1" x14ac:dyDescent="0.25">
      <c r="A282" s="150">
        <f>'B) D RI'!A283</f>
        <v>5890</v>
      </c>
      <c r="B282" s="151" t="str">
        <f>'B) D RI'!B283</f>
        <v>Vevey</v>
      </c>
      <c r="C282" s="309">
        <f>'B) D RI'!S283</f>
        <v>74.5</v>
      </c>
      <c r="D282" s="152">
        <f>'B) D RI'!AA283</f>
        <v>19721</v>
      </c>
      <c r="E282" s="307">
        <f>'D) Ecrêtage'!C282</f>
        <v>969776.79771812086</v>
      </c>
      <c r="F282" s="311">
        <f>'E) PCS'!G288</f>
        <v>15389742.494575467</v>
      </c>
      <c r="G282" s="308">
        <f>'H) Péréquation directe'!I292</f>
        <v>3541427.3159107063</v>
      </c>
      <c r="H282" s="311" t="e">
        <f>+'I) Dépenses thématiques'!S282</f>
        <v>#DIV/0!</v>
      </c>
      <c r="I282" s="308">
        <f>'K) Plafonnement aide'!J282</f>
        <v>0</v>
      </c>
      <c r="J282" s="311">
        <f>'J) Plafonnement effort'!J282</f>
        <v>0</v>
      </c>
      <c r="K282" s="308">
        <f>'L) Plafonnement taux'!Q283</f>
        <v>0</v>
      </c>
      <c r="L282" s="306" t="e">
        <f t="shared" si="20"/>
        <v>#DIV/0!</v>
      </c>
      <c r="M282" s="231">
        <f>'M) Police'!N282</f>
        <v>1131595.6051223427</v>
      </c>
      <c r="N282" s="231" t="e">
        <f t="shared" si="18"/>
        <v>#DIV/0!</v>
      </c>
      <c r="O282" s="311" t="e">
        <f t="shared" si="19"/>
        <v>#DIV/0!</v>
      </c>
      <c r="P282" s="313"/>
    </row>
    <row r="283" spans="1:16" s="153" customFormat="1" x14ac:dyDescent="0.25">
      <c r="A283" s="150">
        <f>'B) D RI'!A284</f>
        <v>5891</v>
      </c>
      <c r="B283" s="151" t="str">
        <f>'B) D RI'!B284</f>
        <v>Veytaux</v>
      </c>
      <c r="C283" s="309">
        <f>'B) D RI'!S284</f>
        <v>69.5</v>
      </c>
      <c r="D283" s="152">
        <f>'B) D RI'!AA284</f>
        <v>952</v>
      </c>
      <c r="E283" s="307">
        <f>'D) Ecrêtage'!C283</f>
        <v>39123.353381294961</v>
      </c>
      <c r="F283" s="311">
        <f>'E) PCS'!G289</f>
        <v>607949.95784717321</v>
      </c>
      <c r="G283" s="308">
        <f>'H) Péréquation directe'!I293</f>
        <v>482529.45026775729</v>
      </c>
      <c r="H283" s="311" t="e">
        <f>+'I) Dépenses thématiques'!S283</f>
        <v>#DIV/0!</v>
      </c>
      <c r="I283" s="308">
        <f>'K) Plafonnement aide'!J283</f>
        <v>0</v>
      </c>
      <c r="J283" s="311">
        <f>'J) Plafonnement effort'!J283</f>
        <v>0</v>
      </c>
      <c r="K283" s="308">
        <f>'L) Plafonnement taux'!Q284</f>
        <v>0</v>
      </c>
      <c r="L283" s="306" t="e">
        <f t="shared" si="20"/>
        <v>#DIV/0!</v>
      </c>
      <c r="M283" s="231">
        <f>'M) Police'!N283</f>
        <v>45651.550798176489</v>
      </c>
      <c r="N283" s="231" t="e">
        <f t="shared" si="18"/>
        <v>#DIV/0!</v>
      </c>
      <c r="O283" s="311" t="e">
        <f t="shared" si="19"/>
        <v>#DIV/0!</v>
      </c>
      <c r="P283" s="313"/>
    </row>
    <row r="284" spans="1:16" s="153" customFormat="1" x14ac:dyDescent="0.25">
      <c r="A284" s="150">
        <f>'B) D RI'!A285</f>
        <v>5902</v>
      </c>
      <c r="B284" s="151" t="str">
        <f>'B) D RI'!B285</f>
        <v>Belmont-sur-Yverdon</v>
      </c>
      <c r="C284" s="309">
        <f>'B) D RI'!S285</f>
        <v>70</v>
      </c>
      <c r="D284" s="152">
        <f>'B) D RI'!AA285</f>
        <v>415</v>
      </c>
      <c r="E284" s="307">
        <f>'D) Ecrêtage'!C284</f>
        <v>12109.15</v>
      </c>
      <c r="F284" s="311">
        <f>'E) PCS'!G290</f>
        <v>179039.21724530132</v>
      </c>
      <c r="G284" s="308">
        <f>'H) Péréquation directe'!I294</f>
        <v>19595.110027725488</v>
      </c>
      <c r="H284" s="311" t="e">
        <f>+'I) Dépenses thématiques'!S284</f>
        <v>#DIV/0!</v>
      </c>
      <c r="I284" s="308">
        <f>'K) Plafonnement aide'!J284</f>
        <v>0</v>
      </c>
      <c r="J284" s="311">
        <f>'J) Plafonnement effort'!J284</f>
        <v>0</v>
      </c>
      <c r="K284" s="308">
        <f>'L) Plafonnement taux'!Q285</f>
        <v>0</v>
      </c>
      <c r="L284" s="306" t="e">
        <f t="shared" si="20"/>
        <v>#DIV/0!</v>
      </c>
      <c r="M284" s="231">
        <f>'M) Police'!N284</f>
        <v>36639.818737928515</v>
      </c>
      <c r="N284" s="231" t="e">
        <f t="shared" si="18"/>
        <v>#DIV/0!</v>
      </c>
      <c r="O284" s="311" t="e">
        <f t="shared" si="19"/>
        <v>#DIV/0!</v>
      </c>
      <c r="P284" s="313"/>
    </row>
    <row r="285" spans="1:16" s="153" customFormat="1" x14ac:dyDescent="0.25">
      <c r="A285" s="150">
        <f>'B) D RI'!A286</f>
        <v>5903</v>
      </c>
      <c r="B285" s="151" t="str">
        <f>'B) D RI'!B286</f>
        <v>Bioley-Magnoux</v>
      </c>
      <c r="C285" s="309">
        <f>'B) D RI'!S286</f>
        <v>72</v>
      </c>
      <c r="D285" s="152">
        <f>'B) D RI'!AA286</f>
        <v>234</v>
      </c>
      <c r="E285" s="307">
        <f>'D) Ecrêtage'!C285</f>
        <v>6059.1993849206356</v>
      </c>
      <c r="F285" s="311">
        <f>'E) PCS'!G291</f>
        <v>84642.212804691662</v>
      </c>
      <c r="G285" s="308">
        <f>'H) Péréquation directe'!I295</f>
        <v>-24449.115831502597</v>
      </c>
      <c r="H285" s="311" t="e">
        <f>+'I) Dépenses thématiques'!S285</f>
        <v>#DIV/0!</v>
      </c>
      <c r="I285" s="308">
        <f>'K) Plafonnement aide'!J285</f>
        <v>0</v>
      </c>
      <c r="J285" s="311">
        <f>'J) Plafonnement effort'!J285</f>
        <v>0</v>
      </c>
      <c r="K285" s="308">
        <f>'L) Plafonnement taux'!Q286</f>
        <v>0</v>
      </c>
      <c r="L285" s="306" t="e">
        <f t="shared" si="20"/>
        <v>#DIV/0!</v>
      </c>
      <c r="M285" s="231">
        <f>'M) Police'!N285</f>
        <v>18113.237014563078</v>
      </c>
      <c r="N285" s="231" t="e">
        <f t="shared" si="18"/>
        <v>#DIV/0!</v>
      </c>
      <c r="O285" s="311" t="e">
        <f t="shared" si="19"/>
        <v>#DIV/0!</v>
      </c>
      <c r="P285" s="313"/>
    </row>
    <row r="286" spans="1:16" s="153" customFormat="1" x14ac:dyDescent="0.25">
      <c r="A286" s="150">
        <f>'B) D RI'!A287</f>
        <v>5904</v>
      </c>
      <c r="B286" s="151" t="str">
        <f>'B) D RI'!B287</f>
        <v>Chamblon</v>
      </c>
      <c r="C286" s="309">
        <f>'B) D RI'!S287</f>
        <v>66</v>
      </c>
      <c r="D286" s="152">
        <f>'B) D RI'!AA287</f>
        <v>561</v>
      </c>
      <c r="E286" s="307">
        <f>'D) Ecrêtage'!C286</f>
        <v>22178.215151515149</v>
      </c>
      <c r="F286" s="311">
        <f>'E) PCS'!G292</f>
        <v>303481.87818058906</v>
      </c>
      <c r="G286" s="308">
        <f>'H) Péréquation directe'!I296</f>
        <v>260387.87482162061</v>
      </c>
      <c r="H286" s="311" t="e">
        <f>+'I) Dépenses thématiques'!S286</f>
        <v>#DIV/0!</v>
      </c>
      <c r="I286" s="308">
        <f>'K) Plafonnement aide'!J286</f>
        <v>0</v>
      </c>
      <c r="J286" s="311">
        <f>'J) Plafonnement effort'!J286</f>
        <v>0</v>
      </c>
      <c r="K286" s="308">
        <f>'L) Plafonnement taux'!Q287</f>
        <v>0</v>
      </c>
      <c r="L286" s="306" t="e">
        <f t="shared" si="20"/>
        <v>#DIV/0!</v>
      </c>
      <c r="M286" s="231">
        <f>'M) Police'!N286</f>
        <v>25878.914461518205</v>
      </c>
      <c r="N286" s="231" t="e">
        <f t="shared" si="18"/>
        <v>#DIV/0!</v>
      </c>
      <c r="O286" s="311" t="e">
        <f t="shared" si="19"/>
        <v>#DIV/0!</v>
      </c>
      <c r="P286" s="313"/>
    </row>
    <row r="287" spans="1:16" s="153" customFormat="1" x14ac:dyDescent="0.25">
      <c r="A287" s="150">
        <f>'B) D RI'!A288</f>
        <v>5905</v>
      </c>
      <c r="B287" s="151" t="str">
        <f>'B) D RI'!B288</f>
        <v>Champvent</v>
      </c>
      <c r="C287" s="309">
        <f>'B) D RI'!S288</f>
        <v>70</v>
      </c>
      <c r="D287" s="152">
        <f>'B) D RI'!AA288</f>
        <v>712</v>
      </c>
      <c r="E287" s="307">
        <f>'D) Ecrêtage'!C287</f>
        <v>23236.229714285717</v>
      </c>
      <c r="F287" s="311">
        <f>'E) PCS'!G293</f>
        <v>458083.24590320583</v>
      </c>
      <c r="G287" s="308">
        <f>'H) Péréquation directe'!I297</f>
        <v>128116.22521002585</v>
      </c>
      <c r="H287" s="311" t="e">
        <f>+'I) Dépenses thématiques'!S287</f>
        <v>#DIV/0!</v>
      </c>
      <c r="I287" s="308">
        <f>'K) Plafonnement aide'!J287</f>
        <v>0</v>
      </c>
      <c r="J287" s="311">
        <f>'J) Plafonnement effort'!J287</f>
        <v>0</v>
      </c>
      <c r="K287" s="308">
        <f>'L) Plafonnement taux'!Q288</f>
        <v>0</v>
      </c>
      <c r="L287" s="306" t="e">
        <f t="shared" si="20"/>
        <v>#DIV/0!</v>
      </c>
      <c r="M287" s="231">
        <f>'M) Police'!N287</f>
        <v>70541.785067867866</v>
      </c>
      <c r="N287" s="231" t="e">
        <f t="shared" si="18"/>
        <v>#DIV/0!</v>
      </c>
      <c r="O287" s="311" t="e">
        <f t="shared" si="19"/>
        <v>#DIV/0!</v>
      </c>
      <c r="P287" s="313"/>
    </row>
    <row r="288" spans="1:16" s="153" customFormat="1" x14ac:dyDescent="0.25">
      <c r="A288" s="150">
        <f>'B) D RI'!A289</f>
        <v>5907</v>
      </c>
      <c r="B288" s="151" t="str">
        <f>'B) D RI'!B289</f>
        <v>Chavannes-le-Chêne</v>
      </c>
      <c r="C288" s="309">
        <f>'B) D RI'!S289</f>
        <v>75</v>
      </c>
      <c r="D288" s="152">
        <f>'B) D RI'!AA289</f>
        <v>325</v>
      </c>
      <c r="E288" s="307">
        <f>'D) Ecrêtage'!C288</f>
        <v>7818.3477333333331</v>
      </c>
      <c r="F288" s="311">
        <f>'E) PCS'!G294</f>
        <v>108042.9507978539</v>
      </c>
      <c r="G288" s="308">
        <f>'H) Péréquation directe'!I298</f>
        <v>-71526.829392360087</v>
      </c>
      <c r="H288" s="311" t="e">
        <f>+'I) Dépenses thématiques'!S288</f>
        <v>#DIV/0!</v>
      </c>
      <c r="I288" s="308">
        <f>'K) Plafonnement aide'!J288</f>
        <v>0</v>
      </c>
      <c r="J288" s="311">
        <f>'J) Plafonnement effort'!J288</f>
        <v>0</v>
      </c>
      <c r="K288" s="308">
        <f>'L) Plafonnement taux'!Q289</f>
        <v>0</v>
      </c>
      <c r="L288" s="306" t="e">
        <f t="shared" si="20"/>
        <v>#DIV/0!</v>
      </c>
      <c r="M288" s="231">
        <f>'M) Police'!N288</f>
        <v>23409.588958384957</v>
      </c>
      <c r="N288" s="231" t="e">
        <f t="shared" si="18"/>
        <v>#DIV/0!</v>
      </c>
      <c r="O288" s="311" t="e">
        <f t="shared" si="19"/>
        <v>#DIV/0!</v>
      </c>
      <c r="P288" s="313"/>
    </row>
    <row r="289" spans="1:16" s="153" customFormat="1" x14ac:dyDescent="0.25">
      <c r="A289" s="150">
        <f>'B) D RI'!A290</f>
        <v>5908</v>
      </c>
      <c r="B289" s="151" t="str">
        <f>'B) D RI'!B290</f>
        <v>Chêne-Pâquier</v>
      </c>
      <c r="C289" s="309">
        <f>'B) D RI'!S290</f>
        <v>79</v>
      </c>
      <c r="D289" s="152">
        <f>'B) D RI'!AA290</f>
        <v>153</v>
      </c>
      <c r="E289" s="307">
        <f>'D) Ecrêtage'!C289</f>
        <v>4413.8781012658228</v>
      </c>
      <c r="F289" s="311">
        <f>'E) PCS'!G295</f>
        <v>61253.986529653223</v>
      </c>
      <c r="G289" s="308">
        <f>'H) Péréquation directe'!I299</f>
        <v>-10767.657331503564</v>
      </c>
      <c r="H289" s="311" t="e">
        <f>+'I) Dépenses thématiques'!S289</f>
        <v>#DIV/0!</v>
      </c>
      <c r="I289" s="308">
        <f>'K) Plafonnement aide'!J289</f>
        <v>0</v>
      </c>
      <c r="J289" s="311">
        <f>'J) Plafonnement effort'!J289</f>
        <v>0</v>
      </c>
      <c r="K289" s="308">
        <f>'L) Plafonnement taux'!Q290</f>
        <v>0</v>
      </c>
      <c r="L289" s="306" t="e">
        <f t="shared" si="20"/>
        <v>#DIV/0!</v>
      </c>
      <c r="M289" s="231">
        <f>'M) Police'!N289</f>
        <v>13377.881668704245</v>
      </c>
      <c r="N289" s="231" t="e">
        <f t="shared" si="18"/>
        <v>#DIV/0!</v>
      </c>
      <c r="O289" s="311" t="e">
        <f t="shared" si="19"/>
        <v>#DIV/0!</v>
      </c>
      <c r="P289" s="313"/>
    </row>
    <row r="290" spans="1:16" s="153" customFormat="1" x14ac:dyDescent="0.25">
      <c r="A290" s="150">
        <f>'B) D RI'!A291</f>
        <v>5909</v>
      </c>
      <c r="B290" s="151" t="str">
        <f>'B) D RI'!B291</f>
        <v>Cheseaux-Noréaz</v>
      </c>
      <c r="C290" s="309">
        <f>'B) D RI'!S291</f>
        <v>67</v>
      </c>
      <c r="D290" s="152">
        <f>'B) D RI'!AA291</f>
        <v>728</v>
      </c>
      <c r="E290" s="307">
        <f>'D) Ecrêtage'!C290</f>
        <v>36898.573134328355</v>
      </c>
      <c r="F290" s="311">
        <f>'E) PCS'!G296</f>
        <v>606871.44659941818</v>
      </c>
      <c r="G290" s="308">
        <f>'H) Péréquation directe'!I300</f>
        <v>603334.0568538676</v>
      </c>
      <c r="H290" s="311" t="e">
        <f>+'I) Dépenses thématiques'!S290</f>
        <v>#DIV/0!</v>
      </c>
      <c r="I290" s="308">
        <f>'K) Plafonnement aide'!J290</f>
        <v>0</v>
      </c>
      <c r="J290" s="311">
        <f>'J) Plafonnement effort'!J290</f>
        <v>0</v>
      </c>
      <c r="K290" s="308">
        <f>'L) Plafonnement taux'!Q291</f>
        <v>0</v>
      </c>
      <c r="L290" s="306" t="e">
        <f t="shared" si="20"/>
        <v>#DIV/0!</v>
      </c>
      <c r="M290" s="231">
        <f>'M) Police'!N290</f>
        <v>43055.539472937329</v>
      </c>
      <c r="N290" s="231" t="e">
        <f t="shared" si="18"/>
        <v>#DIV/0!</v>
      </c>
      <c r="O290" s="311" t="e">
        <f t="shared" si="19"/>
        <v>#DIV/0!</v>
      </c>
      <c r="P290" s="313"/>
    </row>
    <row r="291" spans="1:16" s="153" customFormat="1" x14ac:dyDescent="0.25">
      <c r="A291" s="150">
        <f>'B) D RI'!A292</f>
        <v>5910</v>
      </c>
      <c r="B291" s="151" t="str">
        <f>'B) D RI'!B292</f>
        <v>Cronay</v>
      </c>
      <c r="C291" s="309">
        <f>'B) D RI'!S292</f>
        <v>77</v>
      </c>
      <c r="D291" s="152">
        <f>'B) D RI'!AA292</f>
        <v>403</v>
      </c>
      <c r="E291" s="307">
        <f>'D) Ecrêtage'!C291</f>
        <v>10600.416103896103</v>
      </c>
      <c r="F291" s="311">
        <f>'E) PCS'!G297</f>
        <v>158135.69196599477</v>
      </c>
      <c r="G291" s="308">
        <f>'H) Péréquation directe'!I301</f>
        <v>-62125.811535476474</v>
      </c>
      <c r="H291" s="311" t="e">
        <f>+'I) Dépenses thématiques'!S291</f>
        <v>#DIV/0!</v>
      </c>
      <c r="I291" s="308">
        <f>'K) Plafonnement aide'!J291</f>
        <v>0</v>
      </c>
      <c r="J291" s="311">
        <f>'J) Plafonnement effort'!J291</f>
        <v>0</v>
      </c>
      <c r="K291" s="308">
        <f>'L) Plafonnement taux'!Q292</f>
        <v>0</v>
      </c>
      <c r="L291" s="306" t="e">
        <f t="shared" si="20"/>
        <v>#DIV/0!</v>
      </c>
      <c r="M291" s="231">
        <f>'M) Police'!N291</f>
        <v>31928.02800094194</v>
      </c>
      <c r="N291" s="231" t="e">
        <f t="shared" si="18"/>
        <v>#DIV/0!</v>
      </c>
      <c r="O291" s="311" t="e">
        <f t="shared" si="19"/>
        <v>#DIV/0!</v>
      </c>
      <c r="P291" s="313"/>
    </row>
    <row r="292" spans="1:16" s="153" customFormat="1" x14ac:dyDescent="0.25">
      <c r="A292" s="150">
        <f>'B) D RI'!A293</f>
        <v>5911</v>
      </c>
      <c r="B292" s="151" t="str">
        <f>'B) D RI'!B293</f>
        <v>Cuarny</v>
      </c>
      <c r="C292" s="309">
        <f>'B) D RI'!S293</f>
        <v>77</v>
      </c>
      <c r="D292" s="152">
        <f>'B) D RI'!AA293</f>
        <v>245</v>
      </c>
      <c r="E292" s="307">
        <f>'D) Ecrêtage'!C292</f>
        <v>7504.0945454545454</v>
      </c>
      <c r="F292" s="311">
        <f>'E) PCS'!G298</f>
        <v>115750.73589120127</v>
      </c>
      <c r="G292" s="308">
        <f>'H) Péréquation directe'!I302</f>
        <v>7278.7426732169115</v>
      </c>
      <c r="H292" s="311" t="e">
        <f>+'I) Dépenses thématiques'!S292</f>
        <v>#DIV/0!</v>
      </c>
      <c r="I292" s="308">
        <f>'K) Plafonnement aide'!J292</f>
        <v>0</v>
      </c>
      <c r="J292" s="311">
        <f>'J) Plafonnement effort'!J292</f>
        <v>0</v>
      </c>
      <c r="K292" s="308">
        <f>'L) Plafonnement taux'!Q293</f>
        <v>0</v>
      </c>
      <c r="L292" s="306" t="e">
        <f t="shared" si="20"/>
        <v>#DIV/0!</v>
      </c>
      <c r="M292" s="231">
        <f>'M) Police'!N292</f>
        <v>22740.649356513557</v>
      </c>
      <c r="N292" s="231" t="e">
        <f t="shared" si="18"/>
        <v>#DIV/0!</v>
      </c>
      <c r="O292" s="311" t="e">
        <f t="shared" si="19"/>
        <v>#DIV/0!</v>
      </c>
      <c r="P292" s="313"/>
    </row>
    <row r="293" spans="1:16" s="153" customFormat="1" x14ac:dyDescent="0.25">
      <c r="A293" s="150">
        <f>'B) D RI'!A294</f>
        <v>5912</v>
      </c>
      <c r="B293" s="151" t="str">
        <f>'B) D RI'!B294</f>
        <v>Démoret</v>
      </c>
      <c r="C293" s="309">
        <f>'B) D RI'!S294</f>
        <v>81</v>
      </c>
      <c r="D293" s="152">
        <f>'B) D RI'!AA294</f>
        <v>164</v>
      </c>
      <c r="E293" s="307">
        <f>'D) Ecrêtage'!C293</f>
        <v>4722.5551851851851</v>
      </c>
      <c r="F293" s="311">
        <f>'E) PCS'!G299</f>
        <v>74442.880123648327</v>
      </c>
      <c r="G293" s="308">
        <f>'H) Péréquation directe'!I303</f>
        <v>-16038.297264822206</v>
      </c>
      <c r="H293" s="311" t="e">
        <f>+'I) Dépenses thématiques'!S293</f>
        <v>#DIV/0!</v>
      </c>
      <c r="I293" s="308">
        <f>'K) Plafonnement aide'!J293</f>
        <v>0</v>
      </c>
      <c r="J293" s="311">
        <f>'J) Plafonnement effort'!J293</f>
        <v>0</v>
      </c>
      <c r="K293" s="308">
        <f>'L) Plafonnement taux'!Q294</f>
        <v>0</v>
      </c>
      <c r="L293" s="306" t="e">
        <f t="shared" si="20"/>
        <v>#DIV/0!</v>
      </c>
      <c r="M293" s="231">
        <f>'M) Police'!N293</f>
        <v>14393.771485351241</v>
      </c>
      <c r="N293" s="231" t="e">
        <f t="shared" si="18"/>
        <v>#DIV/0!</v>
      </c>
      <c r="O293" s="311" t="e">
        <f t="shared" si="19"/>
        <v>#DIV/0!</v>
      </c>
      <c r="P293" s="313"/>
    </row>
    <row r="294" spans="1:16" s="153" customFormat="1" x14ac:dyDescent="0.25">
      <c r="A294" s="150">
        <f>'B) D RI'!A295</f>
        <v>5913</v>
      </c>
      <c r="B294" s="151" t="str">
        <f>'B) D RI'!B295</f>
        <v>Donneloye</v>
      </c>
      <c r="C294" s="309">
        <f>'B) D RI'!S295</f>
        <v>73</v>
      </c>
      <c r="D294" s="152">
        <f>'B) D RI'!AA295</f>
        <v>891</v>
      </c>
      <c r="E294" s="307">
        <f>'D) Ecrêtage'!C294</f>
        <v>23893.322465753423</v>
      </c>
      <c r="F294" s="311">
        <f>'E) PCS'!G300</f>
        <v>371748.40901855787</v>
      </c>
      <c r="G294" s="308">
        <f>'H) Péréquation directe'!I304</f>
        <v>-71767.09257179813</v>
      </c>
      <c r="H294" s="311" t="e">
        <f>+'I) Dépenses thématiques'!S294</f>
        <v>#DIV/0!</v>
      </c>
      <c r="I294" s="308">
        <f>'K) Plafonnement aide'!J294</f>
        <v>0</v>
      </c>
      <c r="J294" s="311">
        <f>'J) Plafonnement effort'!J294</f>
        <v>0</v>
      </c>
      <c r="K294" s="308">
        <f>'L) Plafonnement taux'!Q295</f>
        <v>0</v>
      </c>
      <c r="L294" s="306" t="e">
        <f t="shared" si="20"/>
        <v>#DIV/0!</v>
      </c>
      <c r="M294" s="231">
        <f>'M) Police'!N294</f>
        <v>72288.541828303933</v>
      </c>
      <c r="N294" s="231" t="e">
        <f t="shared" si="18"/>
        <v>#DIV/0!</v>
      </c>
      <c r="O294" s="311" t="e">
        <f t="shared" si="19"/>
        <v>#DIV/0!</v>
      </c>
      <c r="P294" s="313"/>
    </row>
    <row r="295" spans="1:16" s="153" customFormat="1" x14ac:dyDescent="0.25">
      <c r="A295" s="150">
        <f>'B) D RI'!A296</f>
        <v>5914</v>
      </c>
      <c r="B295" s="151" t="str">
        <f>'B) D RI'!B296</f>
        <v>Ependes</v>
      </c>
      <c r="C295" s="309">
        <f>'B) D RI'!S296</f>
        <v>73.5</v>
      </c>
      <c r="D295" s="152">
        <f>'B) D RI'!AA296</f>
        <v>381</v>
      </c>
      <c r="E295" s="307">
        <f>'D) Ecrêtage'!C295</f>
        <v>9829.5133333333324</v>
      </c>
      <c r="F295" s="311">
        <f>'E) PCS'!G301</f>
        <v>183839.77997602386</v>
      </c>
      <c r="G295" s="308">
        <f>'H) Péréquation directe'!I305</f>
        <v>-48755.721870368288</v>
      </c>
      <c r="H295" s="311" t="e">
        <f>+'I) Dépenses thématiques'!S295</f>
        <v>#DIV/0!</v>
      </c>
      <c r="I295" s="308">
        <f>'K) Plafonnement aide'!J295</f>
        <v>0</v>
      </c>
      <c r="J295" s="311">
        <f>'J) Plafonnement effort'!J295</f>
        <v>0</v>
      </c>
      <c r="K295" s="308">
        <f>'L) Plafonnement taux'!Q296</f>
        <v>0</v>
      </c>
      <c r="L295" s="306" t="e">
        <f t="shared" si="20"/>
        <v>#DIV/0!</v>
      </c>
      <c r="M295" s="231">
        <f>'M) Police'!N295</f>
        <v>11469.684688955131</v>
      </c>
      <c r="N295" s="231" t="e">
        <f t="shared" si="18"/>
        <v>#DIV/0!</v>
      </c>
      <c r="O295" s="311" t="e">
        <f t="shared" si="19"/>
        <v>#DIV/0!</v>
      </c>
      <c r="P295" s="313"/>
    </row>
    <row r="296" spans="1:16" s="153" customFormat="1" x14ac:dyDescent="0.25">
      <c r="A296" s="150">
        <f>'B) D RI'!A297</f>
        <v>5919</v>
      </c>
      <c r="B296" s="151" t="str">
        <f>'B) D RI'!B297</f>
        <v>Mathod</v>
      </c>
      <c r="C296" s="309">
        <f>'B) D RI'!S297</f>
        <v>72</v>
      </c>
      <c r="D296" s="152">
        <f>'B) D RI'!AA297</f>
        <v>655</v>
      </c>
      <c r="E296" s="307">
        <f>'D) Ecrêtage'!C296</f>
        <v>18684.885972222222</v>
      </c>
      <c r="F296" s="311">
        <f>'E) PCS'!G302</f>
        <v>275619.61954033724</v>
      </c>
      <c r="G296" s="308">
        <f>'H) Péréquation directe'!I306</f>
        <v>-269.60343617253238</v>
      </c>
      <c r="H296" s="311" t="e">
        <f>+'I) Dépenses thématiques'!S296</f>
        <v>#DIV/0!</v>
      </c>
      <c r="I296" s="308">
        <f>'K) Plafonnement aide'!J296</f>
        <v>0</v>
      </c>
      <c r="J296" s="311">
        <f>'J) Plafonnement effort'!J296</f>
        <v>0</v>
      </c>
      <c r="K296" s="308">
        <f>'L) Plafonnement taux'!Q297</f>
        <v>0</v>
      </c>
      <c r="L296" s="306" t="e">
        <f t="shared" si="20"/>
        <v>#DIV/0!</v>
      </c>
      <c r="M296" s="231">
        <f>'M) Police'!N296</f>
        <v>21802.681707924814</v>
      </c>
      <c r="N296" s="231" t="e">
        <f t="shared" si="18"/>
        <v>#DIV/0!</v>
      </c>
      <c r="O296" s="311" t="e">
        <f t="shared" si="19"/>
        <v>#DIV/0!</v>
      </c>
      <c r="P296" s="313"/>
    </row>
    <row r="297" spans="1:16" s="153" customFormat="1" x14ac:dyDescent="0.25">
      <c r="A297" s="150">
        <f>'B) D RI'!A298</f>
        <v>5921</v>
      </c>
      <c r="B297" s="151" t="str">
        <f>'B) D RI'!B298</f>
        <v>Molondin</v>
      </c>
      <c r="C297" s="309">
        <f>'B) D RI'!S298</f>
        <v>81</v>
      </c>
      <c r="D297" s="152">
        <f>'B) D RI'!AA298</f>
        <v>239</v>
      </c>
      <c r="E297" s="307">
        <f>'D) Ecrêtage'!C297</f>
        <v>5874.9966666666678</v>
      </c>
      <c r="F297" s="311">
        <f>'E) PCS'!G303</f>
        <v>76185.732052979612</v>
      </c>
      <c r="G297" s="308">
        <f>'H) Péréquation directe'!I307</f>
        <v>-68736.935092769127</v>
      </c>
      <c r="H297" s="311" t="e">
        <f>+'I) Dépenses thématiques'!S297</f>
        <v>#DIV/0!</v>
      </c>
      <c r="I297" s="308">
        <f>'K) Plafonnement aide'!J297</f>
        <v>0</v>
      </c>
      <c r="J297" s="311">
        <f>'J) Plafonnement effort'!J297</f>
        <v>0</v>
      </c>
      <c r="K297" s="308">
        <f>'L) Plafonnement taux'!Q298</f>
        <v>0</v>
      </c>
      <c r="L297" s="306" t="e">
        <f t="shared" si="20"/>
        <v>#DIV/0!</v>
      </c>
      <c r="M297" s="231">
        <f>'M) Police'!N297</f>
        <v>17720.425379167962</v>
      </c>
      <c r="N297" s="231" t="e">
        <f t="shared" si="18"/>
        <v>#DIV/0!</v>
      </c>
      <c r="O297" s="311" t="e">
        <f t="shared" si="19"/>
        <v>#DIV/0!</v>
      </c>
      <c r="P297" s="313"/>
    </row>
    <row r="298" spans="1:16" s="153" customFormat="1" x14ac:dyDescent="0.25">
      <c r="A298" s="150">
        <f>'B) D RI'!A299</f>
        <v>5922</v>
      </c>
      <c r="B298" s="151" t="str">
        <f>'B) D RI'!B299</f>
        <v>Montagny-près-Yverdon</v>
      </c>
      <c r="C298" s="309">
        <f>'B) D RI'!S299</f>
        <v>64.5</v>
      </c>
      <c r="D298" s="152">
        <f>'B) D RI'!AA299</f>
        <v>775</v>
      </c>
      <c r="E298" s="307">
        <f>'D) Ecrêtage'!C298</f>
        <v>39614.024961240313</v>
      </c>
      <c r="F298" s="311">
        <f>'E) PCS'!G304</f>
        <v>786203.81026981084</v>
      </c>
      <c r="G298" s="308">
        <f>'H) Péréquation directe'!I308</f>
        <v>648555.06146598363</v>
      </c>
      <c r="H298" s="311" t="e">
        <f>+'I) Dépenses thématiques'!S298</f>
        <v>#DIV/0!</v>
      </c>
      <c r="I298" s="308">
        <f>'K) Plafonnement aide'!J298</f>
        <v>0</v>
      </c>
      <c r="J298" s="311">
        <f>'J) Plafonnement effort'!J298</f>
        <v>0</v>
      </c>
      <c r="K298" s="308">
        <f>'L) Plafonnement taux'!Q299</f>
        <v>0</v>
      </c>
      <c r="L298" s="306" t="e">
        <f t="shared" si="20"/>
        <v>#DIV/0!</v>
      </c>
      <c r="M298" s="231">
        <f>'M) Police'!N298</f>
        <v>114355.55289848894</v>
      </c>
      <c r="N298" s="231" t="e">
        <f t="shared" si="18"/>
        <v>#DIV/0!</v>
      </c>
      <c r="O298" s="311" t="e">
        <f t="shared" si="19"/>
        <v>#DIV/0!</v>
      </c>
      <c r="P298" s="313"/>
    </row>
    <row r="299" spans="1:16" s="153" customFormat="1" x14ac:dyDescent="0.25">
      <c r="A299" s="150">
        <f>'B) D RI'!A300</f>
        <v>5923</v>
      </c>
      <c r="B299" s="151" t="str">
        <f>'B) D RI'!B300</f>
        <v>Oppens</v>
      </c>
      <c r="C299" s="309">
        <f>'B) D RI'!S300</f>
        <v>81</v>
      </c>
      <c r="D299" s="152">
        <f>'B) D RI'!AA300</f>
        <v>201</v>
      </c>
      <c r="E299" s="307">
        <f>'D) Ecrêtage'!C299</f>
        <v>5094.8359259259259</v>
      </c>
      <c r="F299" s="311">
        <f>'E) PCS'!G305</f>
        <v>96853.439516124199</v>
      </c>
      <c r="G299" s="308">
        <f>'H) Péréquation directe'!I309</f>
        <v>-50875.10509289919</v>
      </c>
      <c r="H299" s="311" t="e">
        <f>+'I) Dépenses thématiques'!S299</f>
        <v>#DIV/0!</v>
      </c>
      <c r="I299" s="308">
        <f>'K) Plafonnement aide'!J299</f>
        <v>0</v>
      </c>
      <c r="J299" s="311">
        <f>'J) Plafonnement effort'!J299</f>
        <v>0</v>
      </c>
      <c r="K299" s="308">
        <f>'L) Plafonnement taux'!Q300</f>
        <v>0</v>
      </c>
      <c r="L299" s="306" t="e">
        <f t="shared" si="20"/>
        <v>#DIV/0!</v>
      </c>
      <c r="M299" s="231">
        <f>'M) Police'!N299</f>
        <v>15482.70602202271</v>
      </c>
      <c r="N299" s="231" t="e">
        <f t="shared" si="18"/>
        <v>#DIV/0!</v>
      </c>
      <c r="O299" s="311" t="e">
        <f t="shared" si="19"/>
        <v>#DIV/0!</v>
      </c>
      <c r="P299" s="313"/>
    </row>
    <row r="300" spans="1:16" s="153" customFormat="1" x14ac:dyDescent="0.25">
      <c r="A300" s="150">
        <f>'B) D RI'!A301</f>
        <v>5924</v>
      </c>
      <c r="B300" s="151" t="str">
        <f>'B) D RI'!B301</f>
        <v>Orges</v>
      </c>
      <c r="C300" s="309">
        <f>'B) D RI'!S301</f>
        <v>74</v>
      </c>
      <c r="D300" s="152">
        <f>'B) D RI'!AA301</f>
        <v>367</v>
      </c>
      <c r="E300" s="307">
        <f>'D) Ecrêtage'!C300</f>
        <v>13110.169864864867</v>
      </c>
      <c r="F300" s="311">
        <f>'E) PCS'!G306</f>
        <v>206554.15443026577</v>
      </c>
      <c r="G300" s="308">
        <f>'H) Péréquation directe'!I310</f>
        <v>98811.674842332985</v>
      </c>
      <c r="H300" s="311" t="e">
        <f>+'I) Dépenses thématiques'!S300</f>
        <v>#DIV/0!</v>
      </c>
      <c r="I300" s="308">
        <f>'K) Plafonnement aide'!J300</f>
        <v>0</v>
      </c>
      <c r="J300" s="311">
        <f>'J) Plafonnement effort'!J300</f>
        <v>0</v>
      </c>
      <c r="K300" s="308">
        <f>'L) Plafonnement taux'!Q301</f>
        <v>0</v>
      </c>
      <c r="L300" s="306" t="e">
        <f t="shared" si="20"/>
        <v>#DIV/0!</v>
      </c>
      <c r="M300" s="231">
        <f>'M) Police'!N300</f>
        <v>39946.320533572754</v>
      </c>
      <c r="N300" s="231" t="e">
        <f t="shared" si="18"/>
        <v>#DIV/0!</v>
      </c>
      <c r="O300" s="311" t="e">
        <f t="shared" si="19"/>
        <v>#DIV/0!</v>
      </c>
      <c r="P300" s="313"/>
    </row>
    <row r="301" spans="1:16" s="153" customFormat="1" x14ac:dyDescent="0.25">
      <c r="A301" s="150">
        <f>'B) D RI'!A302</f>
        <v>5925</v>
      </c>
      <c r="B301" s="151" t="str">
        <f>'B) D RI'!B302</f>
        <v>Orzens</v>
      </c>
      <c r="C301" s="309">
        <f>'B) D RI'!S302</f>
        <v>79</v>
      </c>
      <c r="D301" s="152">
        <f>'B) D RI'!AA302</f>
        <v>202</v>
      </c>
      <c r="E301" s="307">
        <f>'D) Ecrêtage'!C301</f>
        <v>5230.5868354430377</v>
      </c>
      <c r="F301" s="311">
        <f>'E) PCS'!G307</f>
        <v>132440.63105360686</v>
      </c>
      <c r="G301" s="308">
        <f>'H) Péréquation directe'!I311</f>
        <v>-40334.591748470528</v>
      </c>
      <c r="H301" s="311" t="e">
        <f>+'I) Dépenses thématiques'!S301</f>
        <v>#DIV/0!</v>
      </c>
      <c r="I301" s="308">
        <f>'K) Plafonnement aide'!J301</f>
        <v>0</v>
      </c>
      <c r="J301" s="311">
        <f>'J) Plafonnement effort'!J301</f>
        <v>0</v>
      </c>
      <c r="K301" s="308">
        <f>'L) Plafonnement taux'!Q302</f>
        <v>0</v>
      </c>
      <c r="L301" s="306" t="e">
        <f t="shared" si="20"/>
        <v>#DIV/0!</v>
      </c>
      <c r="M301" s="231">
        <f>'M) Police'!N301</f>
        <v>15741.295575990938</v>
      </c>
      <c r="N301" s="231" t="e">
        <f t="shared" si="18"/>
        <v>#DIV/0!</v>
      </c>
      <c r="O301" s="311" t="e">
        <f t="shared" si="19"/>
        <v>#DIV/0!</v>
      </c>
      <c r="P301" s="313"/>
    </row>
    <row r="302" spans="1:16" s="153" customFormat="1" x14ac:dyDescent="0.25">
      <c r="A302" s="150">
        <f>'B) D RI'!A303</f>
        <v>5926</v>
      </c>
      <c r="B302" s="151" t="str">
        <f>'B) D RI'!B303</f>
        <v>Pomy</v>
      </c>
      <c r="C302" s="309">
        <f>'B) D RI'!S303</f>
        <v>71</v>
      </c>
      <c r="D302" s="152">
        <f>'B) D RI'!AA303</f>
        <v>838</v>
      </c>
      <c r="E302" s="307">
        <f>'D) Ecrêtage'!C302</f>
        <v>27875.103943661972</v>
      </c>
      <c r="F302" s="311">
        <f>'E) PCS'!G308</f>
        <v>446348.08096321009</v>
      </c>
      <c r="G302" s="308">
        <f>'H) Péréquation directe'!I312</f>
        <v>163857.6795565905</v>
      </c>
      <c r="H302" s="311" t="e">
        <f>+'I) Dépenses thématiques'!S302</f>
        <v>#DIV/0!</v>
      </c>
      <c r="I302" s="308">
        <f>'K) Plafonnement aide'!J302</f>
        <v>0</v>
      </c>
      <c r="J302" s="311">
        <f>'J) Plafonnement effort'!J302</f>
        <v>0</v>
      </c>
      <c r="K302" s="308">
        <f>'L) Plafonnement taux'!Q303</f>
        <v>0</v>
      </c>
      <c r="L302" s="306" t="e">
        <f t="shared" si="20"/>
        <v>#DIV/0!</v>
      </c>
      <c r="M302" s="231">
        <f>'M) Police'!N302</f>
        <v>32526.396990727841</v>
      </c>
      <c r="N302" s="231" t="e">
        <f t="shared" si="18"/>
        <v>#DIV/0!</v>
      </c>
      <c r="O302" s="311" t="e">
        <f t="shared" si="19"/>
        <v>#DIV/0!</v>
      </c>
      <c r="P302" s="313"/>
    </row>
    <row r="303" spans="1:16" s="153" customFormat="1" x14ac:dyDescent="0.25">
      <c r="A303" s="150">
        <f>'B) D RI'!A304</f>
        <v>5928</v>
      </c>
      <c r="B303" s="151" t="str">
        <f>'B) D RI'!B304</f>
        <v>Rovray</v>
      </c>
      <c r="C303" s="309">
        <f>'B) D RI'!S304</f>
        <v>71.5</v>
      </c>
      <c r="D303" s="152">
        <f>'B) D RI'!AA304</f>
        <v>206</v>
      </c>
      <c r="E303" s="307">
        <f>'D) Ecrêtage'!C303</f>
        <v>5459.4606993006983</v>
      </c>
      <c r="F303" s="311">
        <f>'E) PCS'!G309</f>
        <v>79583.772121283473</v>
      </c>
      <c r="G303" s="308">
        <f>'H) Péréquation directe'!I313</f>
        <v>-15275.164744691938</v>
      </c>
      <c r="H303" s="311" t="e">
        <f>+'I) Dépenses thématiques'!S303</f>
        <v>#DIV/0!</v>
      </c>
      <c r="I303" s="308">
        <f>'K) Plafonnement aide'!J303</f>
        <v>0</v>
      </c>
      <c r="J303" s="311">
        <f>'J) Plafonnement effort'!J303</f>
        <v>0</v>
      </c>
      <c r="K303" s="308">
        <f>'L) Plafonnement taux'!Q304</f>
        <v>0</v>
      </c>
      <c r="L303" s="306" t="e">
        <f t="shared" si="20"/>
        <v>#DIV/0!</v>
      </c>
      <c r="M303" s="231">
        <f>'M) Police'!N303</f>
        <v>16632.762326036405</v>
      </c>
      <c r="N303" s="231" t="e">
        <f t="shared" si="18"/>
        <v>#DIV/0!</v>
      </c>
      <c r="O303" s="311" t="e">
        <f t="shared" si="19"/>
        <v>#DIV/0!</v>
      </c>
      <c r="P303" s="313"/>
    </row>
    <row r="304" spans="1:16" s="153" customFormat="1" x14ac:dyDescent="0.25">
      <c r="A304" s="150">
        <f>'B) D RI'!A305</f>
        <v>5929</v>
      </c>
      <c r="B304" s="151" t="str">
        <f>'B) D RI'!B305</f>
        <v>Suchy</v>
      </c>
      <c r="C304" s="309">
        <f>'B) D RI'!S305</f>
        <v>70</v>
      </c>
      <c r="D304" s="152">
        <f>'B) D RI'!AA305</f>
        <v>656</v>
      </c>
      <c r="E304" s="307">
        <f>'D) Ecrêtage'!C304</f>
        <v>20266.988392857143</v>
      </c>
      <c r="F304" s="311">
        <f>'E) PCS'!G310</f>
        <v>320657.25193724933</v>
      </c>
      <c r="G304" s="308">
        <f>'H) Péréquation directe'!I314</f>
        <v>74201.888530512399</v>
      </c>
      <c r="H304" s="311" t="e">
        <f>+'I) Dépenses thématiques'!S304</f>
        <v>#DIV/0!</v>
      </c>
      <c r="I304" s="308">
        <f>'K) Plafonnement aide'!J304</f>
        <v>0</v>
      </c>
      <c r="J304" s="311">
        <f>'J) Plafonnement effort'!J304</f>
        <v>0</v>
      </c>
      <c r="K304" s="308">
        <f>'L) Plafonnement taux'!Q305</f>
        <v>0</v>
      </c>
      <c r="L304" s="306" t="e">
        <f t="shared" si="20"/>
        <v>#DIV/0!</v>
      </c>
      <c r="M304" s="231">
        <f>'M) Police'!N304</f>
        <v>23648.776758101787</v>
      </c>
      <c r="N304" s="231" t="e">
        <f t="shared" si="18"/>
        <v>#DIV/0!</v>
      </c>
      <c r="O304" s="311" t="e">
        <f t="shared" si="19"/>
        <v>#DIV/0!</v>
      </c>
      <c r="P304" s="313"/>
    </row>
    <row r="305" spans="1:16" s="153" customFormat="1" x14ac:dyDescent="0.25">
      <c r="A305" s="150">
        <f>'B) D RI'!A306</f>
        <v>5930</v>
      </c>
      <c r="B305" s="151" t="str">
        <f>'B) D RI'!B306</f>
        <v>Suscévaz</v>
      </c>
      <c r="C305" s="309">
        <f>'B) D RI'!S306</f>
        <v>72</v>
      </c>
      <c r="D305" s="152">
        <f>'B) D RI'!AA306</f>
        <v>215</v>
      </c>
      <c r="E305" s="307">
        <f>'D) Ecrêtage'!C305</f>
        <v>6661.8138888888889</v>
      </c>
      <c r="F305" s="311">
        <f>'E) PCS'!G311</f>
        <v>121150.63930930576</v>
      </c>
      <c r="G305" s="308">
        <f>'H) Péréquation directe'!I315</f>
        <v>20808.93118548287</v>
      </c>
      <c r="H305" s="311" t="e">
        <f>+'I) Dépenses thématiques'!S305</f>
        <v>#DIV/0!</v>
      </c>
      <c r="I305" s="308">
        <f>'K) Plafonnement aide'!J305</f>
        <v>0</v>
      </c>
      <c r="J305" s="311">
        <f>'J) Plafonnement effort'!J305</f>
        <v>0</v>
      </c>
      <c r="K305" s="308">
        <f>'L) Plafonnement taux'!Q306</f>
        <v>0</v>
      </c>
      <c r="L305" s="306" t="e">
        <f t="shared" si="20"/>
        <v>#DIV/0!</v>
      </c>
      <c r="M305" s="231">
        <f>'M) Police'!N305</f>
        <v>7773.4168692709982</v>
      </c>
      <c r="N305" s="231" t="e">
        <f t="shared" si="18"/>
        <v>#DIV/0!</v>
      </c>
      <c r="O305" s="311" t="e">
        <f t="shared" si="19"/>
        <v>#DIV/0!</v>
      </c>
      <c r="P305" s="313"/>
    </row>
    <row r="306" spans="1:16" s="153" customFormat="1" x14ac:dyDescent="0.25">
      <c r="A306" s="150">
        <f>'B) D RI'!A307</f>
        <v>5931</v>
      </c>
      <c r="B306" s="151" t="str">
        <f>'B) D RI'!B307</f>
        <v>Treycovagnes</v>
      </c>
      <c r="C306" s="309">
        <f>'B) D RI'!S307</f>
        <v>75</v>
      </c>
      <c r="D306" s="152">
        <f>'B) D RI'!AA307</f>
        <v>490</v>
      </c>
      <c r="E306" s="307">
        <f>'D) Ecrêtage'!C306</f>
        <v>15271.093466666664</v>
      </c>
      <c r="F306" s="311">
        <f>'E) PCS'!G312</f>
        <v>267457.20333734393</v>
      </c>
      <c r="G306" s="308">
        <f>'H) Péréquation directe'!I316</f>
        <v>36010.256799874478</v>
      </c>
      <c r="H306" s="311" t="e">
        <f>+'I) Dépenses thématiques'!S306</f>
        <v>#DIV/0!</v>
      </c>
      <c r="I306" s="308">
        <f>'K) Plafonnement aide'!J306</f>
        <v>0</v>
      </c>
      <c r="J306" s="311">
        <f>'J) Plafonnement effort'!J306</f>
        <v>0</v>
      </c>
      <c r="K306" s="308">
        <f>'L) Plafonnement taux'!Q307</f>
        <v>0</v>
      </c>
      <c r="L306" s="306" t="e">
        <f t="shared" si="20"/>
        <v>#DIV/0!</v>
      </c>
      <c r="M306" s="231">
        <f>'M) Police'!N306</f>
        <v>17819.257269254027</v>
      </c>
      <c r="N306" s="231" t="e">
        <f t="shared" si="18"/>
        <v>#DIV/0!</v>
      </c>
      <c r="O306" s="311" t="e">
        <f t="shared" si="19"/>
        <v>#DIV/0!</v>
      </c>
      <c r="P306" s="313"/>
    </row>
    <row r="307" spans="1:16" s="153" customFormat="1" x14ac:dyDescent="0.25">
      <c r="A307" s="150">
        <f>'B) D RI'!A308</f>
        <v>5932</v>
      </c>
      <c r="B307" s="151" t="str">
        <f>'B) D RI'!B308</f>
        <v>Ursins</v>
      </c>
      <c r="C307" s="309">
        <f>'B) D RI'!S308</f>
        <v>75</v>
      </c>
      <c r="D307" s="152">
        <f>'B) D RI'!AA308</f>
        <v>228</v>
      </c>
      <c r="E307" s="307">
        <f>'D) Ecrêtage'!C307</f>
        <v>7703.3244000000022</v>
      </c>
      <c r="F307" s="311">
        <f>'E) PCS'!G313</f>
        <v>98853.577574290597</v>
      </c>
      <c r="G307" s="308">
        <f>'H) Péréquation directe'!I317</f>
        <v>41433.735765920283</v>
      </c>
      <c r="H307" s="311" t="e">
        <f>+'I) Dépenses thématiques'!S307</f>
        <v>#DIV/0!</v>
      </c>
      <c r="I307" s="308">
        <f>'K) Plafonnement aide'!J307</f>
        <v>0</v>
      </c>
      <c r="J307" s="311">
        <f>'J) Plafonnement effort'!J307</f>
        <v>0</v>
      </c>
      <c r="K307" s="308">
        <f>'L) Plafonnement taux'!Q308</f>
        <v>0</v>
      </c>
      <c r="L307" s="306" t="e">
        <f t="shared" si="20"/>
        <v>#DIV/0!</v>
      </c>
      <c r="M307" s="231">
        <f>'M) Police'!N307</f>
        <v>23458.596612115609</v>
      </c>
      <c r="N307" s="231" t="e">
        <f t="shared" si="18"/>
        <v>#DIV/0!</v>
      </c>
      <c r="O307" s="311" t="e">
        <f t="shared" si="19"/>
        <v>#DIV/0!</v>
      </c>
      <c r="P307" s="313"/>
    </row>
    <row r="308" spans="1:16" s="153" customFormat="1" x14ac:dyDescent="0.25">
      <c r="A308" s="150">
        <f>'B) D RI'!A309</f>
        <v>5933</v>
      </c>
      <c r="B308" s="151" t="str">
        <f>'B) D RI'!B309</f>
        <v>Valeyres-sous-Montagny</v>
      </c>
      <c r="C308" s="309">
        <f>'B) D RI'!S309</f>
        <v>70.5</v>
      </c>
      <c r="D308" s="152">
        <f>'B) D RI'!AA309</f>
        <v>697</v>
      </c>
      <c r="E308" s="307">
        <f>'D) Ecrêtage'!C308</f>
        <v>19607.073049645387</v>
      </c>
      <c r="F308" s="311">
        <f>'E) PCS'!G314</f>
        <v>310533.13701059495</v>
      </c>
      <c r="G308" s="308">
        <f>'H) Péréquation directe'!I318</f>
        <v>890.210436501191</v>
      </c>
      <c r="H308" s="311" t="e">
        <f>+'I) Dépenses thématiques'!S308</f>
        <v>#DIV/0!</v>
      </c>
      <c r="I308" s="308">
        <f>'K) Plafonnement aide'!J308</f>
        <v>0</v>
      </c>
      <c r="J308" s="311">
        <f>'J) Plafonnement effort'!J308</f>
        <v>0</v>
      </c>
      <c r="K308" s="308">
        <f>'L) Plafonnement taux'!Q309</f>
        <v>0</v>
      </c>
      <c r="L308" s="306" t="e">
        <f t="shared" si="20"/>
        <v>#DIV/0!</v>
      </c>
      <c r="M308" s="231">
        <f>'M) Police'!N308</f>
        <v>58505.482851405774</v>
      </c>
      <c r="N308" s="231" t="e">
        <f t="shared" si="18"/>
        <v>#DIV/0!</v>
      </c>
      <c r="O308" s="311" t="e">
        <f t="shared" si="19"/>
        <v>#DIV/0!</v>
      </c>
      <c r="P308" s="313"/>
    </row>
    <row r="309" spans="1:16" s="153" customFormat="1" x14ac:dyDescent="0.25">
      <c r="A309" s="150">
        <f>'B) D RI'!A310</f>
        <v>5934</v>
      </c>
      <c r="B309" s="151" t="str">
        <f>'B) D RI'!B310</f>
        <v>Valeyres-sous-Ursins</v>
      </c>
      <c r="C309" s="309">
        <f>'B) D RI'!S310</f>
        <v>77</v>
      </c>
      <c r="D309" s="152">
        <f>'B) D RI'!AA310</f>
        <v>247</v>
      </c>
      <c r="E309" s="307">
        <f>'D) Ecrêtage'!C309</f>
        <v>7018.283636363637</v>
      </c>
      <c r="F309" s="311">
        <f>'E) PCS'!G315</f>
        <v>91600.939938444964</v>
      </c>
      <c r="G309" s="308">
        <f>'H) Péréquation directe'!I319</f>
        <v>-15918.170268282265</v>
      </c>
      <c r="H309" s="311" t="e">
        <f>+'I) Dépenses thématiques'!S309</f>
        <v>#DIV/0!</v>
      </c>
      <c r="I309" s="308">
        <f>'K) Plafonnement aide'!J309</f>
        <v>0</v>
      </c>
      <c r="J309" s="311">
        <f>'J) Plafonnement effort'!J309</f>
        <v>0</v>
      </c>
      <c r="K309" s="308">
        <f>'L) Plafonnement taux'!Q310</f>
        <v>0</v>
      </c>
      <c r="L309" s="306" t="e">
        <f t="shared" si="20"/>
        <v>#DIV/0!</v>
      </c>
      <c r="M309" s="231">
        <f>'M) Police'!N309</f>
        <v>21443.777969045386</v>
      </c>
      <c r="N309" s="231" t="e">
        <f t="shared" si="18"/>
        <v>#DIV/0!</v>
      </c>
      <c r="O309" s="311" t="e">
        <f t="shared" si="19"/>
        <v>#DIV/0!</v>
      </c>
      <c r="P309" s="313"/>
    </row>
    <row r="310" spans="1:16" s="153" customFormat="1" x14ac:dyDescent="0.25">
      <c r="A310" s="150">
        <f>'B) D RI'!A311</f>
        <v>5935</v>
      </c>
      <c r="B310" s="151" t="str">
        <f>'B) D RI'!B311</f>
        <v>Villars-Epeney</v>
      </c>
      <c r="C310" s="309">
        <f>'B) D RI'!S311</f>
        <v>60</v>
      </c>
      <c r="D310" s="152">
        <f>'B) D RI'!AA311</f>
        <v>95</v>
      </c>
      <c r="E310" s="307">
        <f>'D) Ecrêtage'!C310</f>
        <v>3448.2304999999997</v>
      </c>
      <c r="F310" s="311">
        <f>'E) PCS'!G316</f>
        <v>47105.435262094077</v>
      </c>
      <c r="G310" s="308">
        <f>'H) Péréquation directe'!I320</f>
        <v>36439.315509145163</v>
      </c>
      <c r="H310" s="311" t="e">
        <f>+'I) Dépenses thématiques'!S310</f>
        <v>#DIV/0!</v>
      </c>
      <c r="I310" s="308">
        <f>'K) Plafonnement aide'!J310</f>
        <v>0</v>
      </c>
      <c r="J310" s="311">
        <f>'J) Plafonnement effort'!J310</f>
        <v>0</v>
      </c>
      <c r="K310" s="308">
        <f>'L) Plafonnement taux'!Q311</f>
        <v>0</v>
      </c>
      <c r="L310" s="306" t="e">
        <f t="shared" si="20"/>
        <v>#DIV/0!</v>
      </c>
      <c r="M310" s="231">
        <f>'M) Police'!N310</f>
        <v>10235.08482259733</v>
      </c>
      <c r="N310" s="231" t="e">
        <f t="shared" si="18"/>
        <v>#DIV/0!</v>
      </c>
      <c r="O310" s="311" t="e">
        <f t="shared" si="19"/>
        <v>#DIV/0!</v>
      </c>
      <c r="P310" s="313"/>
    </row>
    <row r="311" spans="1:16" s="153" customFormat="1" x14ac:dyDescent="0.25">
      <c r="A311" s="150">
        <f>'B) D RI'!A312</f>
        <v>5937</v>
      </c>
      <c r="B311" s="151" t="str">
        <f>'B) D RI'!B312</f>
        <v>Vugelles-La Mothe</v>
      </c>
      <c r="C311" s="309">
        <f>'B) D RI'!S312</f>
        <v>70</v>
      </c>
      <c r="D311" s="152">
        <f>'B) D RI'!AA312</f>
        <v>140</v>
      </c>
      <c r="E311" s="307">
        <f>'D) Ecrêtage'!C311</f>
        <v>3471.6885918367348</v>
      </c>
      <c r="F311" s="311">
        <f>'E) PCS'!G317</f>
        <v>47446.467672541614</v>
      </c>
      <c r="G311" s="308">
        <f>'H) Péréquation directe'!I321</f>
        <v>-16939.997574168279</v>
      </c>
      <c r="H311" s="311" t="e">
        <f>+'I) Dépenses thématiques'!S311</f>
        <v>#DIV/0!</v>
      </c>
      <c r="I311" s="308">
        <f>'K) Plafonnement aide'!J311</f>
        <v>0</v>
      </c>
      <c r="J311" s="311">
        <f>'J) Plafonnement effort'!J311</f>
        <v>0</v>
      </c>
      <c r="K311" s="308">
        <f>'L) Plafonnement taux'!Q312</f>
        <v>0</v>
      </c>
      <c r="L311" s="306" t="e">
        <f t="shared" si="20"/>
        <v>#DIV/0!</v>
      </c>
      <c r="M311" s="231">
        <f>'M) Police'!N311</f>
        <v>10514.010604981993</v>
      </c>
      <c r="N311" s="231" t="e">
        <f t="shared" si="18"/>
        <v>#DIV/0!</v>
      </c>
      <c r="O311" s="311" t="e">
        <f t="shared" si="19"/>
        <v>#DIV/0!</v>
      </c>
      <c r="P311" s="313"/>
    </row>
    <row r="312" spans="1:16" s="153" customFormat="1" x14ac:dyDescent="0.25">
      <c r="A312" s="150">
        <f>'B) D RI'!A313</f>
        <v>5938</v>
      </c>
      <c r="B312" s="151" t="str">
        <f>'B) D RI'!B313</f>
        <v>Yverdon-les-Bains</v>
      </c>
      <c r="C312" s="309">
        <f>'B) D RI'!S313</f>
        <v>75</v>
      </c>
      <c r="D312" s="152">
        <f>'B) D RI'!AA313</f>
        <v>29710</v>
      </c>
      <c r="E312" s="307">
        <f>'D) Ecrêtage'!C312</f>
        <v>762770.29813333345</v>
      </c>
      <c r="F312" s="311">
        <f>'E) PCS'!G318</f>
        <v>13884988.996009886</v>
      </c>
      <c r="G312" s="308">
        <f>'H) Péréquation directe'!I322</f>
        <v>-26017745.887435786</v>
      </c>
      <c r="H312" s="311" t="e">
        <f>+'I) Dépenses thématiques'!S312</f>
        <v>#DIV/0!</v>
      </c>
      <c r="I312" s="308">
        <f>'K) Plafonnement aide'!J312</f>
        <v>6030594.5063592317</v>
      </c>
      <c r="J312" s="311">
        <f>'J) Plafonnement effort'!J312</f>
        <v>0</v>
      </c>
      <c r="K312" s="308">
        <f>'L) Plafonnement taux'!Q313</f>
        <v>0</v>
      </c>
      <c r="L312" s="306" t="e">
        <f t="shared" si="20"/>
        <v>#DIV/0!</v>
      </c>
      <c r="M312" s="231">
        <f>'M) Police'!N312</f>
        <v>890047.60591975413</v>
      </c>
      <c r="N312" s="231" t="e">
        <f t="shared" si="18"/>
        <v>#DIV/0!</v>
      </c>
      <c r="O312" s="311" t="e">
        <f t="shared" si="19"/>
        <v>#DIV/0!</v>
      </c>
      <c r="P312" s="313"/>
    </row>
    <row r="313" spans="1:16" s="153" customFormat="1" x14ac:dyDescent="0.25">
      <c r="A313" s="150">
        <f>'B) D RI'!A314</f>
        <v>5939</v>
      </c>
      <c r="B313" s="151" t="str">
        <f>'B) D RI'!B314</f>
        <v>Yvonand</v>
      </c>
      <c r="C313" s="309">
        <f>'B) D RI'!S314</f>
        <v>71.5</v>
      </c>
      <c r="D313" s="152">
        <f>'B) D RI'!AA314</f>
        <v>3512</v>
      </c>
      <c r="E313" s="307">
        <f>'D) Ecrêtage'!C313</f>
        <v>105336.86867132869</v>
      </c>
      <c r="F313" s="311">
        <f>'E) PCS'!G319</f>
        <v>1637951.7141912102</v>
      </c>
      <c r="G313" s="308">
        <f>'H) Péréquation directe'!I323</f>
        <v>-419929.0682583251</v>
      </c>
      <c r="H313" s="353" t="e">
        <f>+'I) Dépenses thématiques'!S313</f>
        <v>#DIV/0!</v>
      </c>
      <c r="I313" s="308">
        <f>'K) Plafonnement aide'!J313</f>
        <v>0</v>
      </c>
      <c r="J313" s="311">
        <f>'J) Plafonnement effort'!J313</f>
        <v>0</v>
      </c>
      <c r="K313" s="308">
        <f>'L) Plafonnement taux'!Q314</f>
        <v>0</v>
      </c>
      <c r="L313" s="306" t="e">
        <f t="shared" si="20"/>
        <v>#DIV/0!</v>
      </c>
      <c r="M313" s="231">
        <f>'M) Police'!N313</f>
        <v>315611.1547309481</v>
      </c>
      <c r="N313" s="233" t="e">
        <f t="shared" si="18"/>
        <v>#DIV/0!</v>
      </c>
      <c r="O313" s="353" t="e">
        <f t="shared" si="19"/>
        <v>#DIV/0!</v>
      </c>
      <c r="P313" s="313"/>
    </row>
    <row r="314" spans="1:16" x14ac:dyDescent="0.25">
      <c r="A314" s="30"/>
      <c r="B314" s="24">
        <f>COUNTA(B6:B313)</f>
        <v>308</v>
      </c>
      <c r="C314" s="255"/>
      <c r="D314" s="155">
        <f>SUM(D6:D313)</f>
        <v>823881</v>
      </c>
      <c r="E314" s="155">
        <f>SUM(E6:E313)</f>
        <v>39896757.238841556</v>
      </c>
      <c r="F314" s="147">
        <f>'E) PCS'!G320</f>
        <v>795342043.99999928</v>
      </c>
      <c r="G314" s="147">
        <f>'H) Péréquation directe'!I324</f>
        <v>172793758.45031619</v>
      </c>
      <c r="H314" s="352">
        <f>'I) Dépenses thématiques'!S314</f>
        <v>-179535407.57478699</v>
      </c>
      <c r="I314" s="147">
        <f>'K) Plafonnement aide'!J314</f>
        <v>8712558.4547571689</v>
      </c>
      <c r="J314" s="147">
        <f>'J) Plafonnement effort'!J314</f>
        <v>-1520585.9288719806</v>
      </c>
      <c r="K314" s="147">
        <f>+'L) Plafonnement taux'!Q315</f>
        <v>-323.40141232415726</v>
      </c>
      <c r="L314" s="232">
        <f t="shared" si="20"/>
        <v>795792044.00000131</v>
      </c>
      <c r="M314" s="232">
        <f>SUM(M6:M313)</f>
        <v>69975804.441903159</v>
      </c>
      <c r="N314" s="232" t="e">
        <f>SUM(N6:N313)</f>
        <v>#DIV/0!</v>
      </c>
      <c r="O314" s="147" t="e">
        <f>SUM(O6:O313)</f>
        <v>#DIV/0!</v>
      </c>
    </row>
    <row r="315" spans="1:16" x14ac:dyDescent="0.25">
      <c r="D315" s="13"/>
      <c r="E315" s="13"/>
      <c r="L315" s="6"/>
      <c r="M315" s="6"/>
      <c r="N315" s="6"/>
    </row>
    <row r="316" spans="1:16" x14ac:dyDescent="0.25">
      <c r="H316" s="154"/>
      <c r="I316" s="154"/>
      <c r="J316" s="154"/>
      <c r="K316" s="154"/>
      <c r="L316" s="6"/>
      <c r="M316" s="6"/>
      <c r="N316" s="6"/>
    </row>
  </sheetData>
  <mergeCells count="14">
    <mergeCell ref="I4:K4"/>
    <mergeCell ref="O4:O5"/>
    <mergeCell ref="M4:M5"/>
    <mergeCell ref="N4:N5"/>
    <mergeCell ref="A1:E1"/>
    <mergeCell ref="L4:L5"/>
    <mergeCell ref="H4:H5"/>
    <mergeCell ref="G4:G5"/>
    <mergeCell ref="F4:F5"/>
    <mergeCell ref="E4:E5"/>
    <mergeCell ref="D4:D5"/>
    <mergeCell ref="C4:C5"/>
    <mergeCell ref="B4:B5"/>
    <mergeCell ref="A4:A5"/>
  </mergeCells>
  <phoneticPr fontId="0" type="noConversion"/>
  <printOptions horizontalCentered="1" verticalCentered="1"/>
  <pageMargins left="0.19685039370078741" right="0.19685039370078741" top="0" bottom="0" header="0.51181102362204722" footer="0.51181102362204722"/>
  <pageSetup paperSize="9" fitToHeight="7" orientation="landscape" horizontalDpi="1200" verticalDpi="1200" r:id="rId1"/>
  <headerFooter alignWithMargins="0">
    <oddFooter>&amp;LSCL - Division finances communales&amp;C- &amp;P -</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910C10-50F0-45D0-BA57-CF12150E4EF1}">
  <sheetPr>
    <tabColor rgb="FF00B050"/>
  </sheetPr>
  <dimension ref="A1:W318"/>
  <sheetViews>
    <sheetView workbookViewId="0">
      <selection activeCell="D6" sqref="D6"/>
    </sheetView>
  </sheetViews>
  <sheetFormatPr baseColWidth="10" defaultRowHeight="12.75" x14ac:dyDescent="0.2"/>
  <cols>
    <col min="1" max="1" width="11" style="483"/>
    <col min="2" max="2" width="20.25" style="483" bestFit="1" customWidth="1"/>
    <col min="3" max="11" width="11" style="483"/>
    <col min="12" max="12" width="15" style="482" bestFit="1" customWidth="1"/>
    <col min="13" max="13" width="11.125" style="482" bestFit="1" customWidth="1"/>
    <col min="14" max="14" width="15" style="482" bestFit="1" customWidth="1"/>
    <col min="15" max="15" width="11.125" style="482" bestFit="1" customWidth="1"/>
    <col min="16" max="16" width="14" style="482" bestFit="1" customWidth="1"/>
    <col min="17" max="17" width="11.125" style="482" bestFit="1" customWidth="1"/>
    <col min="18" max="18" width="14" style="482" bestFit="1" customWidth="1"/>
    <col min="19" max="19" width="11.125" style="482" bestFit="1" customWidth="1"/>
    <col min="20" max="20" width="13" style="482" bestFit="1" customWidth="1"/>
    <col min="21" max="21" width="11.125" style="482" bestFit="1" customWidth="1"/>
    <col min="22" max="22" width="13" style="482" bestFit="1" customWidth="1"/>
    <col min="23" max="23" width="11.125" style="482" bestFit="1" customWidth="1"/>
    <col min="24" max="16384" width="11" style="483"/>
  </cols>
  <sheetData>
    <row r="1" spans="1:11" s="482" customFormat="1" ht="21" x14ac:dyDescent="0.2">
      <c r="A1" s="628" t="s">
        <v>456</v>
      </c>
      <c r="B1" s="629"/>
      <c r="C1" s="629"/>
      <c r="D1" s="629"/>
      <c r="E1" s="629"/>
      <c r="F1" s="44"/>
      <c r="G1" s="404"/>
      <c r="H1" s="404"/>
      <c r="I1" s="44"/>
      <c r="J1" s="404"/>
      <c r="K1" s="404"/>
    </row>
    <row r="2" spans="1:11" s="482" customFormat="1" ht="21" x14ac:dyDescent="0.2">
      <c r="A2" s="474" t="s">
        <v>560</v>
      </c>
      <c r="B2" s="43"/>
      <c r="C2" s="475"/>
      <c r="D2" s="476"/>
      <c r="E2" s="476"/>
      <c r="F2" s="44"/>
      <c r="G2" s="404"/>
      <c r="H2" s="404"/>
      <c r="I2" s="44"/>
      <c r="J2" s="404"/>
      <c r="K2" s="404"/>
    </row>
    <row r="3" spans="1:11" s="482" customFormat="1" ht="15" x14ac:dyDescent="0.2">
      <c r="A3"/>
      <c r="B3" s="44"/>
      <c r="C3" s="44"/>
      <c r="D3" s="44"/>
      <c r="E3" s="44"/>
      <c r="F3" s="44"/>
      <c r="G3" s="44"/>
      <c r="H3" s="44"/>
      <c r="I3" s="44"/>
      <c r="J3" s="44"/>
      <c r="K3" s="44"/>
    </row>
    <row r="4" spans="1:11" s="482" customFormat="1" ht="15" x14ac:dyDescent="0.2">
      <c r="A4" s="581" t="s">
        <v>46</v>
      </c>
      <c r="B4" s="597" t="s">
        <v>535</v>
      </c>
      <c r="C4" s="630" t="s">
        <v>541</v>
      </c>
      <c r="D4" s="627"/>
      <c r="E4" s="622"/>
      <c r="F4" s="627" t="s">
        <v>536</v>
      </c>
      <c r="G4" s="627"/>
      <c r="H4" s="622"/>
      <c r="I4" s="627" t="s">
        <v>470</v>
      </c>
      <c r="J4" s="627"/>
      <c r="K4" s="622"/>
    </row>
    <row r="5" spans="1:11" s="482" customFormat="1" ht="15" x14ac:dyDescent="0.2">
      <c r="A5" s="583"/>
      <c r="B5" s="598"/>
      <c r="C5" s="287" t="s">
        <v>537</v>
      </c>
      <c r="D5" s="477" t="s">
        <v>538</v>
      </c>
      <c r="E5" s="477" t="s">
        <v>539</v>
      </c>
      <c r="F5" s="287" t="s">
        <v>537</v>
      </c>
      <c r="G5" s="477" t="s">
        <v>538</v>
      </c>
      <c r="H5" s="477" t="s">
        <v>539</v>
      </c>
      <c r="I5" s="287" t="s">
        <v>537</v>
      </c>
      <c r="J5" s="477" t="s">
        <v>538</v>
      </c>
      <c r="K5" s="477" t="s">
        <v>540</v>
      </c>
    </row>
    <row r="6" spans="1:11" s="482" customFormat="1" ht="15" x14ac:dyDescent="0.25">
      <c r="A6" s="150">
        <v>5401</v>
      </c>
      <c r="B6" s="478" t="s">
        <v>254</v>
      </c>
      <c r="C6" s="510">
        <v>5326630.4722302398</v>
      </c>
      <c r="D6" s="306"/>
      <c r="E6" s="311">
        <f>D6-C6</f>
        <v>-5326630.4722302398</v>
      </c>
      <c r="F6" s="512">
        <v>-6349429.4951102138</v>
      </c>
      <c r="G6" s="231"/>
      <c r="H6" s="311">
        <f>G6-F6</f>
        <v>6349429.4951102138</v>
      </c>
      <c r="I6" s="510">
        <v>351804.40120708628</v>
      </c>
      <c r="J6" s="231"/>
      <c r="K6" s="311">
        <f>J6-I6</f>
        <v>-351804.40120708628</v>
      </c>
    </row>
    <row r="7" spans="1:11" s="482" customFormat="1" ht="15" x14ac:dyDescent="0.25">
      <c r="A7" s="150">
        <v>5402</v>
      </c>
      <c r="B7" s="478" t="s">
        <v>255</v>
      </c>
      <c r="C7" s="510">
        <v>3474347.8698994806</v>
      </c>
      <c r="D7" s="306"/>
      <c r="E7" s="311">
        <f t="shared" ref="E7:E69" si="0">D7-C7</f>
        <v>-3474347.8698994806</v>
      </c>
      <c r="F7" s="512">
        <v>-5323954.8898024615</v>
      </c>
      <c r="G7" s="231"/>
      <c r="H7" s="311">
        <f t="shared" ref="H7:H69" si="1">G7-F7</f>
        <v>5323954.8898024615</v>
      </c>
      <c r="I7" s="510">
        <v>238001.82497941566</v>
      </c>
      <c r="J7" s="231"/>
      <c r="K7" s="311">
        <f t="shared" ref="K7:K69" si="2">J7-I7</f>
        <v>-238001.82497941566</v>
      </c>
    </row>
    <row r="8" spans="1:11" s="482" customFormat="1" ht="15" x14ac:dyDescent="0.25">
      <c r="A8" s="150">
        <v>5403</v>
      </c>
      <c r="B8" s="478" t="s">
        <v>110</v>
      </c>
      <c r="C8" s="510">
        <v>213740.41353671282</v>
      </c>
      <c r="D8" s="306"/>
      <c r="E8" s="311">
        <f t="shared" si="0"/>
        <v>-213740.41353671282</v>
      </c>
      <c r="F8" s="512">
        <v>-86320.550677680119</v>
      </c>
      <c r="G8" s="231"/>
      <c r="H8" s="311">
        <f t="shared" si="1"/>
        <v>86320.550677680119</v>
      </c>
      <c r="I8" s="510">
        <v>33189.90285309343</v>
      </c>
      <c r="J8" s="231"/>
      <c r="K8" s="311">
        <f t="shared" si="2"/>
        <v>-33189.90285309343</v>
      </c>
    </row>
    <row r="9" spans="1:11" s="482" customFormat="1" ht="15" x14ac:dyDescent="0.25">
      <c r="A9" s="150">
        <v>5404</v>
      </c>
      <c r="B9" s="478" t="s">
        <v>111</v>
      </c>
      <c r="C9" s="510">
        <v>319156.49370141374</v>
      </c>
      <c r="D9" s="306"/>
      <c r="E9" s="311">
        <f t="shared" si="0"/>
        <v>-319156.49370141374</v>
      </c>
      <c r="F9" s="512">
        <v>-23297.155373121554</v>
      </c>
      <c r="G9" s="231"/>
      <c r="H9" s="311">
        <f t="shared" si="1"/>
        <v>23297.155373121554</v>
      </c>
      <c r="I9" s="510">
        <v>45669.713339080961</v>
      </c>
      <c r="J9" s="231"/>
      <c r="K9" s="311">
        <f t="shared" si="2"/>
        <v>-45669.713339080961</v>
      </c>
    </row>
    <row r="10" spans="1:11" s="482" customFormat="1" ht="15" x14ac:dyDescent="0.25">
      <c r="A10" s="150">
        <v>5405</v>
      </c>
      <c r="B10" s="478" t="s">
        <v>112</v>
      </c>
      <c r="C10" s="510">
        <v>1374669.0064115447</v>
      </c>
      <c r="D10" s="306"/>
      <c r="E10" s="311">
        <f t="shared" si="0"/>
        <v>-1374669.0064115447</v>
      </c>
      <c r="F10" s="512">
        <v>25911.914669253747</v>
      </c>
      <c r="G10" s="231"/>
      <c r="H10" s="311">
        <f t="shared" si="1"/>
        <v>-25911.914669253747</v>
      </c>
      <c r="I10" s="510">
        <v>199018.46738474641</v>
      </c>
      <c r="J10" s="231"/>
      <c r="K10" s="311">
        <f t="shared" si="2"/>
        <v>-199018.46738474641</v>
      </c>
    </row>
    <row r="11" spans="1:11" s="482" customFormat="1" ht="15" x14ac:dyDescent="0.25">
      <c r="A11" s="150">
        <v>5406</v>
      </c>
      <c r="B11" s="478" t="s">
        <v>113</v>
      </c>
      <c r="C11" s="510">
        <v>399030.05205480469</v>
      </c>
      <c r="D11" s="306"/>
      <c r="E11" s="311">
        <f t="shared" si="0"/>
        <v>-399030.05205480469</v>
      </c>
      <c r="F11" s="512">
        <v>-109539.0016489078</v>
      </c>
      <c r="G11" s="231"/>
      <c r="H11" s="311">
        <f t="shared" si="1"/>
        <v>109539.0016489078</v>
      </c>
      <c r="I11" s="510">
        <v>76422.740589622452</v>
      </c>
      <c r="J11" s="231"/>
      <c r="K11" s="311">
        <f t="shared" si="2"/>
        <v>-76422.740589622452</v>
      </c>
    </row>
    <row r="12" spans="1:11" s="482" customFormat="1" ht="15" x14ac:dyDescent="0.25">
      <c r="A12" s="150">
        <v>5407</v>
      </c>
      <c r="B12" s="478" t="s">
        <v>114</v>
      </c>
      <c r="C12" s="510">
        <v>1764014.5050833237</v>
      </c>
      <c r="D12" s="306"/>
      <c r="E12" s="311">
        <f t="shared" si="0"/>
        <v>-1764014.5050833237</v>
      </c>
      <c r="F12" s="512">
        <v>-3606253.136770444</v>
      </c>
      <c r="G12" s="231"/>
      <c r="H12" s="311">
        <f t="shared" si="1"/>
        <v>3606253.136770444</v>
      </c>
      <c r="I12" s="510">
        <v>270184.83976957313</v>
      </c>
      <c r="J12" s="231"/>
      <c r="K12" s="311">
        <f t="shared" si="2"/>
        <v>-270184.83976957313</v>
      </c>
    </row>
    <row r="13" spans="1:11" s="482" customFormat="1" ht="15" x14ac:dyDescent="0.25">
      <c r="A13" s="150">
        <v>5408</v>
      </c>
      <c r="B13" s="478" t="s">
        <v>115</v>
      </c>
      <c r="C13" s="510">
        <v>786003.70119977789</v>
      </c>
      <c r="D13" s="306"/>
      <c r="E13" s="311">
        <f t="shared" si="0"/>
        <v>-786003.70119977789</v>
      </c>
      <c r="F13" s="512">
        <v>-519906.94575582782</v>
      </c>
      <c r="G13" s="231"/>
      <c r="H13" s="311">
        <f t="shared" si="1"/>
        <v>519906.94575582782</v>
      </c>
      <c r="I13" s="510">
        <v>85396.705031166115</v>
      </c>
      <c r="J13" s="231"/>
      <c r="K13" s="311">
        <f t="shared" si="2"/>
        <v>-85396.705031166115</v>
      </c>
    </row>
    <row r="14" spans="1:11" s="482" customFormat="1" ht="15" x14ac:dyDescent="0.25">
      <c r="A14" s="150">
        <v>5409</v>
      </c>
      <c r="B14" s="478" t="s">
        <v>116</v>
      </c>
      <c r="C14" s="510">
        <v>8353743.5387676517</v>
      </c>
      <c r="D14" s="306"/>
      <c r="E14" s="311">
        <f t="shared" si="0"/>
        <v>-8353743.5387676517</v>
      </c>
      <c r="F14" s="512">
        <v>2136217.7744275564</v>
      </c>
      <c r="G14" s="231"/>
      <c r="H14" s="311">
        <f t="shared" si="1"/>
        <v>-2136217.7744275564</v>
      </c>
      <c r="I14" s="510">
        <v>511570.05950794404</v>
      </c>
      <c r="J14" s="231"/>
      <c r="K14" s="311">
        <f t="shared" si="2"/>
        <v>-511570.05950794404</v>
      </c>
    </row>
    <row r="15" spans="1:11" s="482" customFormat="1" ht="15" x14ac:dyDescent="0.25">
      <c r="A15" s="150">
        <v>5410</v>
      </c>
      <c r="B15" s="478" t="s">
        <v>128</v>
      </c>
      <c r="C15" s="510">
        <v>770520.60222280037</v>
      </c>
      <c r="D15" s="306"/>
      <c r="E15" s="311">
        <f t="shared" si="0"/>
        <v>-770520.60222280037</v>
      </c>
      <c r="F15" s="512">
        <v>-738198.89142086788</v>
      </c>
      <c r="G15" s="231"/>
      <c r="H15" s="311">
        <f t="shared" si="1"/>
        <v>738198.89142086788</v>
      </c>
      <c r="I15" s="510">
        <v>115467.15960774705</v>
      </c>
      <c r="J15" s="231"/>
      <c r="K15" s="311">
        <f t="shared" si="2"/>
        <v>-115467.15960774705</v>
      </c>
    </row>
    <row r="16" spans="1:11" s="482" customFormat="1" ht="15" x14ac:dyDescent="0.25">
      <c r="A16" s="150">
        <v>5411</v>
      </c>
      <c r="B16" s="478" t="s">
        <v>129</v>
      </c>
      <c r="C16" s="510">
        <v>1584836.4708388534</v>
      </c>
      <c r="D16" s="306"/>
      <c r="E16" s="311">
        <f t="shared" si="0"/>
        <v>-1584836.4708388534</v>
      </c>
      <c r="F16" s="512">
        <v>253589.95637631672</v>
      </c>
      <c r="G16" s="231"/>
      <c r="H16" s="311">
        <f t="shared" si="1"/>
        <v>-253589.95637631672</v>
      </c>
      <c r="I16" s="510">
        <v>215993.04078108049</v>
      </c>
      <c r="J16" s="231"/>
      <c r="K16" s="311">
        <f t="shared" si="2"/>
        <v>-215993.04078108049</v>
      </c>
    </row>
    <row r="17" spans="1:11" s="482" customFormat="1" ht="15" x14ac:dyDescent="0.25">
      <c r="A17" s="150">
        <v>5412</v>
      </c>
      <c r="B17" s="478" t="s">
        <v>130</v>
      </c>
      <c r="C17" s="510">
        <v>424071.12577247736</v>
      </c>
      <c r="D17" s="306"/>
      <c r="E17" s="311">
        <f t="shared" si="0"/>
        <v>-424071.12577247736</v>
      </c>
      <c r="F17" s="512">
        <v>-21996.341534890846</v>
      </c>
      <c r="G17" s="231"/>
      <c r="H17" s="311">
        <f t="shared" si="1"/>
        <v>21996.341534890846</v>
      </c>
      <c r="I17" s="510">
        <v>74367.844355610694</v>
      </c>
      <c r="J17" s="231"/>
      <c r="K17" s="311">
        <f t="shared" si="2"/>
        <v>-74367.844355610694</v>
      </c>
    </row>
    <row r="18" spans="1:11" s="482" customFormat="1" ht="15" x14ac:dyDescent="0.25">
      <c r="A18" s="150">
        <v>5413</v>
      </c>
      <c r="B18" s="478" t="s">
        <v>131</v>
      </c>
      <c r="C18" s="510">
        <v>954974.9824599101</v>
      </c>
      <c r="D18" s="306"/>
      <c r="E18" s="311">
        <f t="shared" si="0"/>
        <v>-954974.9824599101</v>
      </c>
      <c r="F18" s="512">
        <v>-257630.58414529555</v>
      </c>
      <c r="G18" s="231"/>
      <c r="H18" s="311">
        <f t="shared" si="1"/>
        <v>257630.58414529555</v>
      </c>
      <c r="I18" s="510">
        <v>138607.57392300741</v>
      </c>
      <c r="J18" s="231"/>
      <c r="K18" s="311">
        <f t="shared" si="2"/>
        <v>-138607.57392300741</v>
      </c>
    </row>
    <row r="19" spans="1:11" s="482" customFormat="1" ht="15" x14ac:dyDescent="0.25">
      <c r="A19" s="150">
        <v>5414</v>
      </c>
      <c r="B19" s="478" t="s">
        <v>132</v>
      </c>
      <c r="C19" s="510">
        <v>3875067.3177019847</v>
      </c>
      <c r="D19" s="306"/>
      <c r="E19" s="311">
        <f t="shared" si="0"/>
        <v>-3875067.3177019847</v>
      </c>
      <c r="F19" s="512">
        <v>-2768432.3621148416</v>
      </c>
      <c r="G19" s="231"/>
      <c r="H19" s="311">
        <f t="shared" si="1"/>
        <v>2768432.3621148416</v>
      </c>
      <c r="I19" s="510">
        <v>506832.86135327502</v>
      </c>
      <c r="J19" s="231"/>
      <c r="K19" s="311">
        <f t="shared" si="2"/>
        <v>-506832.86135327502</v>
      </c>
    </row>
    <row r="20" spans="1:11" s="482" customFormat="1" ht="15" x14ac:dyDescent="0.25">
      <c r="A20" s="150">
        <v>5415</v>
      </c>
      <c r="B20" s="478" t="s">
        <v>71</v>
      </c>
      <c r="C20" s="510">
        <v>787734.74044719944</v>
      </c>
      <c r="D20" s="306"/>
      <c r="E20" s="311">
        <f t="shared" si="0"/>
        <v>-787734.74044719944</v>
      </c>
      <c r="F20" s="512">
        <v>239367.8577298114</v>
      </c>
      <c r="G20" s="231"/>
      <c r="H20" s="311">
        <f t="shared" si="1"/>
        <v>-239367.8577298114</v>
      </c>
      <c r="I20" s="510">
        <v>122133.08059869689</v>
      </c>
      <c r="J20" s="231"/>
      <c r="K20" s="311">
        <f t="shared" si="2"/>
        <v>-122133.08059869689</v>
      </c>
    </row>
    <row r="21" spans="1:11" s="482" customFormat="1" ht="15" x14ac:dyDescent="0.25">
      <c r="A21" s="150">
        <v>5421</v>
      </c>
      <c r="B21" s="478" t="s">
        <v>72</v>
      </c>
      <c r="C21" s="510">
        <v>1327863.5934451807</v>
      </c>
      <c r="D21" s="306"/>
      <c r="E21" s="311">
        <f t="shared" si="0"/>
        <v>-1327863.5934451807</v>
      </c>
      <c r="F21" s="512">
        <v>850428.65937015275</v>
      </c>
      <c r="G21" s="231"/>
      <c r="H21" s="311">
        <f t="shared" si="1"/>
        <v>-850428.65937015275</v>
      </c>
      <c r="I21" s="510">
        <v>214888.80116046482</v>
      </c>
      <c r="J21" s="231"/>
      <c r="K21" s="311">
        <f t="shared" si="2"/>
        <v>-214888.80116046482</v>
      </c>
    </row>
    <row r="22" spans="1:11" s="482" customFormat="1" ht="15" x14ac:dyDescent="0.25">
      <c r="A22" s="150">
        <v>5422</v>
      </c>
      <c r="B22" s="478" t="s">
        <v>73</v>
      </c>
      <c r="C22" s="510">
        <v>5721120.1061410662</v>
      </c>
      <c r="D22" s="306"/>
      <c r="E22" s="311">
        <f t="shared" si="0"/>
        <v>-5721120.1061410662</v>
      </c>
      <c r="F22" s="512">
        <v>3582816.7193260258</v>
      </c>
      <c r="G22" s="231"/>
      <c r="H22" s="311">
        <f t="shared" si="1"/>
        <v>-3582816.7193260258</v>
      </c>
      <c r="I22" s="510">
        <v>640375.69154272124</v>
      </c>
      <c r="J22" s="231"/>
      <c r="K22" s="311">
        <f t="shared" si="2"/>
        <v>-640375.69154272124</v>
      </c>
    </row>
    <row r="23" spans="1:11" s="482" customFormat="1" ht="15" x14ac:dyDescent="0.25">
      <c r="A23" s="150">
        <v>5423</v>
      </c>
      <c r="B23" s="478" t="s">
        <v>74</v>
      </c>
      <c r="C23" s="510">
        <v>300279.04766338418</v>
      </c>
      <c r="D23" s="306"/>
      <c r="E23" s="311">
        <f t="shared" si="0"/>
        <v>-300279.04766338418</v>
      </c>
      <c r="F23" s="512">
        <v>-9898.2655270231189</v>
      </c>
      <c r="G23" s="231"/>
      <c r="H23" s="311">
        <f t="shared" si="1"/>
        <v>9898.2655270231189</v>
      </c>
      <c r="I23" s="510">
        <v>51334.956009771384</v>
      </c>
      <c r="J23" s="231"/>
      <c r="K23" s="311">
        <f t="shared" si="2"/>
        <v>-51334.956009771384</v>
      </c>
    </row>
    <row r="24" spans="1:11" s="482" customFormat="1" ht="15" x14ac:dyDescent="0.25">
      <c r="A24" s="150">
        <v>5424</v>
      </c>
      <c r="B24" s="478" t="s">
        <v>75</v>
      </c>
      <c r="C24" s="510">
        <v>147519.81566918339</v>
      </c>
      <c r="D24" s="306"/>
      <c r="E24" s="311">
        <f t="shared" si="0"/>
        <v>-147519.81566918339</v>
      </c>
      <c r="F24" s="512">
        <v>-521.13659892412397</v>
      </c>
      <c r="G24" s="231"/>
      <c r="H24" s="311">
        <f t="shared" si="1"/>
        <v>521.13659892412397</v>
      </c>
      <c r="I24" s="510">
        <v>29158.64595420262</v>
      </c>
      <c r="J24" s="231"/>
      <c r="K24" s="311">
        <f t="shared" si="2"/>
        <v>-29158.64595420262</v>
      </c>
    </row>
    <row r="25" spans="1:11" s="482" customFormat="1" ht="15" x14ac:dyDescent="0.25">
      <c r="A25" s="150">
        <v>5425</v>
      </c>
      <c r="B25" s="478" t="s">
        <v>76</v>
      </c>
      <c r="C25" s="510">
        <v>773741.0853781614</v>
      </c>
      <c r="D25" s="306"/>
      <c r="E25" s="311">
        <f t="shared" si="0"/>
        <v>-773741.0853781614</v>
      </c>
      <c r="F25" s="512">
        <v>-784302.78551119857</v>
      </c>
      <c r="G25" s="231"/>
      <c r="H25" s="311">
        <f t="shared" si="1"/>
        <v>784302.78551119857</v>
      </c>
      <c r="I25" s="510">
        <v>123135.35970013327</v>
      </c>
      <c r="J25" s="231"/>
      <c r="K25" s="311">
        <f t="shared" si="2"/>
        <v>-123135.35970013327</v>
      </c>
    </row>
    <row r="26" spans="1:11" s="482" customFormat="1" ht="15" x14ac:dyDescent="0.25">
      <c r="A26" s="150">
        <v>5426</v>
      </c>
      <c r="B26" s="478" t="s">
        <v>70</v>
      </c>
      <c r="C26" s="510">
        <v>1703712.3438071124</v>
      </c>
      <c r="D26" s="306"/>
      <c r="E26" s="311">
        <f t="shared" si="0"/>
        <v>-1703712.3438071124</v>
      </c>
      <c r="F26" s="512">
        <v>948914.58497789642</v>
      </c>
      <c r="G26" s="231"/>
      <c r="H26" s="311">
        <f t="shared" si="1"/>
        <v>-948914.58497789642</v>
      </c>
      <c r="I26" s="510">
        <v>107231.56436348334</v>
      </c>
      <c r="J26" s="231"/>
      <c r="K26" s="311">
        <f t="shared" si="2"/>
        <v>-107231.56436348334</v>
      </c>
    </row>
    <row r="27" spans="1:11" s="482" customFormat="1" ht="15" x14ac:dyDescent="0.25">
      <c r="A27" s="150">
        <v>5427</v>
      </c>
      <c r="B27" s="478" t="s">
        <v>334</v>
      </c>
      <c r="C27" s="510">
        <v>2639022.5475235153</v>
      </c>
      <c r="D27" s="306"/>
      <c r="E27" s="311">
        <f t="shared" si="0"/>
        <v>-2639022.5475235153</v>
      </c>
      <c r="F27" s="512">
        <v>1595261.8731332677</v>
      </c>
      <c r="G27" s="231"/>
      <c r="H27" s="311">
        <f t="shared" si="1"/>
        <v>-1595261.8731332677</v>
      </c>
      <c r="I27" s="510">
        <v>184712.72849761209</v>
      </c>
      <c r="J27" s="231"/>
      <c r="K27" s="311">
        <f t="shared" si="2"/>
        <v>-184712.72849761209</v>
      </c>
    </row>
    <row r="28" spans="1:11" s="482" customFormat="1" ht="15" x14ac:dyDescent="0.25">
      <c r="A28" s="150">
        <v>5428</v>
      </c>
      <c r="B28" s="478" t="s">
        <v>335</v>
      </c>
      <c r="C28" s="510">
        <v>1264913.4936187777</v>
      </c>
      <c r="D28" s="306"/>
      <c r="E28" s="311">
        <f t="shared" si="0"/>
        <v>-1264913.4936187777</v>
      </c>
      <c r="F28" s="512">
        <v>-317613.70470921439</v>
      </c>
      <c r="G28" s="231"/>
      <c r="H28" s="311">
        <f t="shared" si="1"/>
        <v>317613.70470921439</v>
      </c>
      <c r="I28" s="510">
        <v>207474.68676944129</v>
      </c>
      <c r="J28" s="231"/>
      <c r="K28" s="311">
        <f t="shared" si="2"/>
        <v>-207474.68676944129</v>
      </c>
    </row>
    <row r="29" spans="1:11" s="482" customFormat="1" ht="15" x14ac:dyDescent="0.25">
      <c r="A29" s="150">
        <v>5429</v>
      </c>
      <c r="B29" s="478" t="s">
        <v>353</v>
      </c>
      <c r="C29" s="510">
        <v>273062.91152824025</v>
      </c>
      <c r="D29" s="306"/>
      <c r="E29" s="311">
        <f t="shared" si="0"/>
        <v>-273062.91152824025</v>
      </c>
      <c r="F29" s="512">
        <v>-8272.1167251202278</v>
      </c>
      <c r="G29" s="231"/>
      <c r="H29" s="311">
        <f t="shared" si="1"/>
        <v>8272.1167251202278</v>
      </c>
      <c r="I29" s="510">
        <v>47785.106619636863</v>
      </c>
      <c r="J29" s="231"/>
      <c r="K29" s="311">
        <f t="shared" si="2"/>
        <v>-47785.106619636863</v>
      </c>
    </row>
    <row r="30" spans="1:11" s="482" customFormat="1" ht="15" x14ac:dyDescent="0.25">
      <c r="A30" s="150">
        <v>5430</v>
      </c>
      <c r="B30" s="478" t="s">
        <v>354</v>
      </c>
      <c r="C30" s="510">
        <v>258214.27559764753</v>
      </c>
      <c r="D30" s="306"/>
      <c r="E30" s="311">
        <f t="shared" si="0"/>
        <v>-258214.27559764753</v>
      </c>
      <c r="F30" s="512">
        <v>-4154.4837887419126</v>
      </c>
      <c r="G30" s="231"/>
      <c r="H30" s="311">
        <f t="shared" si="1"/>
        <v>4154.4837887419126</v>
      </c>
      <c r="I30" s="510">
        <v>46711.490272168725</v>
      </c>
      <c r="J30" s="231"/>
      <c r="K30" s="311">
        <f t="shared" si="2"/>
        <v>-46711.490272168725</v>
      </c>
    </row>
    <row r="31" spans="1:11" s="482" customFormat="1" ht="15" x14ac:dyDescent="0.25">
      <c r="A31" s="150">
        <v>5431</v>
      </c>
      <c r="B31" s="478" t="s">
        <v>355</v>
      </c>
      <c r="C31" s="510">
        <v>221192.70855664642</v>
      </c>
      <c r="D31" s="306"/>
      <c r="E31" s="311">
        <f t="shared" si="0"/>
        <v>-221192.70855664642</v>
      </c>
      <c r="F31" s="512">
        <v>67044.208508729702</v>
      </c>
      <c r="G31" s="231"/>
      <c r="H31" s="311">
        <f t="shared" si="1"/>
        <v>-67044.208508729702</v>
      </c>
      <c r="I31" s="510">
        <v>33507.923553465909</v>
      </c>
      <c r="J31" s="231"/>
      <c r="K31" s="311">
        <f t="shared" si="2"/>
        <v>-33507.923553465909</v>
      </c>
    </row>
    <row r="32" spans="1:11" s="482" customFormat="1" ht="15" x14ac:dyDescent="0.25">
      <c r="A32" s="150">
        <v>5434</v>
      </c>
      <c r="B32" s="478" t="s">
        <v>356</v>
      </c>
      <c r="C32" s="510">
        <v>726324.67011093104</v>
      </c>
      <c r="D32" s="306"/>
      <c r="E32" s="311">
        <f t="shared" si="0"/>
        <v>-726324.67011093104</v>
      </c>
      <c r="F32" s="512">
        <v>395282.05141721747</v>
      </c>
      <c r="G32" s="231"/>
      <c r="H32" s="311">
        <f t="shared" si="1"/>
        <v>-395282.05141721747</v>
      </c>
      <c r="I32" s="510">
        <v>124314.84444803197</v>
      </c>
      <c r="J32" s="231"/>
      <c r="K32" s="311">
        <f t="shared" si="2"/>
        <v>-124314.84444803197</v>
      </c>
    </row>
    <row r="33" spans="1:11" s="482" customFormat="1" ht="15" x14ac:dyDescent="0.25">
      <c r="A33" s="150">
        <v>5435</v>
      </c>
      <c r="B33" s="478" t="s">
        <v>336</v>
      </c>
      <c r="C33" s="510">
        <v>406090.59310247941</v>
      </c>
      <c r="D33" s="306"/>
      <c r="E33" s="311">
        <f t="shared" si="0"/>
        <v>-406090.59310247941</v>
      </c>
      <c r="F33" s="512">
        <v>182852.48378213897</v>
      </c>
      <c r="G33" s="231"/>
      <c r="H33" s="311">
        <f t="shared" si="1"/>
        <v>-182852.48378213897</v>
      </c>
      <c r="I33" s="510">
        <v>76226.877829691875</v>
      </c>
      <c r="J33" s="231"/>
      <c r="K33" s="311">
        <f t="shared" si="2"/>
        <v>-76226.877829691875</v>
      </c>
    </row>
    <row r="34" spans="1:11" s="482" customFormat="1" ht="15" x14ac:dyDescent="0.25">
      <c r="A34" s="150">
        <v>5436</v>
      </c>
      <c r="B34" s="478" t="s">
        <v>337</v>
      </c>
      <c r="C34" s="510">
        <v>279511.38257089938</v>
      </c>
      <c r="D34" s="306"/>
      <c r="E34" s="311">
        <f t="shared" si="0"/>
        <v>-279511.38257089938</v>
      </c>
      <c r="F34" s="512">
        <v>169901.98487720499</v>
      </c>
      <c r="G34" s="231"/>
      <c r="H34" s="311">
        <f t="shared" si="1"/>
        <v>-169901.98487720499</v>
      </c>
      <c r="I34" s="510">
        <v>52721.263527389332</v>
      </c>
      <c r="J34" s="231"/>
      <c r="K34" s="311">
        <f t="shared" si="2"/>
        <v>-52721.263527389332</v>
      </c>
    </row>
    <row r="35" spans="1:11" s="482" customFormat="1" ht="15" x14ac:dyDescent="0.25">
      <c r="A35" s="150">
        <v>5437</v>
      </c>
      <c r="B35" s="478" t="s">
        <v>338</v>
      </c>
      <c r="C35" s="510">
        <v>224971.32888046349</v>
      </c>
      <c r="D35" s="306"/>
      <c r="E35" s="311">
        <f t="shared" si="0"/>
        <v>-224971.32888046349</v>
      </c>
      <c r="F35" s="512">
        <v>29903.767864030677</v>
      </c>
      <c r="G35" s="231"/>
      <c r="H35" s="311">
        <f t="shared" si="1"/>
        <v>-29903.767864030677</v>
      </c>
      <c r="I35" s="510">
        <v>41534.6428668511</v>
      </c>
      <c r="J35" s="231"/>
      <c r="K35" s="311">
        <f t="shared" si="2"/>
        <v>-41534.6428668511</v>
      </c>
    </row>
    <row r="36" spans="1:11" s="482" customFormat="1" ht="15" x14ac:dyDescent="0.25">
      <c r="A36" s="150">
        <v>5451</v>
      </c>
      <c r="B36" s="478" t="s">
        <v>339</v>
      </c>
      <c r="C36" s="510">
        <v>2508348.7970377402</v>
      </c>
      <c r="D36" s="306"/>
      <c r="E36" s="311">
        <f t="shared" si="0"/>
        <v>-2508348.7970377402</v>
      </c>
      <c r="F36" s="512">
        <v>-1457231.7390009111</v>
      </c>
      <c r="G36" s="231"/>
      <c r="H36" s="311">
        <f t="shared" si="1"/>
        <v>1457231.7390009111</v>
      </c>
      <c r="I36" s="510">
        <v>401527.73902720702</v>
      </c>
      <c r="J36" s="231"/>
      <c r="K36" s="311">
        <f t="shared" si="2"/>
        <v>-401527.73902720702</v>
      </c>
    </row>
    <row r="37" spans="1:11" s="482" customFormat="1" ht="15" x14ac:dyDescent="0.25">
      <c r="A37" s="150">
        <v>5456</v>
      </c>
      <c r="B37" s="478" t="s">
        <v>340</v>
      </c>
      <c r="C37" s="510">
        <v>1458955.0672770939</v>
      </c>
      <c r="D37" s="306"/>
      <c r="E37" s="311">
        <f t="shared" si="0"/>
        <v>-1458955.0672770939</v>
      </c>
      <c r="F37" s="512">
        <v>108652.34119727521</v>
      </c>
      <c r="G37" s="231"/>
      <c r="H37" s="311">
        <f t="shared" si="1"/>
        <v>-108652.34119727521</v>
      </c>
      <c r="I37" s="510">
        <v>177925.09272244538</v>
      </c>
      <c r="J37" s="231"/>
      <c r="K37" s="311">
        <f t="shared" si="2"/>
        <v>-177925.09272244538</v>
      </c>
    </row>
    <row r="38" spans="1:11" s="482" customFormat="1" ht="15" x14ac:dyDescent="0.25">
      <c r="A38" s="150">
        <v>5458</v>
      </c>
      <c r="B38" s="478" t="s">
        <v>341</v>
      </c>
      <c r="C38" s="510">
        <v>732222.28728932282</v>
      </c>
      <c r="D38" s="306"/>
      <c r="E38" s="311">
        <f t="shared" si="0"/>
        <v>-732222.28728932282</v>
      </c>
      <c r="F38" s="512">
        <v>347440.24825995305</v>
      </c>
      <c r="G38" s="231"/>
      <c r="H38" s="311">
        <f t="shared" si="1"/>
        <v>-347440.24825995305</v>
      </c>
      <c r="I38" s="510">
        <v>103208.27275508306</v>
      </c>
      <c r="J38" s="231"/>
      <c r="K38" s="311">
        <f t="shared" si="2"/>
        <v>-103208.27275508306</v>
      </c>
    </row>
    <row r="39" spans="1:11" s="482" customFormat="1" ht="15" x14ac:dyDescent="0.25">
      <c r="A39" s="150">
        <v>5464</v>
      </c>
      <c r="B39" s="478" t="s">
        <v>415</v>
      </c>
      <c r="C39" s="510">
        <v>2109043.6937075015</v>
      </c>
      <c r="D39" s="306"/>
      <c r="E39" s="311">
        <f t="shared" si="0"/>
        <v>-2109043.6937075015</v>
      </c>
      <c r="F39" s="512">
        <v>79185.082192192669</v>
      </c>
      <c r="G39" s="231"/>
      <c r="H39" s="311">
        <f t="shared" si="1"/>
        <v>-79185.082192192669</v>
      </c>
      <c r="I39" s="510">
        <v>350114.25562553847</v>
      </c>
      <c r="J39" s="231"/>
      <c r="K39" s="311">
        <f t="shared" si="2"/>
        <v>-350114.25562553847</v>
      </c>
    </row>
    <row r="40" spans="1:11" s="482" customFormat="1" ht="15" x14ac:dyDescent="0.25">
      <c r="A40" s="150">
        <v>5471</v>
      </c>
      <c r="B40" s="478" t="s">
        <v>342</v>
      </c>
      <c r="C40" s="510">
        <v>362854.06861390069</v>
      </c>
      <c r="D40" s="306"/>
      <c r="E40" s="311">
        <f t="shared" si="0"/>
        <v>-362854.06861390069</v>
      </c>
      <c r="F40" s="512">
        <v>184602.41114580591</v>
      </c>
      <c r="G40" s="231"/>
      <c r="H40" s="311">
        <f t="shared" si="1"/>
        <v>-184602.41114580591</v>
      </c>
      <c r="I40" s="510">
        <v>67750.46797711197</v>
      </c>
      <c r="J40" s="231"/>
      <c r="K40" s="311">
        <f t="shared" si="2"/>
        <v>-67750.46797711197</v>
      </c>
    </row>
    <row r="41" spans="1:11" s="482" customFormat="1" ht="15" x14ac:dyDescent="0.25">
      <c r="A41" s="150">
        <v>5472</v>
      </c>
      <c r="B41" s="478" t="s">
        <v>343</v>
      </c>
      <c r="C41" s="510">
        <v>260423.63271484227</v>
      </c>
      <c r="D41" s="306"/>
      <c r="E41" s="311">
        <f t="shared" si="0"/>
        <v>-260423.63271484227</v>
      </c>
      <c r="F41" s="512">
        <v>137435.72164232004</v>
      </c>
      <c r="G41" s="231"/>
      <c r="H41" s="311">
        <f t="shared" si="1"/>
        <v>-137435.72164232004</v>
      </c>
      <c r="I41" s="510">
        <v>46932.981636884746</v>
      </c>
      <c r="J41" s="231"/>
      <c r="K41" s="311">
        <f t="shared" si="2"/>
        <v>-46932.981636884746</v>
      </c>
    </row>
    <row r="42" spans="1:11" s="482" customFormat="1" ht="15" x14ac:dyDescent="0.25">
      <c r="A42" s="150">
        <v>5473</v>
      </c>
      <c r="B42" s="478" t="s">
        <v>205</v>
      </c>
      <c r="C42" s="510">
        <v>571034.92432017345</v>
      </c>
      <c r="D42" s="306"/>
      <c r="E42" s="311">
        <f t="shared" si="0"/>
        <v>-571034.92432017345</v>
      </c>
      <c r="F42" s="512">
        <v>334623.70330954401</v>
      </c>
      <c r="G42" s="231"/>
      <c r="H42" s="311">
        <f t="shared" si="1"/>
        <v>-334623.70330954401</v>
      </c>
      <c r="I42" s="510">
        <v>107326.14695184772</v>
      </c>
      <c r="J42" s="231"/>
      <c r="K42" s="311">
        <f t="shared" si="2"/>
        <v>-107326.14695184772</v>
      </c>
    </row>
    <row r="43" spans="1:11" s="482" customFormat="1" ht="15" x14ac:dyDescent="0.25">
      <c r="A43" s="150">
        <v>5474</v>
      </c>
      <c r="B43" s="478" t="s">
        <v>206</v>
      </c>
      <c r="C43" s="510">
        <v>286216.46393842075</v>
      </c>
      <c r="D43" s="306"/>
      <c r="E43" s="311">
        <f t="shared" si="0"/>
        <v>-286216.46393842075</v>
      </c>
      <c r="F43" s="512">
        <v>39420.043547669251</v>
      </c>
      <c r="G43" s="231"/>
      <c r="H43" s="311">
        <f t="shared" si="1"/>
        <v>-39420.043547669251</v>
      </c>
      <c r="I43" s="510">
        <v>48468.317634462714</v>
      </c>
      <c r="J43" s="231"/>
      <c r="K43" s="311">
        <f t="shared" si="2"/>
        <v>-48468.317634462714</v>
      </c>
    </row>
    <row r="44" spans="1:11" s="482" customFormat="1" ht="15" x14ac:dyDescent="0.25">
      <c r="A44" s="150">
        <v>5475</v>
      </c>
      <c r="B44" s="478" t="s">
        <v>361</v>
      </c>
      <c r="C44" s="510">
        <v>59481.972194499554</v>
      </c>
      <c r="D44" s="306"/>
      <c r="E44" s="311">
        <f t="shared" si="0"/>
        <v>-59481.972194499554</v>
      </c>
      <c r="F44" s="512">
        <v>-69255.805393352319</v>
      </c>
      <c r="G44" s="231"/>
      <c r="H44" s="311">
        <f t="shared" si="1"/>
        <v>69255.805393352319</v>
      </c>
      <c r="I44" s="510">
        <v>9411.548203957489</v>
      </c>
      <c r="J44" s="231"/>
      <c r="K44" s="311">
        <f t="shared" si="2"/>
        <v>-9411.548203957489</v>
      </c>
    </row>
    <row r="45" spans="1:11" s="482" customFormat="1" ht="15" x14ac:dyDescent="0.25">
      <c r="A45" s="150">
        <v>5476</v>
      </c>
      <c r="B45" s="478" t="s">
        <v>362</v>
      </c>
      <c r="C45" s="510">
        <v>193757.51334715457</v>
      </c>
      <c r="D45" s="306"/>
      <c r="E45" s="311">
        <f t="shared" si="0"/>
        <v>-193757.51334715457</v>
      </c>
      <c r="F45" s="512">
        <v>156246.25047713213</v>
      </c>
      <c r="G45" s="231"/>
      <c r="H45" s="311">
        <f t="shared" si="1"/>
        <v>-156246.25047713213</v>
      </c>
      <c r="I45" s="510">
        <v>39911.66386240939</v>
      </c>
      <c r="J45" s="231"/>
      <c r="K45" s="311">
        <f t="shared" si="2"/>
        <v>-39911.66386240939</v>
      </c>
    </row>
    <row r="46" spans="1:11" s="482" customFormat="1" ht="15" x14ac:dyDescent="0.25">
      <c r="A46" s="150">
        <v>5477</v>
      </c>
      <c r="B46" s="478" t="s">
        <v>363</v>
      </c>
      <c r="C46" s="510">
        <v>2467444.8868554663</v>
      </c>
      <c r="D46" s="306"/>
      <c r="E46" s="311">
        <f t="shared" si="0"/>
        <v>-2467444.8868554663</v>
      </c>
      <c r="F46" s="512">
        <v>120113.55332270055</v>
      </c>
      <c r="G46" s="231"/>
      <c r="H46" s="311">
        <f t="shared" si="1"/>
        <v>-120113.55332270055</v>
      </c>
      <c r="I46" s="510">
        <v>454839.62167872291</v>
      </c>
      <c r="J46" s="231"/>
      <c r="K46" s="311">
        <f t="shared" si="2"/>
        <v>-454839.62167872291</v>
      </c>
    </row>
    <row r="47" spans="1:11" s="482" customFormat="1" ht="15" x14ac:dyDescent="0.25">
      <c r="A47" s="150">
        <v>5478</v>
      </c>
      <c r="B47" s="478" t="s">
        <v>234</v>
      </c>
      <c r="C47" s="510">
        <v>321180.49514346675</v>
      </c>
      <c r="D47" s="306"/>
      <c r="E47" s="311">
        <f t="shared" si="0"/>
        <v>-321180.49514346675</v>
      </c>
      <c r="F47" s="512">
        <v>-353139.1315538424</v>
      </c>
      <c r="G47" s="231"/>
      <c r="H47" s="311">
        <f t="shared" si="1"/>
        <v>353139.1315538424</v>
      </c>
      <c r="I47" s="510">
        <v>55385.492004865024</v>
      </c>
      <c r="J47" s="231"/>
      <c r="K47" s="311">
        <f t="shared" si="2"/>
        <v>-55385.492004865024</v>
      </c>
    </row>
    <row r="48" spans="1:11" s="482" customFormat="1" ht="15" x14ac:dyDescent="0.25">
      <c r="A48" s="150">
        <v>5479</v>
      </c>
      <c r="B48" s="478" t="s">
        <v>235</v>
      </c>
      <c r="C48" s="510">
        <v>289782.71623758494</v>
      </c>
      <c r="D48" s="306"/>
      <c r="E48" s="311">
        <f t="shared" si="0"/>
        <v>-289782.71623758494</v>
      </c>
      <c r="F48" s="512">
        <v>-133799.43367725867</v>
      </c>
      <c r="G48" s="231"/>
      <c r="H48" s="311">
        <f t="shared" si="1"/>
        <v>133799.43367725867</v>
      </c>
      <c r="I48" s="510">
        <v>54569.465357491295</v>
      </c>
      <c r="J48" s="231"/>
      <c r="K48" s="311">
        <f t="shared" si="2"/>
        <v>-54569.465357491295</v>
      </c>
    </row>
    <row r="49" spans="1:11" s="482" customFormat="1" ht="15" x14ac:dyDescent="0.25">
      <c r="A49" s="150">
        <v>5480</v>
      </c>
      <c r="B49" s="478" t="s">
        <v>236</v>
      </c>
      <c r="C49" s="510">
        <v>721488.66973476729</v>
      </c>
      <c r="D49" s="306"/>
      <c r="E49" s="311">
        <f t="shared" si="0"/>
        <v>-721488.66973476729</v>
      </c>
      <c r="F49" s="512">
        <v>114864.28096304508</v>
      </c>
      <c r="G49" s="231"/>
      <c r="H49" s="311">
        <f t="shared" si="1"/>
        <v>-114864.28096304508</v>
      </c>
      <c r="I49" s="510">
        <v>123719.02120496256</v>
      </c>
      <c r="J49" s="231"/>
      <c r="K49" s="311">
        <f t="shared" si="2"/>
        <v>-123719.02120496256</v>
      </c>
    </row>
    <row r="50" spans="1:11" s="482" customFormat="1" ht="15" x14ac:dyDescent="0.25">
      <c r="A50" s="150">
        <v>5481</v>
      </c>
      <c r="B50" s="478" t="s">
        <v>237</v>
      </c>
      <c r="C50" s="510">
        <v>148828.80556839472</v>
      </c>
      <c r="D50" s="306"/>
      <c r="E50" s="311">
        <f t="shared" si="0"/>
        <v>-148828.80556839472</v>
      </c>
      <c r="F50" s="512">
        <v>121494.49006190864</v>
      </c>
      <c r="G50" s="231"/>
      <c r="H50" s="311">
        <f t="shared" si="1"/>
        <v>-121494.49006190864</v>
      </c>
      <c r="I50" s="510">
        <v>30951.920602022663</v>
      </c>
      <c r="J50" s="231"/>
      <c r="K50" s="311">
        <f t="shared" si="2"/>
        <v>-30951.920602022663</v>
      </c>
    </row>
    <row r="51" spans="1:11" s="482" customFormat="1" ht="15" x14ac:dyDescent="0.25">
      <c r="A51" s="150">
        <v>5482</v>
      </c>
      <c r="B51" s="478" t="s">
        <v>238</v>
      </c>
      <c r="C51" s="510">
        <v>1119297.4117954555</v>
      </c>
      <c r="D51" s="306"/>
      <c r="E51" s="311">
        <f t="shared" si="0"/>
        <v>-1119297.4117954555</v>
      </c>
      <c r="F51" s="512">
        <v>925677.06622679229</v>
      </c>
      <c r="G51" s="231"/>
      <c r="H51" s="311">
        <f t="shared" si="1"/>
        <v>-925677.06622679229</v>
      </c>
      <c r="I51" s="510">
        <v>177959.72741005069</v>
      </c>
      <c r="J51" s="231"/>
      <c r="K51" s="311">
        <f t="shared" si="2"/>
        <v>-177959.72741005069</v>
      </c>
    </row>
    <row r="52" spans="1:11" s="482" customFormat="1" ht="15" x14ac:dyDescent="0.25">
      <c r="A52" s="150">
        <v>5483</v>
      </c>
      <c r="B52" s="478" t="s">
        <v>138</v>
      </c>
      <c r="C52" s="510">
        <v>200973.49755558258</v>
      </c>
      <c r="D52" s="306"/>
      <c r="E52" s="311">
        <f t="shared" si="0"/>
        <v>-200973.49755558258</v>
      </c>
      <c r="F52" s="512">
        <v>95770.542039660184</v>
      </c>
      <c r="G52" s="231"/>
      <c r="H52" s="311">
        <f t="shared" si="1"/>
        <v>-95770.542039660184</v>
      </c>
      <c r="I52" s="510">
        <v>35228.122043680443</v>
      </c>
      <c r="J52" s="231"/>
      <c r="K52" s="311">
        <f t="shared" si="2"/>
        <v>-35228.122043680443</v>
      </c>
    </row>
    <row r="53" spans="1:11" s="482" customFormat="1" ht="15" x14ac:dyDescent="0.25">
      <c r="A53" s="150">
        <v>5484</v>
      </c>
      <c r="B53" s="478" t="s">
        <v>139</v>
      </c>
      <c r="C53" s="510">
        <v>658142.69854527398</v>
      </c>
      <c r="D53" s="306"/>
      <c r="E53" s="311">
        <f t="shared" si="0"/>
        <v>-658142.69854527398</v>
      </c>
      <c r="F53" s="512">
        <v>225461.56211147332</v>
      </c>
      <c r="G53" s="231"/>
      <c r="H53" s="311">
        <f t="shared" si="1"/>
        <v>-225461.56211147332</v>
      </c>
      <c r="I53" s="510">
        <v>105966.21411653073</v>
      </c>
      <c r="J53" s="231"/>
      <c r="K53" s="311">
        <f t="shared" si="2"/>
        <v>-105966.21411653073</v>
      </c>
    </row>
    <row r="54" spans="1:11" s="482" customFormat="1" ht="15" x14ac:dyDescent="0.25">
      <c r="A54" s="150">
        <v>5485</v>
      </c>
      <c r="B54" s="478" t="s">
        <v>140</v>
      </c>
      <c r="C54" s="510">
        <v>303903.901233632</v>
      </c>
      <c r="D54" s="306"/>
      <c r="E54" s="311">
        <f t="shared" si="0"/>
        <v>-303903.901233632</v>
      </c>
      <c r="F54" s="512">
        <v>228375.30394037237</v>
      </c>
      <c r="G54" s="231"/>
      <c r="H54" s="311">
        <f t="shared" si="1"/>
        <v>-228375.30394037237</v>
      </c>
      <c r="I54" s="510">
        <v>53465.504191560787</v>
      </c>
      <c r="J54" s="231"/>
      <c r="K54" s="311">
        <f t="shared" si="2"/>
        <v>-53465.504191560787</v>
      </c>
    </row>
    <row r="55" spans="1:11" s="482" customFormat="1" ht="15" x14ac:dyDescent="0.25">
      <c r="A55" s="150">
        <v>5486</v>
      </c>
      <c r="B55" s="478" t="s">
        <v>1</v>
      </c>
      <c r="C55" s="510">
        <v>868029.67263062694</v>
      </c>
      <c r="D55" s="306"/>
      <c r="E55" s="311">
        <f t="shared" si="0"/>
        <v>-868029.67263062694</v>
      </c>
      <c r="F55" s="512">
        <v>50504.196095282154</v>
      </c>
      <c r="G55" s="231"/>
      <c r="H55" s="311">
        <f t="shared" si="1"/>
        <v>-50504.196095282154</v>
      </c>
      <c r="I55" s="510">
        <v>112461.45151463448</v>
      </c>
      <c r="J55" s="231"/>
      <c r="K55" s="311">
        <f t="shared" si="2"/>
        <v>-112461.45151463448</v>
      </c>
    </row>
    <row r="56" spans="1:11" s="482" customFormat="1" ht="15" x14ac:dyDescent="0.25">
      <c r="A56" s="150">
        <v>5487</v>
      </c>
      <c r="B56" s="478" t="s">
        <v>2</v>
      </c>
      <c r="C56" s="510">
        <v>272688.54706928151</v>
      </c>
      <c r="D56" s="306"/>
      <c r="E56" s="311">
        <f t="shared" si="0"/>
        <v>-272688.54706928151</v>
      </c>
      <c r="F56" s="512">
        <v>82520.356503975243</v>
      </c>
      <c r="G56" s="231"/>
      <c r="H56" s="311">
        <f t="shared" si="1"/>
        <v>-82520.356503975243</v>
      </c>
      <c r="I56" s="510">
        <v>48837.275298109453</v>
      </c>
      <c r="J56" s="231"/>
      <c r="K56" s="311">
        <f t="shared" si="2"/>
        <v>-48837.275298109453</v>
      </c>
    </row>
    <row r="57" spans="1:11" s="482" customFormat="1" ht="15" x14ac:dyDescent="0.25">
      <c r="A57" s="150">
        <v>5488</v>
      </c>
      <c r="B57" s="478" t="s">
        <v>3</v>
      </c>
      <c r="C57" s="510">
        <v>26842.036907526184</v>
      </c>
      <c r="D57" s="306"/>
      <c r="E57" s="311">
        <f t="shared" si="0"/>
        <v>-26842.036907526184</v>
      </c>
      <c r="F57" s="512">
        <v>6303.4811302019989</v>
      </c>
      <c r="G57" s="231"/>
      <c r="H57" s="311">
        <f t="shared" si="1"/>
        <v>-6303.4811302019989</v>
      </c>
      <c r="I57" s="510">
        <v>5534.8776474031174</v>
      </c>
      <c r="J57" s="231"/>
      <c r="K57" s="311">
        <f t="shared" si="2"/>
        <v>-5534.8776474031174</v>
      </c>
    </row>
    <row r="58" spans="1:11" s="482" customFormat="1" ht="15" x14ac:dyDescent="0.25">
      <c r="A58" s="150">
        <v>5489</v>
      </c>
      <c r="B58" s="478" t="s">
        <v>4</v>
      </c>
      <c r="C58" s="510">
        <v>1654590.8007153366</v>
      </c>
      <c r="D58" s="306"/>
      <c r="E58" s="311">
        <f t="shared" si="0"/>
        <v>-1654590.8007153366</v>
      </c>
      <c r="F58" s="512">
        <v>1156979.8865876205</v>
      </c>
      <c r="G58" s="231"/>
      <c r="H58" s="311">
        <f t="shared" si="1"/>
        <v>-1156979.8865876205</v>
      </c>
      <c r="I58" s="510">
        <v>142698.04315865794</v>
      </c>
      <c r="J58" s="231"/>
      <c r="K58" s="311">
        <f t="shared" si="2"/>
        <v>-142698.04315865794</v>
      </c>
    </row>
    <row r="59" spans="1:11" s="482" customFormat="1" ht="15" x14ac:dyDescent="0.25">
      <c r="A59" s="150">
        <v>5490</v>
      </c>
      <c r="B59" s="478" t="s">
        <v>5</v>
      </c>
      <c r="C59" s="510">
        <v>137112.14482833442</v>
      </c>
      <c r="D59" s="306"/>
      <c r="E59" s="311">
        <f t="shared" si="0"/>
        <v>-137112.14482833442</v>
      </c>
      <c r="F59" s="512">
        <v>-80622.098614539718</v>
      </c>
      <c r="G59" s="231"/>
      <c r="H59" s="311">
        <f t="shared" si="1"/>
        <v>80622.098614539718</v>
      </c>
      <c r="I59" s="510">
        <v>26243.967368974547</v>
      </c>
      <c r="J59" s="231"/>
      <c r="K59" s="311">
        <f t="shared" si="2"/>
        <v>-26243.967368974547</v>
      </c>
    </row>
    <row r="60" spans="1:11" s="482" customFormat="1" ht="15" x14ac:dyDescent="0.25">
      <c r="A60" s="150">
        <v>5491</v>
      </c>
      <c r="B60" s="478" t="s">
        <v>160</v>
      </c>
      <c r="C60" s="510">
        <v>230157.84227581552</v>
      </c>
      <c r="D60" s="306"/>
      <c r="E60" s="311">
        <f t="shared" si="0"/>
        <v>-230157.84227581552</v>
      </c>
      <c r="F60" s="512">
        <v>-54661.767310982337</v>
      </c>
      <c r="G60" s="231"/>
      <c r="H60" s="311">
        <f t="shared" si="1"/>
        <v>54661.767310982337</v>
      </c>
      <c r="I60" s="510">
        <v>44288.526914968395</v>
      </c>
      <c r="J60" s="231"/>
      <c r="K60" s="311">
        <f t="shared" si="2"/>
        <v>-44288.526914968395</v>
      </c>
    </row>
    <row r="61" spans="1:11" s="482" customFormat="1" ht="15" x14ac:dyDescent="0.25">
      <c r="A61" s="150">
        <v>5492</v>
      </c>
      <c r="B61" s="478" t="s">
        <v>161</v>
      </c>
      <c r="C61" s="510">
        <v>7509835.1834885944</v>
      </c>
      <c r="D61" s="306"/>
      <c r="E61" s="311">
        <f t="shared" si="0"/>
        <v>-7509835.1834885944</v>
      </c>
      <c r="F61" s="512">
        <v>1665195.9090114036</v>
      </c>
      <c r="G61" s="231"/>
      <c r="H61" s="311">
        <f t="shared" si="1"/>
        <v>-1665195.9090114036</v>
      </c>
      <c r="I61" s="510">
        <v>325893.43790574686</v>
      </c>
      <c r="J61" s="231"/>
      <c r="K61" s="311">
        <f t="shared" si="2"/>
        <v>-325893.43790574686</v>
      </c>
    </row>
    <row r="62" spans="1:11" s="482" customFormat="1" ht="15" x14ac:dyDescent="0.25">
      <c r="A62" s="150">
        <v>5493</v>
      </c>
      <c r="B62" s="478" t="s">
        <v>162</v>
      </c>
      <c r="C62" s="510">
        <v>249008.94118633866</v>
      </c>
      <c r="D62" s="306"/>
      <c r="E62" s="311">
        <f t="shared" si="0"/>
        <v>-249008.94118633866</v>
      </c>
      <c r="F62" s="512">
        <v>-20703.804496386962</v>
      </c>
      <c r="G62" s="231"/>
      <c r="H62" s="311">
        <f t="shared" si="1"/>
        <v>20703.804496386962</v>
      </c>
      <c r="I62" s="510">
        <v>33552.167502357479</v>
      </c>
      <c r="J62" s="231"/>
      <c r="K62" s="311">
        <f t="shared" si="2"/>
        <v>-33552.167502357479</v>
      </c>
    </row>
    <row r="63" spans="1:11" s="482" customFormat="1" ht="15" x14ac:dyDescent="0.25">
      <c r="A63" s="150">
        <v>5494</v>
      </c>
      <c r="B63" s="478" t="s">
        <v>163</v>
      </c>
      <c r="C63" s="510">
        <v>665664.7737498075</v>
      </c>
      <c r="D63" s="306"/>
      <c r="E63" s="311">
        <f t="shared" si="0"/>
        <v>-665664.7737498075</v>
      </c>
      <c r="F63" s="512">
        <v>31222.67226537125</v>
      </c>
      <c r="G63" s="231"/>
      <c r="H63" s="311">
        <f t="shared" si="1"/>
        <v>-31222.67226537125</v>
      </c>
      <c r="I63" s="510">
        <v>115722.01928194231</v>
      </c>
      <c r="J63" s="231"/>
      <c r="K63" s="311">
        <f t="shared" si="2"/>
        <v>-115722.01928194231</v>
      </c>
    </row>
    <row r="64" spans="1:11" s="482" customFormat="1" ht="15" x14ac:dyDescent="0.25">
      <c r="A64" s="150">
        <v>5495</v>
      </c>
      <c r="B64" s="478" t="s">
        <v>164</v>
      </c>
      <c r="C64" s="510">
        <v>1676158.0051539443</v>
      </c>
      <c r="D64" s="306"/>
      <c r="E64" s="311">
        <f t="shared" si="0"/>
        <v>-1676158.0051539443</v>
      </c>
      <c r="F64" s="512">
        <v>-831420.35775271384</v>
      </c>
      <c r="G64" s="231"/>
      <c r="H64" s="311">
        <f t="shared" si="1"/>
        <v>831420.35775271384</v>
      </c>
      <c r="I64" s="510">
        <v>297379.65239315911</v>
      </c>
      <c r="J64" s="231"/>
      <c r="K64" s="311">
        <f t="shared" si="2"/>
        <v>-297379.65239315911</v>
      </c>
    </row>
    <row r="65" spans="1:11" s="482" customFormat="1" ht="15" x14ac:dyDescent="0.25">
      <c r="A65" s="150">
        <v>5496</v>
      </c>
      <c r="B65" s="478" t="s">
        <v>165</v>
      </c>
      <c r="C65" s="510">
        <v>1127193.7234743854</v>
      </c>
      <c r="D65" s="306"/>
      <c r="E65" s="311">
        <f t="shared" si="0"/>
        <v>-1127193.7234743854</v>
      </c>
      <c r="F65" s="512">
        <v>91305.028838860191</v>
      </c>
      <c r="G65" s="231"/>
      <c r="H65" s="311">
        <f t="shared" si="1"/>
        <v>-91305.028838860191</v>
      </c>
      <c r="I65" s="510">
        <v>185432.87257959286</v>
      </c>
      <c r="J65" s="231"/>
      <c r="K65" s="311">
        <f t="shared" si="2"/>
        <v>-185432.87257959286</v>
      </c>
    </row>
    <row r="66" spans="1:11" s="482" customFormat="1" ht="15" x14ac:dyDescent="0.25">
      <c r="A66" s="150">
        <v>5497</v>
      </c>
      <c r="B66" s="478" t="s">
        <v>166</v>
      </c>
      <c r="C66" s="510">
        <v>467955.86007974314</v>
      </c>
      <c r="D66" s="306"/>
      <c r="E66" s="311">
        <f t="shared" si="0"/>
        <v>-467955.86007974314</v>
      </c>
      <c r="F66" s="512">
        <v>-111879.23736861302</v>
      </c>
      <c r="G66" s="231"/>
      <c r="H66" s="311">
        <f t="shared" si="1"/>
        <v>111879.23736861302</v>
      </c>
      <c r="I66" s="510">
        <v>71189.171256131143</v>
      </c>
      <c r="J66" s="231"/>
      <c r="K66" s="311">
        <f t="shared" si="2"/>
        <v>-71189.171256131143</v>
      </c>
    </row>
    <row r="67" spans="1:11" s="482" customFormat="1" ht="15" x14ac:dyDescent="0.25">
      <c r="A67" s="150">
        <v>5498</v>
      </c>
      <c r="B67" s="478" t="s">
        <v>167</v>
      </c>
      <c r="C67" s="510">
        <v>1469048.992898352</v>
      </c>
      <c r="D67" s="306"/>
      <c r="E67" s="311">
        <f t="shared" si="0"/>
        <v>-1469048.992898352</v>
      </c>
      <c r="F67" s="512">
        <v>-501058.44788767223</v>
      </c>
      <c r="G67" s="231"/>
      <c r="H67" s="311">
        <f t="shared" si="1"/>
        <v>501058.44788767223</v>
      </c>
      <c r="I67" s="510">
        <v>241955.06897321553</v>
      </c>
      <c r="J67" s="231"/>
      <c r="K67" s="311">
        <f t="shared" si="2"/>
        <v>-241955.06897321553</v>
      </c>
    </row>
    <row r="68" spans="1:11" s="482" customFormat="1" ht="15" x14ac:dyDescent="0.25">
      <c r="A68" s="150">
        <v>5499</v>
      </c>
      <c r="B68" s="478" t="s">
        <v>168</v>
      </c>
      <c r="C68" s="510">
        <v>359295.45244904741</v>
      </c>
      <c r="D68" s="306"/>
      <c r="E68" s="311">
        <f t="shared" si="0"/>
        <v>-359295.45244904741</v>
      </c>
      <c r="F68" s="512">
        <v>278416.82803762727</v>
      </c>
      <c r="G68" s="231"/>
      <c r="H68" s="311">
        <f t="shared" si="1"/>
        <v>-278416.82803762727</v>
      </c>
      <c r="I68" s="510">
        <v>61337.616852839899</v>
      </c>
      <c r="J68" s="231"/>
      <c r="K68" s="311">
        <f t="shared" si="2"/>
        <v>-61337.616852839899</v>
      </c>
    </row>
    <row r="69" spans="1:11" s="482" customFormat="1" ht="15" x14ac:dyDescent="0.25">
      <c r="A69" s="150">
        <v>5500</v>
      </c>
      <c r="B69" s="478" t="s">
        <v>169</v>
      </c>
      <c r="C69" s="510">
        <v>123065.842249469</v>
      </c>
      <c r="D69" s="306"/>
      <c r="E69" s="311">
        <f t="shared" si="0"/>
        <v>-123065.842249469</v>
      </c>
      <c r="F69" s="512">
        <v>14840.12830979938</v>
      </c>
      <c r="G69" s="231"/>
      <c r="H69" s="311">
        <f t="shared" si="1"/>
        <v>-14840.12830979938</v>
      </c>
      <c r="I69" s="510">
        <v>21829.884021568829</v>
      </c>
      <c r="J69" s="231"/>
      <c r="K69" s="311">
        <f t="shared" si="2"/>
        <v>-21829.884021568829</v>
      </c>
    </row>
    <row r="70" spans="1:11" s="482" customFormat="1" ht="15" x14ac:dyDescent="0.25">
      <c r="A70" s="150">
        <v>5501</v>
      </c>
      <c r="B70" s="478" t="s">
        <v>170</v>
      </c>
      <c r="C70" s="510">
        <v>710146.67958410049</v>
      </c>
      <c r="D70" s="306"/>
      <c r="E70" s="311">
        <f t="shared" ref="E70:E133" si="3">D70-C70</f>
        <v>-710146.67958410049</v>
      </c>
      <c r="F70" s="512">
        <v>511059.80794225307</v>
      </c>
      <c r="G70" s="231"/>
      <c r="H70" s="311">
        <f t="shared" ref="H70:H133" si="4">G70-F70</f>
        <v>-511059.80794225307</v>
      </c>
      <c r="I70" s="510">
        <v>126446.91637093431</v>
      </c>
      <c r="J70" s="231"/>
      <c r="K70" s="311">
        <f t="shared" ref="K70:K133" si="5">J70-I70</f>
        <v>-126446.91637093431</v>
      </c>
    </row>
    <row r="71" spans="1:11" s="482" customFormat="1" ht="15" x14ac:dyDescent="0.25">
      <c r="A71" s="150">
        <v>5503</v>
      </c>
      <c r="B71" s="478" t="s">
        <v>171</v>
      </c>
      <c r="C71" s="510">
        <v>2104165.4022526066</v>
      </c>
      <c r="D71" s="306"/>
      <c r="E71" s="311">
        <f t="shared" si="3"/>
        <v>-2104165.4022526066</v>
      </c>
      <c r="F71" s="512">
        <v>1530284.4836864597</v>
      </c>
      <c r="G71" s="231"/>
      <c r="H71" s="311">
        <f t="shared" si="4"/>
        <v>-1530284.4836864597</v>
      </c>
      <c r="I71" s="510">
        <v>225341.14398482989</v>
      </c>
      <c r="J71" s="231"/>
      <c r="K71" s="311">
        <f t="shared" si="5"/>
        <v>-225341.14398482989</v>
      </c>
    </row>
    <row r="72" spans="1:11" s="482" customFormat="1" ht="15" x14ac:dyDescent="0.25">
      <c r="A72" s="150">
        <v>5511</v>
      </c>
      <c r="B72" s="478" t="s">
        <v>172</v>
      </c>
      <c r="C72" s="510">
        <v>900004.34760993172</v>
      </c>
      <c r="D72" s="306"/>
      <c r="E72" s="311">
        <f t="shared" si="3"/>
        <v>-900004.34760993172</v>
      </c>
      <c r="F72" s="512">
        <v>625288.31776317907</v>
      </c>
      <c r="G72" s="231"/>
      <c r="H72" s="311">
        <f t="shared" si="4"/>
        <v>-625288.31776317907</v>
      </c>
      <c r="I72" s="510">
        <v>155764.49274755461</v>
      </c>
      <c r="J72" s="231"/>
      <c r="K72" s="311">
        <f t="shared" si="5"/>
        <v>-155764.49274755461</v>
      </c>
    </row>
    <row r="73" spans="1:11" s="482" customFormat="1" ht="15" x14ac:dyDescent="0.25">
      <c r="A73" s="150">
        <v>5512</v>
      </c>
      <c r="B73" s="478" t="s">
        <v>173</v>
      </c>
      <c r="C73" s="510">
        <v>701390.54744132201</v>
      </c>
      <c r="D73" s="306"/>
      <c r="E73" s="311">
        <f t="shared" si="3"/>
        <v>-701390.54744132201</v>
      </c>
      <c r="F73" s="512">
        <v>-130806.92612670833</v>
      </c>
      <c r="G73" s="231"/>
      <c r="H73" s="311">
        <f t="shared" si="4"/>
        <v>130806.92612670833</v>
      </c>
      <c r="I73" s="510">
        <v>124928.4798234211</v>
      </c>
      <c r="J73" s="231"/>
      <c r="K73" s="311">
        <f t="shared" si="5"/>
        <v>-124928.4798234211</v>
      </c>
    </row>
    <row r="74" spans="1:11" s="482" customFormat="1" ht="15" x14ac:dyDescent="0.25">
      <c r="A74" s="150">
        <v>5513</v>
      </c>
      <c r="B74" s="478" t="s">
        <v>174</v>
      </c>
      <c r="C74" s="510">
        <v>386750.71469450428</v>
      </c>
      <c r="D74" s="306"/>
      <c r="E74" s="311">
        <f t="shared" si="3"/>
        <v>-386750.71469450428</v>
      </c>
      <c r="F74" s="512">
        <v>296204.59701711463</v>
      </c>
      <c r="G74" s="231"/>
      <c r="H74" s="311">
        <f t="shared" si="4"/>
        <v>-296204.59701711463</v>
      </c>
      <c r="I74" s="510">
        <v>65580.019865924769</v>
      </c>
      <c r="J74" s="231"/>
      <c r="K74" s="311">
        <f t="shared" si="5"/>
        <v>-65580.019865924769</v>
      </c>
    </row>
    <row r="75" spans="1:11" s="482" customFormat="1" ht="15" x14ac:dyDescent="0.25">
      <c r="A75" s="150">
        <v>5514</v>
      </c>
      <c r="B75" s="478" t="s">
        <v>175</v>
      </c>
      <c r="C75" s="510">
        <v>689001.93126061256</v>
      </c>
      <c r="D75" s="306"/>
      <c r="E75" s="311">
        <f t="shared" si="3"/>
        <v>-689001.93126061256</v>
      </c>
      <c r="F75" s="512">
        <v>161391.01097154082</v>
      </c>
      <c r="G75" s="231"/>
      <c r="H75" s="311">
        <f t="shared" si="4"/>
        <v>-161391.01097154082</v>
      </c>
      <c r="I75" s="510">
        <v>127566.9606107439</v>
      </c>
      <c r="J75" s="231"/>
      <c r="K75" s="311">
        <f t="shared" si="5"/>
        <v>-127566.9606107439</v>
      </c>
    </row>
    <row r="76" spans="1:11" s="482" customFormat="1" ht="15" x14ac:dyDescent="0.25">
      <c r="A76" s="150">
        <v>5515</v>
      </c>
      <c r="B76" s="478" t="s">
        <v>176</v>
      </c>
      <c r="C76" s="510">
        <v>538037.52332478319</v>
      </c>
      <c r="D76" s="306"/>
      <c r="E76" s="311">
        <f t="shared" si="3"/>
        <v>-538037.52332478319</v>
      </c>
      <c r="F76" s="512">
        <v>121374.91922148348</v>
      </c>
      <c r="G76" s="231"/>
      <c r="H76" s="311">
        <f t="shared" si="4"/>
        <v>-121374.91922148348</v>
      </c>
      <c r="I76" s="510">
        <v>90552.404434327749</v>
      </c>
      <c r="J76" s="231"/>
      <c r="K76" s="311">
        <f t="shared" si="5"/>
        <v>-90552.404434327749</v>
      </c>
    </row>
    <row r="77" spans="1:11" s="482" customFormat="1" ht="15" x14ac:dyDescent="0.25">
      <c r="A77" s="150">
        <v>5516</v>
      </c>
      <c r="B77" s="478" t="s">
        <v>177</v>
      </c>
      <c r="C77" s="510">
        <v>1848301.0423102221</v>
      </c>
      <c r="D77" s="306"/>
      <c r="E77" s="311">
        <f t="shared" si="3"/>
        <v>-1848301.0423102221</v>
      </c>
      <c r="F77" s="512">
        <v>842316.79754588264</v>
      </c>
      <c r="G77" s="231"/>
      <c r="H77" s="311">
        <f t="shared" si="4"/>
        <v>-842316.79754588264</v>
      </c>
      <c r="I77" s="510">
        <v>348908.79146588023</v>
      </c>
      <c r="J77" s="231"/>
      <c r="K77" s="311">
        <f t="shared" si="5"/>
        <v>-348908.79146588023</v>
      </c>
    </row>
    <row r="78" spans="1:11" s="482" customFormat="1" ht="15" x14ac:dyDescent="0.25">
      <c r="A78" s="150">
        <v>5518</v>
      </c>
      <c r="B78" s="478" t="s">
        <v>178</v>
      </c>
      <c r="C78" s="510">
        <v>3612461.9584235372</v>
      </c>
      <c r="D78" s="306"/>
      <c r="E78" s="311">
        <f t="shared" si="3"/>
        <v>-3612461.9584235372</v>
      </c>
      <c r="F78" s="512">
        <v>-1288107.0667827525</v>
      </c>
      <c r="G78" s="231"/>
      <c r="H78" s="311">
        <f t="shared" si="4"/>
        <v>1288107.0667827525</v>
      </c>
      <c r="I78" s="510">
        <v>580356.89172089973</v>
      </c>
      <c r="J78" s="231"/>
      <c r="K78" s="311">
        <f t="shared" si="5"/>
        <v>-580356.89172089973</v>
      </c>
    </row>
    <row r="79" spans="1:11" s="482" customFormat="1" ht="15" x14ac:dyDescent="0.25">
      <c r="A79" s="150">
        <v>5520</v>
      </c>
      <c r="B79" s="478" t="s">
        <v>179</v>
      </c>
      <c r="C79" s="510">
        <v>520414.34192896698</v>
      </c>
      <c r="D79" s="306"/>
      <c r="E79" s="311">
        <f t="shared" si="3"/>
        <v>-520414.34192896698</v>
      </c>
      <c r="F79" s="512">
        <v>6606.2919497941621</v>
      </c>
      <c r="G79" s="231"/>
      <c r="H79" s="311">
        <f t="shared" si="4"/>
        <v>-6606.2919497941621</v>
      </c>
      <c r="I79" s="510">
        <v>92925.56341217288</v>
      </c>
      <c r="J79" s="231"/>
      <c r="K79" s="311">
        <f t="shared" si="5"/>
        <v>-92925.56341217288</v>
      </c>
    </row>
    <row r="80" spans="1:11" s="482" customFormat="1" ht="15" x14ac:dyDescent="0.25">
      <c r="A80" s="150">
        <v>5521</v>
      </c>
      <c r="B80" s="478" t="s">
        <v>180</v>
      </c>
      <c r="C80" s="510">
        <v>869264.90856611717</v>
      </c>
      <c r="D80" s="306"/>
      <c r="E80" s="311">
        <f t="shared" si="3"/>
        <v>-869264.90856611717</v>
      </c>
      <c r="F80" s="512">
        <v>666892.24733166257</v>
      </c>
      <c r="G80" s="231"/>
      <c r="H80" s="311">
        <f t="shared" si="4"/>
        <v>-666892.24733166257</v>
      </c>
      <c r="I80" s="510">
        <v>150743.31274988834</v>
      </c>
      <c r="J80" s="231"/>
      <c r="K80" s="311">
        <f t="shared" si="5"/>
        <v>-150743.31274988834</v>
      </c>
    </row>
    <row r="81" spans="1:11" s="482" customFormat="1" ht="15" x14ac:dyDescent="0.25">
      <c r="A81" s="150">
        <v>5522</v>
      </c>
      <c r="B81" s="478" t="s">
        <v>181</v>
      </c>
      <c r="C81" s="510">
        <v>399663.23086185777</v>
      </c>
      <c r="D81" s="306"/>
      <c r="E81" s="311">
        <f t="shared" si="3"/>
        <v>-399663.23086185777</v>
      </c>
      <c r="F81" s="512">
        <v>71463.740463334791</v>
      </c>
      <c r="G81" s="231"/>
      <c r="H81" s="311">
        <f t="shared" si="4"/>
        <v>-71463.740463334791</v>
      </c>
      <c r="I81" s="510">
        <v>70860.736406921264</v>
      </c>
      <c r="J81" s="231"/>
      <c r="K81" s="311">
        <f t="shared" si="5"/>
        <v>-70860.736406921264</v>
      </c>
    </row>
    <row r="82" spans="1:11" s="482" customFormat="1" ht="15" x14ac:dyDescent="0.25">
      <c r="A82" s="150">
        <v>5523</v>
      </c>
      <c r="B82" s="478" t="s">
        <v>182</v>
      </c>
      <c r="C82" s="510">
        <v>1491572.8523105411</v>
      </c>
      <c r="D82" s="306"/>
      <c r="E82" s="311">
        <f t="shared" si="3"/>
        <v>-1491572.8523105411</v>
      </c>
      <c r="F82" s="512">
        <v>261393.70451143733</v>
      </c>
      <c r="G82" s="231"/>
      <c r="H82" s="311">
        <f t="shared" si="4"/>
        <v>-261393.70451143733</v>
      </c>
      <c r="I82" s="510">
        <v>278752.44297858595</v>
      </c>
      <c r="J82" s="231"/>
      <c r="K82" s="311">
        <f t="shared" si="5"/>
        <v>-278752.44297858595</v>
      </c>
    </row>
    <row r="83" spans="1:11" s="482" customFormat="1" ht="15" x14ac:dyDescent="0.25">
      <c r="A83" s="150">
        <v>5527</v>
      </c>
      <c r="B83" s="478" t="s">
        <v>183</v>
      </c>
      <c r="C83" s="510">
        <v>734481.18449082971</v>
      </c>
      <c r="D83" s="306"/>
      <c r="E83" s="311">
        <f t="shared" si="3"/>
        <v>-734481.18449082971</v>
      </c>
      <c r="F83" s="512">
        <v>367543.04819354322</v>
      </c>
      <c r="G83" s="231"/>
      <c r="H83" s="311">
        <f t="shared" si="4"/>
        <v>-367543.04819354322</v>
      </c>
      <c r="I83" s="510">
        <v>125678.53171108066</v>
      </c>
      <c r="J83" s="231"/>
      <c r="K83" s="311">
        <f t="shared" si="5"/>
        <v>-125678.53171108066</v>
      </c>
    </row>
    <row r="84" spans="1:11" s="482" customFormat="1" ht="15" x14ac:dyDescent="0.25">
      <c r="A84" s="150">
        <v>5529</v>
      </c>
      <c r="B84" s="478" t="s">
        <v>184</v>
      </c>
      <c r="C84" s="510">
        <v>370589.39739383408</v>
      </c>
      <c r="D84" s="306"/>
      <c r="E84" s="311">
        <f t="shared" si="3"/>
        <v>-370589.39739383408</v>
      </c>
      <c r="F84" s="512">
        <v>161700.39712557342</v>
      </c>
      <c r="G84" s="231"/>
      <c r="H84" s="311">
        <f t="shared" si="4"/>
        <v>-161700.39712557342</v>
      </c>
      <c r="I84" s="510">
        <v>67496.741463785613</v>
      </c>
      <c r="J84" s="231"/>
      <c r="K84" s="311">
        <f t="shared" si="5"/>
        <v>-67496.741463785613</v>
      </c>
    </row>
    <row r="85" spans="1:11" s="482" customFormat="1" ht="15" x14ac:dyDescent="0.25">
      <c r="A85" s="150">
        <v>5530</v>
      </c>
      <c r="B85" s="478" t="s">
        <v>185</v>
      </c>
      <c r="C85" s="510">
        <v>322844.82619769458</v>
      </c>
      <c r="D85" s="306"/>
      <c r="E85" s="311">
        <f t="shared" si="3"/>
        <v>-322844.82619769458</v>
      </c>
      <c r="F85" s="512">
        <v>-279780.70159192238</v>
      </c>
      <c r="G85" s="231"/>
      <c r="H85" s="311">
        <f t="shared" si="4"/>
        <v>279780.70159192238</v>
      </c>
      <c r="I85" s="510">
        <v>55187.90428713859</v>
      </c>
      <c r="J85" s="231"/>
      <c r="K85" s="311">
        <f t="shared" si="5"/>
        <v>-55187.90428713859</v>
      </c>
    </row>
    <row r="86" spans="1:11" s="482" customFormat="1" ht="15" x14ac:dyDescent="0.25">
      <c r="A86" s="150">
        <v>5531</v>
      </c>
      <c r="B86" s="478" t="s">
        <v>186</v>
      </c>
      <c r="C86" s="510">
        <v>231695.31975445751</v>
      </c>
      <c r="D86" s="306"/>
      <c r="E86" s="311">
        <f t="shared" si="3"/>
        <v>-231695.31975445751</v>
      </c>
      <c r="F86" s="512">
        <v>58257.98375540632</v>
      </c>
      <c r="G86" s="231"/>
      <c r="H86" s="311">
        <f t="shared" si="4"/>
        <v>-58257.98375540632</v>
      </c>
      <c r="I86" s="510">
        <v>46125.948754935511</v>
      </c>
      <c r="J86" s="231"/>
      <c r="K86" s="311">
        <f t="shared" si="5"/>
        <v>-46125.948754935511</v>
      </c>
    </row>
    <row r="87" spans="1:11" s="482" customFormat="1" ht="15" x14ac:dyDescent="0.25">
      <c r="A87" s="150">
        <v>5533</v>
      </c>
      <c r="B87" s="478" t="s">
        <v>187</v>
      </c>
      <c r="C87" s="510">
        <v>416696.47629704664</v>
      </c>
      <c r="D87" s="306"/>
      <c r="E87" s="311">
        <f t="shared" si="3"/>
        <v>-416696.47629704664</v>
      </c>
      <c r="F87" s="512">
        <v>-67067.397422209382</v>
      </c>
      <c r="G87" s="231"/>
      <c r="H87" s="311">
        <f t="shared" si="4"/>
        <v>67067.397422209382</v>
      </c>
      <c r="I87" s="510">
        <v>70165.596697510729</v>
      </c>
      <c r="J87" s="231"/>
      <c r="K87" s="311">
        <f t="shared" si="5"/>
        <v>-70165.596697510729</v>
      </c>
    </row>
    <row r="88" spans="1:11" s="482" customFormat="1" ht="15" x14ac:dyDescent="0.25">
      <c r="A88" s="150">
        <v>5534</v>
      </c>
      <c r="B88" s="478" t="s">
        <v>188</v>
      </c>
      <c r="C88" s="510">
        <v>183941.48778114794</v>
      </c>
      <c r="D88" s="306"/>
      <c r="E88" s="311">
        <f t="shared" si="3"/>
        <v>-183941.48778114794</v>
      </c>
      <c r="F88" s="512">
        <v>129574.77082196854</v>
      </c>
      <c r="G88" s="231"/>
      <c r="H88" s="311">
        <f t="shared" si="4"/>
        <v>-129574.77082196854</v>
      </c>
      <c r="I88" s="510">
        <v>31839.252215101391</v>
      </c>
      <c r="J88" s="231"/>
      <c r="K88" s="311">
        <f t="shared" si="5"/>
        <v>-31839.252215101391</v>
      </c>
    </row>
    <row r="89" spans="1:11" s="482" customFormat="1" ht="15" x14ac:dyDescent="0.25">
      <c r="A89" s="150">
        <v>5535</v>
      </c>
      <c r="B89" s="478" t="s">
        <v>30</v>
      </c>
      <c r="C89" s="510">
        <v>392521.81592681445</v>
      </c>
      <c r="D89" s="306"/>
      <c r="E89" s="311">
        <f t="shared" si="3"/>
        <v>-392521.81592681445</v>
      </c>
      <c r="F89" s="512">
        <v>-2891.5463040154573</v>
      </c>
      <c r="G89" s="231"/>
      <c r="H89" s="311">
        <f t="shared" si="4"/>
        <v>2891.5463040154573</v>
      </c>
      <c r="I89" s="510">
        <v>69882.497904955206</v>
      </c>
      <c r="J89" s="231"/>
      <c r="K89" s="311">
        <f t="shared" si="5"/>
        <v>-69882.497904955206</v>
      </c>
    </row>
    <row r="90" spans="1:11" s="482" customFormat="1" ht="15" x14ac:dyDescent="0.25">
      <c r="A90" s="150">
        <v>5537</v>
      </c>
      <c r="B90" s="478" t="s">
        <v>31</v>
      </c>
      <c r="C90" s="510">
        <v>603358.52293535927</v>
      </c>
      <c r="D90" s="306"/>
      <c r="E90" s="311">
        <f t="shared" si="3"/>
        <v>-603358.52293535927</v>
      </c>
      <c r="F90" s="512">
        <v>50323.162744632995</v>
      </c>
      <c r="G90" s="231"/>
      <c r="H90" s="311">
        <f t="shared" si="4"/>
        <v>-50323.162744632995</v>
      </c>
      <c r="I90" s="510">
        <v>112805.84704384916</v>
      </c>
      <c r="J90" s="231"/>
      <c r="K90" s="311">
        <f t="shared" si="5"/>
        <v>-112805.84704384916</v>
      </c>
    </row>
    <row r="91" spans="1:11" s="482" customFormat="1" ht="15" x14ac:dyDescent="0.25">
      <c r="A91" s="150">
        <v>5539</v>
      </c>
      <c r="B91" s="478" t="s">
        <v>32</v>
      </c>
      <c r="C91" s="510">
        <v>563357.84614285314</v>
      </c>
      <c r="D91" s="306"/>
      <c r="E91" s="311">
        <f t="shared" si="3"/>
        <v>-563357.84614285314</v>
      </c>
      <c r="F91" s="512">
        <v>12654.051726541195</v>
      </c>
      <c r="G91" s="231"/>
      <c r="H91" s="311">
        <f t="shared" si="4"/>
        <v>-12654.051726541195</v>
      </c>
      <c r="I91" s="510">
        <v>93669.607743119326</v>
      </c>
      <c r="J91" s="231"/>
      <c r="K91" s="311">
        <f t="shared" si="5"/>
        <v>-93669.607743119326</v>
      </c>
    </row>
    <row r="92" spans="1:11" s="482" customFormat="1" ht="15" x14ac:dyDescent="0.25">
      <c r="A92" s="150">
        <v>5540</v>
      </c>
      <c r="B92" s="478" t="s">
        <v>417</v>
      </c>
      <c r="C92" s="510">
        <v>1070001.9036690088</v>
      </c>
      <c r="D92" s="306"/>
      <c r="E92" s="311">
        <f t="shared" si="3"/>
        <v>-1070001.9036690088</v>
      </c>
      <c r="F92" s="512">
        <v>160348.33567751624</v>
      </c>
      <c r="G92" s="231"/>
      <c r="H92" s="311">
        <f t="shared" si="4"/>
        <v>-160348.33567751624</v>
      </c>
      <c r="I92" s="510">
        <v>203096.10519111314</v>
      </c>
      <c r="J92" s="231"/>
      <c r="K92" s="311">
        <f t="shared" si="5"/>
        <v>-203096.10519111314</v>
      </c>
    </row>
    <row r="93" spans="1:11" s="482" customFormat="1" ht="15" x14ac:dyDescent="0.25">
      <c r="A93" s="150">
        <v>5541</v>
      </c>
      <c r="B93" s="478" t="s">
        <v>416</v>
      </c>
      <c r="C93" s="510">
        <v>680314.53119509318</v>
      </c>
      <c r="D93" s="306"/>
      <c r="E93" s="311">
        <f t="shared" si="3"/>
        <v>-680314.53119509318</v>
      </c>
      <c r="F93" s="512">
        <v>200195.2311608725</v>
      </c>
      <c r="G93" s="231"/>
      <c r="H93" s="311">
        <f t="shared" si="4"/>
        <v>-200195.2311608725</v>
      </c>
      <c r="I93" s="510">
        <v>117070.82481553093</v>
      </c>
      <c r="J93" s="231"/>
      <c r="K93" s="311">
        <f t="shared" si="5"/>
        <v>-117070.82481553093</v>
      </c>
    </row>
    <row r="94" spans="1:11" s="482" customFormat="1" ht="15" x14ac:dyDescent="0.25">
      <c r="A94" s="150">
        <v>5551</v>
      </c>
      <c r="B94" s="478" t="s">
        <v>33</v>
      </c>
      <c r="C94" s="510">
        <v>292351.03545096633</v>
      </c>
      <c r="D94" s="306"/>
      <c r="E94" s="311">
        <f t="shared" si="3"/>
        <v>-292351.03545096633</v>
      </c>
      <c r="F94" s="512">
        <v>156356.3626028852</v>
      </c>
      <c r="G94" s="231"/>
      <c r="H94" s="311">
        <f t="shared" si="4"/>
        <v>-156356.3626028852</v>
      </c>
      <c r="I94" s="510">
        <v>55658.064174805855</v>
      </c>
      <c r="J94" s="231"/>
      <c r="K94" s="311">
        <f t="shared" si="5"/>
        <v>-55658.064174805855</v>
      </c>
    </row>
    <row r="95" spans="1:11" s="482" customFormat="1" ht="15" x14ac:dyDescent="0.25">
      <c r="A95" s="150">
        <v>5552</v>
      </c>
      <c r="B95" s="478" t="s">
        <v>34</v>
      </c>
      <c r="C95" s="510">
        <v>348241.21703164652</v>
      </c>
      <c r="D95" s="306"/>
      <c r="E95" s="311">
        <f t="shared" si="3"/>
        <v>-348241.21703164652</v>
      </c>
      <c r="F95" s="512">
        <v>-175568.86086192488</v>
      </c>
      <c r="G95" s="231"/>
      <c r="H95" s="311">
        <f t="shared" si="4"/>
        <v>175568.86086192488</v>
      </c>
      <c r="I95" s="510">
        <v>57045.879720680561</v>
      </c>
      <c r="J95" s="231"/>
      <c r="K95" s="311">
        <f t="shared" si="5"/>
        <v>-57045.879720680561</v>
      </c>
    </row>
    <row r="96" spans="1:11" s="482" customFormat="1" ht="15" x14ac:dyDescent="0.25">
      <c r="A96" s="150">
        <v>5553</v>
      </c>
      <c r="B96" s="478" t="s">
        <v>35</v>
      </c>
      <c r="C96" s="510">
        <v>687942.51519072067</v>
      </c>
      <c r="D96" s="306"/>
      <c r="E96" s="311">
        <f t="shared" si="3"/>
        <v>-687942.51519072067</v>
      </c>
      <c r="F96" s="512">
        <v>238472.57135754652</v>
      </c>
      <c r="G96" s="231"/>
      <c r="H96" s="311">
        <f t="shared" si="4"/>
        <v>-238472.57135754652</v>
      </c>
      <c r="I96" s="510">
        <v>116043.16806188499</v>
      </c>
      <c r="J96" s="231"/>
      <c r="K96" s="311">
        <f t="shared" si="5"/>
        <v>-116043.16806188499</v>
      </c>
    </row>
    <row r="97" spans="1:11" s="482" customFormat="1" ht="15" x14ac:dyDescent="0.25">
      <c r="A97" s="150">
        <v>5554</v>
      </c>
      <c r="B97" s="478" t="s">
        <v>36</v>
      </c>
      <c r="C97" s="510">
        <v>695451.36943692435</v>
      </c>
      <c r="D97" s="306"/>
      <c r="E97" s="311">
        <f t="shared" si="3"/>
        <v>-695451.36943692435</v>
      </c>
      <c r="F97" s="512">
        <v>63992.19017802141</v>
      </c>
      <c r="G97" s="231"/>
      <c r="H97" s="311">
        <f t="shared" si="4"/>
        <v>-63992.19017802141</v>
      </c>
      <c r="I97" s="510">
        <v>104630.11765110394</v>
      </c>
      <c r="J97" s="231"/>
      <c r="K97" s="311">
        <f t="shared" si="5"/>
        <v>-104630.11765110394</v>
      </c>
    </row>
    <row r="98" spans="1:11" s="482" customFormat="1" ht="15" x14ac:dyDescent="0.25">
      <c r="A98" s="150">
        <v>5555</v>
      </c>
      <c r="B98" s="478" t="s">
        <v>37</v>
      </c>
      <c r="C98" s="510">
        <v>253602.35617999925</v>
      </c>
      <c r="D98" s="306"/>
      <c r="E98" s="311">
        <f t="shared" si="3"/>
        <v>-253602.35617999925</v>
      </c>
      <c r="F98" s="512">
        <v>9729.7653482027818</v>
      </c>
      <c r="G98" s="231"/>
      <c r="H98" s="311">
        <f t="shared" si="4"/>
        <v>-9729.7653482027818</v>
      </c>
      <c r="I98" s="510">
        <v>41844.658769863352</v>
      </c>
      <c r="J98" s="231"/>
      <c r="K98" s="311">
        <f t="shared" si="5"/>
        <v>-41844.658769863352</v>
      </c>
    </row>
    <row r="99" spans="1:11" s="482" customFormat="1" ht="15" x14ac:dyDescent="0.25">
      <c r="A99" s="150">
        <v>5556</v>
      </c>
      <c r="B99" s="478" t="s">
        <v>38</v>
      </c>
      <c r="C99" s="510">
        <v>214904.53217573345</v>
      </c>
      <c r="D99" s="306"/>
      <c r="E99" s="311">
        <f t="shared" si="3"/>
        <v>-214904.53217573345</v>
      </c>
      <c r="F99" s="512">
        <v>-67883.949824189564</v>
      </c>
      <c r="G99" s="231"/>
      <c r="H99" s="311">
        <f t="shared" si="4"/>
        <v>67883.949824189564</v>
      </c>
      <c r="I99" s="510">
        <v>40795.565803375153</v>
      </c>
      <c r="J99" s="231"/>
      <c r="K99" s="311">
        <f t="shared" si="5"/>
        <v>-40795.565803375153</v>
      </c>
    </row>
    <row r="100" spans="1:11" s="482" customFormat="1" ht="15" x14ac:dyDescent="0.25">
      <c r="A100" s="150">
        <v>5557</v>
      </c>
      <c r="B100" s="478" t="s">
        <v>39</v>
      </c>
      <c r="C100" s="510">
        <v>102280.70490223638</v>
      </c>
      <c r="D100" s="306"/>
      <c r="E100" s="311">
        <f t="shared" si="3"/>
        <v>-102280.70490223638</v>
      </c>
      <c r="F100" s="512">
        <v>3269.6615135820175</v>
      </c>
      <c r="G100" s="231"/>
      <c r="H100" s="311">
        <f t="shared" si="4"/>
        <v>-3269.6615135820175</v>
      </c>
      <c r="I100" s="510">
        <v>20338.832818901566</v>
      </c>
      <c r="J100" s="231"/>
      <c r="K100" s="311">
        <f t="shared" si="5"/>
        <v>-20338.832818901566</v>
      </c>
    </row>
    <row r="101" spans="1:11" s="482" customFormat="1" ht="15" x14ac:dyDescent="0.25">
      <c r="A101" s="150">
        <v>5559</v>
      </c>
      <c r="B101" s="478" t="s">
        <v>40</v>
      </c>
      <c r="C101" s="510">
        <v>386852.95938721136</v>
      </c>
      <c r="D101" s="306"/>
      <c r="E101" s="311">
        <f t="shared" si="3"/>
        <v>-386852.95938721136</v>
      </c>
      <c r="F101" s="512">
        <v>359225.83488842606</v>
      </c>
      <c r="G101" s="231"/>
      <c r="H101" s="311">
        <f t="shared" si="4"/>
        <v>-359225.83488842606</v>
      </c>
      <c r="I101" s="510">
        <v>62142.771880251501</v>
      </c>
      <c r="J101" s="231"/>
      <c r="K101" s="311">
        <f t="shared" si="5"/>
        <v>-62142.771880251501</v>
      </c>
    </row>
    <row r="102" spans="1:11" s="482" customFormat="1" ht="15" x14ac:dyDescent="0.25">
      <c r="A102" s="150">
        <v>5560</v>
      </c>
      <c r="B102" s="478" t="s">
        <v>41</v>
      </c>
      <c r="C102" s="510">
        <v>127894.05689598151</v>
      </c>
      <c r="D102" s="306"/>
      <c r="E102" s="311">
        <f t="shared" si="3"/>
        <v>-127894.05689598151</v>
      </c>
      <c r="F102" s="512">
        <v>56977.338324379845</v>
      </c>
      <c r="G102" s="231"/>
      <c r="H102" s="311">
        <f t="shared" si="4"/>
        <v>-56977.338324379845</v>
      </c>
      <c r="I102" s="510">
        <v>23121.896432300968</v>
      </c>
      <c r="J102" s="231"/>
      <c r="K102" s="311">
        <f t="shared" si="5"/>
        <v>-23121.896432300968</v>
      </c>
    </row>
    <row r="103" spans="1:11" s="482" customFormat="1" ht="15" x14ac:dyDescent="0.25">
      <c r="A103" s="150">
        <v>5561</v>
      </c>
      <c r="B103" s="478" t="s">
        <v>42</v>
      </c>
      <c r="C103" s="510">
        <v>3055056.4575302796</v>
      </c>
      <c r="D103" s="306"/>
      <c r="E103" s="311">
        <f t="shared" si="3"/>
        <v>-3055056.4575302796</v>
      </c>
      <c r="F103" s="512">
        <v>-563970.82439840818</v>
      </c>
      <c r="G103" s="231"/>
      <c r="H103" s="311">
        <f t="shared" si="4"/>
        <v>563970.82439840818</v>
      </c>
      <c r="I103" s="510">
        <v>354100.98692301032</v>
      </c>
      <c r="J103" s="231"/>
      <c r="K103" s="311">
        <f t="shared" si="5"/>
        <v>-354100.98692301032</v>
      </c>
    </row>
    <row r="104" spans="1:11" s="482" customFormat="1" ht="15" x14ac:dyDescent="0.25">
      <c r="A104" s="150">
        <v>5562</v>
      </c>
      <c r="B104" s="478" t="s">
        <v>43</v>
      </c>
      <c r="C104" s="510">
        <v>125660.23414561417</v>
      </c>
      <c r="D104" s="306"/>
      <c r="E104" s="311">
        <f t="shared" si="3"/>
        <v>-125660.23414561417</v>
      </c>
      <c r="F104" s="512">
        <v>91036.064926291467</v>
      </c>
      <c r="G104" s="231"/>
      <c r="H104" s="311">
        <f t="shared" si="4"/>
        <v>-91036.064926291467</v>
      </c>
      <c r="I104" s="510">
        <v>17093.831306198321</v>
      </c>
      <c r="J104" s="231"/>
      <c r="K104" s="311">
        <f t="shared" si="5"/>
        <v>-17093.831306198321</v>
      </c>
    </row>
    <row r="105" spans="1:11" s="482" customFormat="1" ht="15" x14ac:dyDescent="0.25">
      <c r="A105" s="150">
        <v>5563</v>
      </c>
      <c r="B105" s="478" t="s">
        <v>278</v>
      </c>
      <c r="C105" s="510">
        <v>64074.882262322768</v>
      </c>
      <c r="D105" s="306"/>
      <c r="E105" s="311">
        <f t="shared" si="3"/>
        <v>-64074.882262322768</v>
      </c>
      <c r="F105" s="512">
        <v>-44731.037363321971</v>
      </c>
      <c r="G105" s="231"/>
      <c r="H105" s="311">
        <f t="shared" si="4"/>
        <v>44731.037363321971</v>
      </c>
      <c r="I105" s="510">
        <v>12661.526652411125</v>
      </c>
      <c r="J105" s="231"/>
      <c r="K105" s="311">
        <f t="shared" si="5"/>
        <v>-12661.526652411125</v>
      </c>
    </row>
    <row r="106" spans="1:11" s="482" customFormat="1" ht="15" x14ac:dyDescent="0.25">
      <c r="A106" s="150">
        <v>5564</v>
      </c>
      <c r="B106" s="478" t="s">
        <v>279</v>
      </c>
      <c r="C106" s="510">
        <v>34706.831090843472</v>
      </c>
      <c r="D106" s="306"/>
      <c r="E106" s="311">
        <f t="shared" si="3"/>
        <v>-34706.831090843472</v>
      </c>
      <c r="F106" s="512">
        <v>-31280.106196575245</v>
      </c>
      <c r="G106" s="231"/>
      <c r="H106" s="311">
        <f t="shared" si="4"/>
        <v>31280.106196575245</v>
      </c>
      <c r="I106" s="510">
        <v>7075.3367305182783</v>
      </c>
      <c r="J106" s="231"/>
      <c r="K106" s="311">
        <f t="shared" si="5"/>
        <v>-7075.3367305182783</v>
      </c>
    </row>
    <row r="107" spans="1:11" s="482" customFormat="1" ht="15" x14ac:dyDescent="0.25">
      <c r="A107" s="150">
        <v>5565</v>
      </c>
      <c r="B107" s="478" t="s">
        <v>280</v>
      </c>
      <c r="C107" s="510">
        <v>376069.61296092864</v>
      </c>
      <c r="D107" s="306"/>
      <c r="E107" s="311">
        <f t="shared" si="3"/>
        <v>-376069.61296092864</v>
      </c>
      <c r="F107" s="512">
        <v>173614.71244646393</v>
      </c>
      <c r="G107" s="231"/>
      <c r="H107" s="311">
        <f t="shared" si="4"/>
        <v>-173614.71244646393</v>
      </c>
      <c r="I107" s="510">
        <v>56645.496983579418</v>
      </c>
      <c r="J107" s="231"/>
      <c r="K107" s="311">
        <f t="shared" si="5"/>
        <v>-56645.496983579418</v>
      </c>
    </row>
    <row r="108" spans="1:11" s="482" customFormat="1" ht="15" x14ac:dyDescent="0.25">
      <c r="A108" s="150">
        <v>5566</v>
      </c>
      <c r="B108" s="478" t="s">
        <v>281</v>
      </c>
      <c r="C108" s="510">
        <v>174244.16487126285</v>
      </c>
      <c r="D108" s="306"/>
      <c r="E108" s="311">
        <f t="shared" si="3"/>
        <v>-174244.16487126285</v>
      </c>
      <c r="F108" s="512">
        <v>-323266.39896625082</v>
      </c>
      <c r="G108" s="231"/>
      <c r="H108" s="311">
        <f t="shared" si="4"/>
        <v>323266.39896625082</v>
      </c>
      <c r="I108" s="510">
        <v>26550.24065864797</v>
      </c>
      <c r="J108" s="231"/>
      <c r="K108" s="311">
        <f t="shared" si="5"/>
        <v>-26550.24065864797</v>
      </c>
    </row>
    <row r="109" spans="1:11" s="482" customFormat="1" ht="15" x14ac:dyDescent="0.25">
      <c r="A109" s="150">
        <v>5568</v>
      </c>
      <c r="B109" s="478" t="s">
        <v>117</v>
      </c>
      <c r="C109" s="510">
        <v>2737880.3515944583</v>
      </c>
      <c r="D109" s="306"/>
      <c r="E109" s="311">
        <f t="shared" si="3"/>
        <v>-2737880.3515944583</v>
      </c>
      <c r="F109" s="512">
        <v>-3167955.286153446</v>
      </c>
      <c r="G109" s="231"/>
      <c r="H109" s="311">
        <f t="shared" si="4"/>
        <v>3167955.286153446</v>
      </c>
      <c r="I109" s="510">
        <v>340914.08669274906</v>
      </c>
      <c r="J109" s="231"/>
      <c r="K109" s="311">
        <f t="shared" si="5"/>
        <v>-340914.08669274906</v>
      </c>
    </row>
    <row r="110" spans="1:11" s="482" customFormat="1" ht="15" x14ac:dyDescent="0.25">
      <c r="A110" s="150">
        <v>5571</v>
      </c>
      <c r="B110" s="478" t="s">
        <v>414</v>
      </c>
      <c r="C110" s="510">
        <v>450118.74495583097</v>
      </c>
      <c r="D110" s="306"/>
      <c r="E110" s="311">
        <f t="shared" si="3"/>
        <v>-450118.74495583097</v>
      </c>
      <c r="F110" s="512">
        <v>-88302.702127242941</v>
      </c>
      <c r="G110" s="231"/>
      <c r="H110" s="311">
        <f t="shared" si="4"/>
        <v>88302.702127242941</v>
      </c>
      <c r="I110" s="510">
        <v>76803.428242151334</v>
      </c>
      <c r="J110" s="231"/>
      <c r="K110" s="311">
        <f t="shared" si="5"/>
        <v>-76803.428242151334</v>
      </c>
    </row>
    <row r="111" spans="1:11" s="482" customFormat="1" ht="15" x14ac:dyDescent="0.25">
      <c r="A111" s="150">
        <v>5581</v>
      </c>
      <c r="B111" s="478" t="s">
        <v>377</v>
      </c>
      <c r="C111" s="510">
        <v>3442571.2929367595</v>
      </c>
      <c r="D111" s="306"/>
      <c r="E111" s="311">
        <f t="shared" si="3"/>
        <v>-3442571.2929367595</v>
      </c>
      <c r="F111" s="512">
        <v>1471041.9231748572</v>
      </c>
      <c r="G111" s="231"/>
      <c r="H111" s="311">
        <f t="shared" si="4"/>
        <v>-1471041.9231748572</v>
      </c>
      <c r="I111" s="510">
        <v>240814.73170357899</v>
      </c>
      <c r="J111" s="231"/>
      <c r="K111" s="311">
        <f t="shared" si="5"/>
        <v>-240814.73170357899</v>
      </c>
    </row>
    <row r="112" spans="1:11" s="482" customFormat="1" ht="15" x14ac:dyDescent="0.25">
      <c r="A112" s="150">
        <v>5582</v>
      </c>
      <c r="B112" s="478" t="s">
        <v>378</v>
      </c>
      <c r="C112" s="510">
        <v>3145727.1267413516</v>
      </c>
      <c r="D112" s="306"/>
      <c r="E112" s="311">
        <f t="shared" si="3"/>
        <v>-3145727.1267413516</v>
      </c>
      <c r="F112" s="512">
        <v>652464.60794709972</v>
      </c>
      <c r="G112" s="231"/>
      <c r="H112" s="311">
        <f t="shared" si="4"/>
        <v>-652464.60794709972</v>
      </c>
      <c r="I112" s="510">
        <v>518846.92782499746</v>
      </c>
      <c r="J112" s="231"/>
      <c r="K112" s="311">
        <f t="shared" si="5"/>
        <v>-518846.92782499746</v>
      </c>
    </row>
    <row r="113" spans="1:11" s="482" customFormat="1" ht="15" x14ac:dyDescent="0.25">
      <c r="A113" s="150">
        <v>5583</v>
      </c>
      <c r="B113" s="478" t="s">
        <v>379</v>
      </c>
      <c r="C113" s="510">
        <v>6153930.8445186354</v>
      </c>
      <c r="D113" s="306"/>
      <c r="E113" s="311">
        <f t="shared" si="3"/>
        <v>-6153930.8445186354</v>
      </c>
      <c r="F113" s="512">
        <v>-888468.00027601235</v>
      </c>
      <c r="G113" s="231"/>
      <c r="H113" s="311">
        <f t="shared" si="4"/>
        <v>888468.00027601235</v>
      </c>
      <c r="I113" s="510">
        <v>395021.02000613982</v>
      </c>
      <c r="J113" s="231"/>
      <c r="K113" s="311">
        <f t="shared" si="5"/>
        <v>-395021.02000613982</v>
      </c>
    </row>
    <row r="114" spans="1:11" s="482" customFormat="1" ht="15" x14ac:dyDescent="0.25">
      <c r="A114" s="150">
        <v>5584</v>
      </c>
      <c r="B114" s="478" t="s">
        <v>380</v>
      </c>
      <c r="C114" s="510">
        <v>8858440.4903187305</v>
      </c>
      <c r="D114" s="306"/>
      <c r="E114" s="311">
        <f t="shared" si="3"/>
        <v>-8858440.4903187305</v>
      </c>
      <c r="F114" s="512">
        <v>958696.2510617082</v>
      </c>
      <c r="G114" s="231"/>
      <c r="H114" s="311">
        <f t="shared" si="4"/>
        <v>-958696.2510617082</v>
      </c>
      <c r="I114" s="510">
        <v>1435313.5848349724</v>
      </c>
      <c r="J114" s="231"/>
      <c r="K114" s="311">
        <f t="shared" si="5"/>
        <v>-1435313.5848349724</v>
      </c>
    </row>
    <row r="115" spans="1:11" s="482" customFormat="1" ht="15" x14ac:dyDescent="0.25">
      <c r="A115" s="150">
        <v>5585</v>
      </c>
      <c r="B115" s="478" t="s">
        <v>381</v>
      </c>
      <c r="C115" s="510">
        <v>8125139.7971763806</v>
      </c>
      <c r="D115" s="306"/>
      <c r="E115" s="311">
        <f t="shared" si="3"/>
        <v>-8125139.7971763806</v>
      </c>
      <c r="F115" s="512">
        <v>3118540.1844239412</v>
      </c>
      <c r="G115" s="231"/>
      <c r="H115" s="311">
        <f t="shared" si="4"/>
        <v>-3118540.1844239412</v>
      </c>
      <c r="I115" s="510">
        <v>416293.77122600016</v>
      </c>
      <c r="J115" s="231"/>
      <c r="K115" s="311">
        <f t="shared" si="5"/>
        <v>-416293.77122600016</v>
      </c>
    </row>
    <row r="116" spans="1:11" s="482" customFormat="1" ht="15" x14ac:dyDescent="0.25">
      <c r="A116" s="150">
        <v>5586</v>
      </c>
      <c r="B116" s="478" t="s">
        <v>118</v>
      </c>
      <c r="C116" s="510">
        <v>110999482.16580413</v>
      </c>
      <c r="D116" s="306"/>
      <c r="E116" s="311">
        <f t="shared" si="3"/>
        <v>-110999482.16580413</v>
      </c>
      <c r="F116" s="512">
        <v>-94223884.377949923</v>
      </c>
      <c r="G116" s="231"/>
      <c r="H116" s="311">
        <f t="shared" si="4"/>
        <v>94223884.377949923</v>
      </c>
      <c r="I116" s="510">
        <v>7609251.9307691418</v>
      </c>
      <c r="J116" s="231"/>
      <c r="K116" s="311">
        <f t="shared" si="5"/>
        <v>-7609251.9307691418</v>
      </c>
    </row>
    <row r="117" spans="1:11" s="482" customFormat="1" ht="15" x14ac:dyDescent="0.25">
      <c r="A117" s="150">
        <v>5587</v>
      </c>
      <c r="B117" s="478" t="s">
        <v>119</v>
      </c>
      <c r="C117" s="510">
        <v>7924595.189131137</v>
      </c>
      <c r="D117" s="306"/>
      <c r="E117" s="311">
        <f t="shared" si="3"/>
        <v>-7924595.189131137</v>
      </c>
      <c r="F117" s="512">
        <v>1810332.9928723853</v>
      </c>
      <c r="G117" s="231"/>
      <c r="H117" s="311">
        <f t="shared" si="4"/>
        <v>-1810332.9928723853</v>
      </c>
      <c r="I117" s="510">
        <v>1324896.6257945597</v>
      </c>
      <c r="J117" s="231"/>
      <c r="K117" s="311">
        <f t="shared" si="5"/>
        <v>-1324896.6257945597</v>
      </c>
    </row>
    <row r="118" spans="1:11" s="482" customFormat="1" ht="15" x14ac:dyDescent="0.25">
      <c r="A118" s="150">
        <v>5588</v>
      </c>
      <c r="B118" s="478" t="s">
        <v>120</v>
      </c>
      <c r="C118" s="510">
        <v>3497221.8336182917</v>
      </c>
      <c r="D118" s="306"/>
      <c r="E118" s="311">
        <f t="shared" si="3"/>
        <v>-3497221.8336182917</v>
      </c>
      <c r="F118" s="512">
        <v>2304261.7033556635</v>
      </c>
      <c r="G118" s="231"/>
      <c r="H118" s="311">
        <f t="shared" si="4"/>
        <v>-2304261.7033556635</v>
      </c>
      <c r="I118" s="510">
        <v>171162.97652902111</v>
      </c>
      <c r="J118" s="231"/>
      <c r="K118" s="311">
        <f t="shared" si="5"/>
        <v>-171162.97652902111</v>
      </c>
    </row>
    <row r="119" spans="1:11" s="482" customFormat="1" ht="15" x14ac:dyDescent="0.25">
      <c r="A119" s="150">
        <v>5589</v>
      </c>
      <c r="B119" s="478" t="s">
        <v>121</v>
      </c>
      <c r="C119" s="510">
        <v>7323931.4910125881</v>
      </c>
      <c r="D119" s="306"/>
      <c r="E119" s="311">
        <f t="shared" si="3"/>
        <v>-7323931.4910125881</v>
      </c>
      <c r="F119" s="512">
        <v>-5569527.508586077</v>
      </c>
      <c r="G119" s="231"/>
      <c r="H119" s="311">
        <f t="shared" si="4"/>
        <v>5569527.508586077</v>
      </c>
      <c r="I119" s="510">
        <v>522398.75034063542</v>
      </c>
      <c r="J119" s="231"/>
      <c r="K119" s="311">
        <f t="shared" si="5"/>
        <v>-522398.75034063542</v>
      </c>
    </row>
    <row r="120" spans="1:11" s="482" customFormat="1" ht="15" x14ac:dyDescent="0.25">
      <c r="A120" s="150">
        <v>5590</v>
      </c>
      <c r="B120" s="478" t="s">
        <v>122</v>
      </c>
      <c r="C120" s="510">
        <v>41210205.702481292</v>
      </c>
      <c r="D120" s="306"/>
      <c r="E120" s="311">
        <f t="shared" si="3"/>
        <v>-41210205.702481292</v>
      </c>
      <c r="F120" s="512">
        <v>14390925.709947489</v>
      </c>
      <c r="G120" s="231"/>
      <c r="H120" s="311">
        <f t="shared" si="4"/>
        <v>-14390925.709947489</v>
      </c>
      <c r="I120" s="510">
        <v>1959949.3666966318</v>
      </c>
      <c r="J120" s="231"/>
      <c r="K120" s="311">
        <f t="shared" si="5"/>
        <v>-1959949.3666966318</v>
      </c>
    </row>
    <row r="121" spans="1:11" s="482" customFormat="1" ht="15" x14ac:dyDescent="0.25">
      <c r="A121" s="150">
        <v>5591</v>
      </c>
      <c r="B121" s="478" t="s">
        <v>384</v>
      </c>
      <c r="C121" s="510">
        <v>10572092.008102294</v>
      </c>
      <c r="D121" s="306"/>
      <c r="E121" s="311">
        <f t="shared" si="3"/>
        <v>-10572092.008102294</v>
      </c>
      <c r="F121" s="512">
        <v>-20860303.40184084</v>
      </c>
      <c r="G121" s="231"/>
      <c r="H121" s="311">
        <f t="shared" si="4"/>
        <v>20860303.40184084</v>
      </c>
      <c r="I121" s="510">
        <v>720804.53633973352</v>
      </c>
      <c r="J121" s="231"/>
      <c r="K121" s="311">
        <f t="shared" si="5"/>
        <v>-720804.53633973352</v>
      </c>
    </row>
    <row r="122" spans="1:11" s="482" customFormat="1" ht="15" x14ac:dyDescent="0.25">
      <c r="A122" s="150">
        <v>5592</v>
      </c>
      <c r="B122" s="478" t="s">
        <v>210</v>
      </c>
      <c r="C122" s="510">
        <v>2085067.0730195497</v>
      </c>
      <c r="D122" s="306"/>
      <c r="E122" s="311">
        <f t="shared" si="3"/>
        <v>-2085067.0730195497</v>
      </c>
      <c r="F122" s="512">
        <v>165953.96771418519</v>
      </c>
      <c r="G122" s="231"/>
      <c r="H122" s="311">
        <f t="shared" si="4"/>
        <v>-165953.96771418519</v>
      </c>
      <c r="I122" s="510">
        <v>343290.58868159517</v>
      </c>
      <c r="J122" s="231"/>
      <c r="K122" s="311">
        <f t="shared" si="5"/>
        <v>-343290.58868159517</v>
      </c>
    </row>
    <row r="123" spans="1:11" s="482" customFormat="1" ht="15" x14ac:dyDescent="0.25">
      <c r="A123" s="150">
        <v>5601</v>
      </c>
      <c r="B123" s="478" t="s">
        <v>291</v>
      </c>
      <c r="C123" s="510">
        <v>2015414.1155110963</v>
      </c>
      <c r="D123" s="306"/>
      <c r="E123" s="311">
        <f t="shared" si="3"/>
        <v>-2015414.1155110963</v>
      </c>
      <c r="F123" s="512">
        <v>1175226.3752770908</v>
      </c>
      <c r="G123" s="231"/>
      <c r="H123" s="311">
        <f t="shared" si="4"/>
        <v>-1175226.3752770908</v>
      </c>
      <c r="I123" s="510">
        <v>132729.86350589184</v>
      </c>
      <c r="J123" s="231"/>
      <c r="K123" s="311">
        <f t="shared" si="5"/>
        <v>-132729.86350589184</v>
      </c>
    </row>
    <row r="124" spans="1:11" s="482" customFormat="1" ht="15" x14ac:dyDescent="0.25">
      <c r="A124" s="150">
        <v>5604</v>
      </c>
      <c r="B124" s="478" t="s">
        <v>141</v>
      </c>
      <c r="C124" s="510">
        <v>1327659.0954345963</v>
      </c>
      <c r="D124" s="306"/>
      <c r="E124" s="311">
        <f t="shared" si="3"/>
        <v>-1327659.0954345963</v>
      </c>
      <c r="F124" s="512">
        <v>195945.1668002684</v>
      </c>
      <c r="G124" s="231"/>
      <c r="H124" s="311">
        <f t="shared" si="4"/>
        <v>-195945.1668002684</v>
      </c>
      <c r="I124" s="510">
        <v>229677.19082887255</v>
      </c>
      <c r="J124" s="231"/>
      <c r="K124" s="311">
        <f t="shared" si="5"/>
        <v>-229677.19082887255</v>
      </c>
    </row>
    <row r="125" spans="1:11" s="482" customFormat="1" ht="15" x14ac:dyDescent="0.25">
      <c r="A125" s="150">
        <v>5606</v>
      </c>
      <c r="B125" s="478" t="s">
        <v>142</v>
      </c>
      <c r="C125" s="510">
        <v>21578348.835654393</v>
      </c>
      <c r="D125" s="306"/>
      <c r="E125" s="311">
        <f t="shared" si="3"/>
        <v>-21578348.835654393</v>
      </c>
      <c r="F125" s="512">
        <v>7992178.8585163755</v>
      </c>
      <c r="G125" s="231"/>
      <c r="H125" s="311">
        <f t="shared" si="4"/>
        <v>-7992178.8585163755</v>
      </c>
      <c r="I125" s="510">
        <v>1038273.5585570101</v>
      </c>
      <c r="J125" s="231"/>
      <c r="K125" s="311">
        <f t="shared" si="5"/>
        <v>-1038273.5585570101</v>
      </c>
    </row>
    <row r="126" spans="1:11" s="482" customFormat="1" ht="15" x14ac:dyDescent="0.25">
      <c r="A126" s="150">
        <v>5607</v>
      </c>
      <c r="B126" s="478" t="s">
        <v>293</v>
      </c>
      <c r="C126" s="510">
        <v>1715461.6966371797</v>
      </c>
      <c r="D126" s="306"/>
      <c r="E126" s="311">
        <f t="shared" si="3"/>
        <v>-1715461.6966371797</v>
      </c>
      <c r="F126" s="512">
        <v>-246610.78481801518</v>
      </c>
      <c r="G126" s="231"/>
      <c r="H126" s="311">
        <f t="shared" si="4"/>
        <v>246610.78481801518</v>
      </c>
      <c r="I126" s="510">
        <v>128420.07600206444</v>
      </c>
      <c r="J126" s="231"/>
      <c r="K126" s="311">
        <f t="shared" si="5"/>
        <v>-128420.07600206444</v>
      </c>
    </row>
    <row r="127" spans="1:11" s="482" customFormat="1" ht="15" x14ac:dyDescent="0.25">
      <c r="A127" s="150">
        <v>5609</v>
      </c>
      <c r="B127" s="478" t="s">
        <v>126</v>
      </c>
      <c r="C127" s="510">
        <v>228236.43886706271</v>
      </c>
      <c r="D127" s="306"/>
      <c r="E127" s="311">
        <f t="shared" si="3"/>
        <v>-228236.43886706271</v>
      </c>
      <c r="F127" s="512">
        <v>143341.67518251805</v>
      </c>
      <c r="G127" s="231"/>
      <c r="H127" s="311">
        <f t="shared" si="4"/>
        <v>-143341.67518251805</v>
      </c>
      <c r="I127" s="510">
        <v>17568.746932108224</v>
      </c>
      <c r="J127" s="231"/>
      <c r="K127" s="311">
        <f t="shared" si="5"/>
        <v>-17568.746932108224</v>
      </c>
    </row>
    <row r="128" spans="1:11" s="482" customFormat="1" ht="15" x14ac:dyDescent="0.25">
      <c r="A128" s="150">
        <v>5610</v>
      </c>
      <c r="B128" s="478" t="s">
        <v>127</v>
      </c>
      <c r="C128" s="510">
        <v>430470.1301536432</v>
      </c>
      <c r="D128" s="306"/>
      <c r="E128" s="311">
        <f t="shared" si="3"/>
        <v>-430470.1301536432</v>
      </c>
      <c r="F128" s="512">
        <v>367713.38586984761</v>
      </c>
      <c r="G128" s="231"/>
      <c r="H128" s="311">
        <f t="shared" si="4"/>
        <v>-367713.38586984761</v>
      </c>
      <c r="I128" s="510">
        <v>28623.103577227223</v>
      </c>
      <c r="J128" s="231"/>
      <c r="K128" s="311">
        <f t="shared" si="5"/>
        <v>-28623.103577227223</v>
      </c>
    </row>
    <row r="129" spans="1:11" s="482" customFormat="1" ht="15" x14ac:dyDescent="0.25">
      <c r="A129" s="150">
        <v>5611</v>
      </c>
      <c r="B129" s="478" t="s">
        <v>290</v>
      </c>
      <c r="C129" s="510">
        <v>2717636.662957605</v>
      </c>
      <c r="D129" s="306"/>
      <c r="E129" s="311">
        <f t="shared" si="3"/>
        <v>-2717636.662957605</v>
      </c>
      <c r="F129" s="512">
        <v>777944.07437051111</v>
      </c>
      <c r="G129" s="231"/>
      <c r="H129" s="311">
        <f t="shared" si="4"/>
        <v>-777944.07437051111</v>
      </c>
      <c r="I129" s="510">
        <v>172860.83449558471</v>
      </c>
      <c r="J129" s="231"/>
      <c r="K129" s="311">
        <f t="shared" si="5"/>
        <v>-172860.83449558471</v>
      </c>
    </row>
    <row r="130" spans="1:11" s="482" customFormat="1" ht="15" x14ac:dyDescent="0.25">
      <c r="A130" s="150">
        <v>5613</v>
      </c>
      <c r="B130" s="478" t="s">
        <v>413</v>
      </c>
      <c r="C130" s="510">
        <v>7455119.7229963113</v>
      </c>
      <c r="D130" s="306"/>
      <c r="E130" s="311">
        <f t="shared" si="3"/>
        <v>-7455119.7229963113</v>
      </c>
      <c r="F130" s="512">
        <v>4499474.8507657526</v>
      </c>
      <c r="G130" s="231"/>
      <c r="H130" s="311">
        <f t="shared" si="4"/>
        <v>-4499474.8507657526</v>
      </c>
      <c r="I130" s="510">
        <v>427850.4381311636</v>
      </c>
      <c r="J130" s="231"/>
      <c r="K130" s="311">
        <f t="shared" si="5"/>
        <v>-427850.4381311636</v>
      </c>
    </row>
    <row r="131" spans="1:11" s="482" customFormat="1" ht="15" x14ac:dyDescent="0.25">
      <c r="A131" s="150">
        <v>5621</v>
      </c>
      <c r="B131" s="478" t="s">
        <v>393</v>
      </c>
      <c r="C131" s="510">
        <v>584200.22050850571</v>
      </c>
      <c r="D131" s="306"/>
      <c r="E131" s="311">
        <f t="shared" si="3"/>
        <v>-584200.22050850571</v>
      </c>
      <c r="F131" s="512">
        <v>459589.89610204689</v>
      </c>
      <c r="G131" s="231"/>
      <c r="H131" s="311">
        <f t="shared" si="4"/>
        <v>-459589.89610204689</v>
      </c>
      <c r="I131" s="510">
        <v>78659.583141435811</v>
      </c>
      <c r="J131" s="231"/>
      <c r="K131" s="311">
        <f t="shared" si="5"/>
        <v>-78659.583141435811</v>
      </c>
    </row>
    <row r="132" spans="1:11" s="482" customFormat="1" ht="15" x14ac:dyDescent="0.25">
      <c r="A132" s="150">
        <v>5622</v>
      </c>
      <c r="B132" s="478" t="s">
        <v>143</v>
      </c>
      <c r="C132" s="510">
        <v>539403.07951026096</v>
      </c>
      <c r="D132" s="306"/>
      <c r="E132" s="311">
        <f t="shared" si="3"/>
        <v>-539403.07951026096</v>
      </c>
      <c r="F132" s="512">
        <v>456796.65283425245</v>
      </c>
      <c r="G132" s="231"/>
      <c r="H132" s="311">
        <f t="shared" si="4"/>
        <v>-456796.65283425245</v>
      </c>
      <c r="I132" s="510">
        <v>83740.780943955106</v>
      </c>
      <c r="J132" s="231"/>
      <c r="K132" s="311">
        <f t="shared" si="5"/>
        <v>-83740.780943955106</v>
      </c>
    </row>
    <row r="133" spans="1:11" s="482" customFormat="1" ht="15" x14ac:dyDescent="0.25">
      <c r="A133" s="150">
        <v>5623</v>
      </c>
      <c r="B133" s="478" t="s">
        <v>144</v>
      </c>
      <c r="C133" s="510">
        <v>2855305.8865164449</v>
      </c>
      <c r="D133" s="306"/>
      <c r="E133" s="311">
        <f t="shared" si="3"/>
        <v>-2855305.8865164449</v>
      </c>
      <c r="F133" s="512">
        <v>1671630.3518551267</v>
      </c>
      <c r="G133" s="231"/>
      <c r="H133" s="311">
        <f t="shared" si="4"/>
        <v>-1671630.3518551267</v>
      </c>
      <c r="I133" s="510">
        <v>114967.20133741341</v>
      </c>
      <c r="J133" s="231"/>
      <c r="K133" s="311">
        <f t="shared" si="5"/>
        <v>-114967.20133741341</v>
      </c>
    </row>
    <row r="134" spans="1:11" s="482" customFormat="1" ht="15" x14ac:dyDescent="0.25">
      <c r="A134" s="150">
        <v>5624</v>
      </c>
      <c r="B134" s="478" t="s">
        <v>425</v>
      </c>
      <c r="C134" s="510">
        <v>8070988.4994684393</v>
      </c>
      <c r="D134" s="306"/>
      <c r="E134" s="311">
        <f t="shared" ref="E134:E197" si="6">D134-C134</f>
        <v>-8070988.4994684393</v>
      </c>
      <c r="F134" s="512">
        <v>2451217.1965744994</v>
      </c>
      <c r="G134" s="231"/>
      <c r="H134" s="311">
        <f t="shared" ref="H134:H197" si="7">G134-F134</f>
        <v>-2451217.1965744994</v>
      </c>
      <c r="I134" s="510">
        <v>514540.17564775603</v>
      </c>
      <c r="J134" s="231"/>
      <c r="K134" s="311">
        <f t="shared" ref="K134:K197" si="8">J134-I134</f>
        <v>-514540.17564775603</v>
      </c>
    </row>
    <row r="135" spans="1:11" s="482" customFormat="1" ht="15" x14ac:dyDescent="0.25">
      <c r="A135" s="150">
        <v>5625</v>
      </c>
      <c r="B135" s="478" t="s">
        <v>294</v>
      </c>
      <c r="C135" s="510">
        <v>301386.41994812217</v>
      </c>
      <c r="D135" s="306"/>
      <c r="E135" s="311">
        <f t="shared" si="6"/>
        <v>-301386.41994812217</v>
      </c>
      <c r="F135" s="512">
        <v>228882.03934360555</v>
      </c>
      <c r="G135" s="231"/>
      <c r="H135" s="311">
        <f t="shared" si="7"/>
        <v>-228882.03934360555</v>
      </c>
      <c r="I135" s="510">
        <v>52634.566718332033</v>
      </c>
      <c r="J135" s="231"/>
      <c r="K135" s="311">
        <f t="shared" si="8"/>
        <v>-52634.566718332033</v>
      </c>
    </row>
    <row r="136" spans="1:11" s="482" customFormat="1" ht="15" x14ac:dyDescent="0.25">
      <c r="A136" s="150">
        <v>5627</v>
      </c>
      <c r="B136" s="478" t="s">
        <v>248</v>
      </c>
      <c r="C136" s="510">
        <v>4705203.4068355495</v>
      </c>
      <c r="D136" s="306"/>
      <c r="E136" s="311">
        <f t="shared" si="6"/>
        <v>-4705203.4068355495</v>
      </c>
      <c r="F136" s="512">
        <v>-4280141.4024071852</v>
      </c>
      <c r="G136" s="231"/>
      <c r="H136" s="311">
        <f t="shared" si="7"/>
        <v>4280141.4024071852</v>
      </c>
      <c r="I136" s="510">
        <v>275446.1416247866</v>
      </c>
      <c r="J136" s="231"/>
      <c r="K136" s="311">
        <f t="shared" si="8"/>
        <v>-275446.1416247866</v>
      </c>
    </row>
    <row r="137" spans="1:11" s="482" customFormat="1" ht="15" x14ac:dyDescent="0.25">
      <c r="A137" s="150">
        <v>5628</v>
      </c>
      <c r="B137" s="478" t="s">
        <v>249</v>
      </c>
      <c r="C137" s="510">
        <v>490061.30696644518</v>
      </c>
      <c r="D137" s="306"/>
      <c r="E137" s="311">
        <f t="shared" si="6"/>
        <v>-490061.30696644518</v>
      </c>
      <c r="F137" s="512">
        <v>391591.46849864878</v>
      </c>
      <c r="G137" s="231"/>
      <c r="H137" s="311">
        <f t="shared" si="7"/>
        <v>-391591.46849864878</v>
      </c>
      <c r="I137" s="510">
        <v>61272.306993641032</v>
      </c>
      <c r="J137" s="231"/>
      <c r="K137" s="311">
        <f t="shared" si="8"/>
        <v>-61272.306993641032</v>
      </c>
    </row>
    <row r="138" spans="1:11" s="482" customFormat="1" ht="15" x14ac:dyDescent="0.25">
      <c r="A138" s="150">
        <v>5629</v>
      </c>
      <c r="B138" s="478" t="s">
        <v>147</v>
      </c>
      <c r="C138" s="510">
        <v>154842.60709189303</v>
      </c>
      <c r="D138" s="306"/>
      <c r="E138" s="311">
        <f t="shared" si="6"/>
        <v>-154842.60709189303</v>
      </c>
      <c r="F138" s="512">
        <v>17930.147978244022</v>
      </c>
      <c r="G138" s="231"/>
      <c r="H138" s="311">
        <f t="shared" si="7"/>
        <v>-17930.147978244022</v>
      </c>
      <c r="I138" s="510">
        <v>21180.089139911412</v>
      </c>
      <c r="J138" s="231"/>
      <c r="K138" s="311">
        <f t="shared" si="8"/>
        <v>-21180.089139911412</v>
      </c>
    </row>
    <row r="139" spans="1:11" s="482" customFormat="1" ht="15" x14ac:dyDescent="0.25">
      <c r="A139" s="150">
        <v>5631</v>
      </c>
      <c r="B139" s="478" t="s">
        <v>148</v>
      </c>
      <c r="C139" s="510">
        <v>1155243.7504819005</v>
      </c>
      <c r="D139" s="306"/>
      <c r="E139" s="311">
        <f t="shared" si="6"/>
        <v>-1155243.7504819005</v>
      </c>
      <c r="F139" s="512">
        <v>916218.84775730153</v>
      </c>
      <c r="G139" s="231"/>
      <c r="H139" s="311">
        <f t="shared" si="7"/>
        <v>-916218.84775730153</v>
      </c>
      <c r="I139" s="510">
        <v>129191.87625221352</v>
      </c>
      <c r="J139" s="231"/>
      <c r="K139" s="311">
        <f t="shared" si="8"/>
        <v>-129191.87625221352</v>
      </c>
    </row>
    <row r="140" spans="1:11" s="482" customFormat="1" ht="15" x14ac:dyDescent="0.25">
      <c r="A140" s="150">
        <v>5632</v>
      </c>
      <c r="B140" s="478" t="s">
        <v>149</v>
      </c>
      <c r="C140" s="510">
        <v>1293807.6206162977</v>
      </c>
      <c r="D140" s="306"/>
      <c r="E140" s="311">
        <f t="shared" si="6"/>
        <v>-1293807.6206162977</v>
      </c>
      <c r="F140" s="512">
        <v>931956.88023270119</v>
      </c>
      <c r="G140" s="231"/>
      <c r="H140" s="311">
        <f t="shared" si="7"/>
        <v>-931956.88023270119</v>
      </c>
      <c r="I140" s="510">
        <v>228506.65335786639</v>
      </c>
      <c r="J140" s="231"/>
      <c r="K140" s="311">
        <f t="shared" si="8"/>
        <v>-228506.65335786639</v>
      </c>
    </row>
    <row r="141" spans="1:11" s="482" customFormat="1" ht="15" x14ac:dyDescent="0.25">
      <c r="A141" s="150">
        <v>5633</v>
      </c>
      <c r="B141" s="478" t="s">
        <v>150</v>
      </c>
      <c r="C141" s="510">
        <v>3238326.3222448416</v>
      </c>
      <c r="D141" s="306"/>
      <c r="E141" s="311">
        <f t="shared" si="6"/>
        <v>-3238326.3222448416</v>
      </c>
      <c r="F141" s="512">
        <v>1870115.2547600002</v>
      </c>
      <c r="G141" s="231"/>
      <c r="H141" s="311">
        <f t="shared" si="7"/>
        <v>-1870115.2547600002</v>
      </c>
      <c r="I141" s="510">
        <v>438951.58023606281</v>
      </c>
      <c r="J141" s="231"/>
      <c r="K141" s="311">
        <f t="shared" si="8"/>
        <v>-438951.58023606281</v>
      </c>
    </row>
    <row r="142" spans="1:11" s="482" customFormat="1" ht="15" x14ac:dyDescent="0.25">
      <c r="A142" s="150">
        <v>5634</v>
      </c>
      <c r="B142" s="478" t="s">
        <v>151</v>
      </c>
      <c r="C142" s="510">
        <v>3789086.7583705704</v>
      </c>
      <c r="D142" s="306"/>
      <c r="E142" s="311">
        <f t="shared" si="6"/>
        <v>-3789086.7583705704</v>
      </c>
      <c r="F142" s="512">
        <v>2548852.6042737532</v>
      </c>
      <c r="G142" s="231"/>
      <c r="H142" s="311">
        <f t="shared" si="7"/>
        <v>-2548852.6042737532</v>
      </c>
      <c r="I142" s="510">
        <v>485428.76506238215</v>
      </c>
      <c r="J142" s="231"/>
      <c r="K142" s="311">
        <f t="shared" si="8"/>
        <v>-485428.76506238215</v>
      </c>
    </row>
    <row r="143" spans="1:11" s="482" customFormat="1" ht="15" x14ac:dyDescent="0.25">
      <c r="A143" s="150">
        <v>5635</v>
      </c>
      <c r="B143" s="478" t="s">
        <v>152</v>
      </c>
      <c r="C143" s="510">
        <v>9418638.5735676363</v>
      </c>
      <c r="D143" s="306"/>
      <c r="E143" s="311">
        <f t="shared" si="6"/>
        <v>-9418638.5735676363</v>
      </c>
      <c r="F143" s="512">
        <v>-2950562.2365294797</v>
      </c>
      <c r="G143" s="231"/>
      <c r="H143" s="311">
        <f t="shared" si="7"/>
        <v>2950562.2365294797</v>
      </c>
      <c r="I143" s="510">
        <v>627779.87458293431</v>
      </c>
      <c r="J143" s="231"/>
      <c r="K143" s="311">
        <f t="shared" si="8"/>
        <v>-627779.87458293431</v>
      </c>
    </row>
    <row r="144" spans="1:11" s="482" customFormat="1" ht="15" x14ac:dyDescent="0.25">
      <c r="A144" s="150">
        <v>5636</v>
      </c>
      <c r="B144" s="478" t="s">
        <v>153</v>
      </c>
      <c r="C144" s="510">
        <v>3956561.5380215263</v>
      </c>
      <c r="D144" s="306"/>
      <c r="E144" s="311">
        <f t="shared" si="6"/>
        <v>-3956561.5380215263</v>
      </c>
      <c r="F144" s="512">
        <v>2495758.8132405989</v>
      </c>
      <c r="G144" s="231"/>
      <c r="H144" s="311">
        <f t="shared" si="7"/>
        <v>-2495758.8132405989</v>
      </c>
      <c r="I144" s="510">
        <v>476950.73427440959</v>
      </c>
      <c r="J144" s="231"/>
      <c r="K144" s="311">
        <f t="shared" si="8"/>
        <v>-476950.73427440959</v>
      </c>
    </row>
    <row r="145" spans="1:11" s="482" customFormat="1" ht="15" x14ac:dyDescent="0.25">
      <c r="A145" s="150">
        <v>5637</v>
      </c>
      <c r="B145" s="478" t="s">
        <v>154</v>
      </c>
      <c r="C145" s="510">
        <v>689494.12396277522</v>
      </c>
      <c r="D145" s="306"/>
      <c r="E145" s="311">
        <f t="shared" si="6"/>
        <v>-689494.12396277522</v>
      </c>
      <c r="F145" s="512">
        <v>241372.735757374</v>
      </c>
      <c r="G145" s="231"/>
      <c r="H145" s="311">
        <f t="shared" si="7"/>
        <v>-241372.735757374</v>
      </c>
      <c r="I145" s="510">
        <v>116768.45380650405</v>
      </c>
      <c r="J145" s="231"/>
      <c r="K145" s="311">
        <f t="shared" si="8"/>
        <v>-116768.45380650405</v>
      </c>
    </row>
    <row r="146" spans="1:11" s="482" customFormat="1" ht="15" x14ac:dyDescent="0.25">
      <c r="A146" s="150">
        <v>5638</v>
      </c>
      <c r="B146" s="478" t="s">
        <v>155</v>
      </c>
      <c r="C146" s="510">
        <v>4399217.7967926534</v>
      </c>
      <c r="D146" s="306"/>
      <c r="E146" s="311">
        <f t="shared" si="6"/>
        <v>-4399217.7967926534</v>
      </c>
      <c r="F146" s="512">
        <v>1940506.4754885724</v>
      </c>
      <c r="G146" s="231"/>
      <c r="H146" s="311">
        <f t="shared" si="7"/>
        <v>-1940506.4754885724</v>
      </c>
      <c r="I146" s="510">
        <v>426754.56248780875</v>
      </c>
      <c r="J146" s="231"/>
      <c r="K146" s="311">
        <f t="shared" si="8"/>
        <v>-426754.56248780875</v>
      </c>
    </row>
    <row r="147" spans="1:11" s="482" customFormat="1" ht="15" x14ac:dyDescent="0.25">
      <c r="A147" s="150">
        <v>5639</v>
      </c>
      <c r="B147" s="478" t="s">
        <v>156</v>
      </c>
      <c r="C147" s="510">
        <v>911068.66061557294</v>
      </c>
      <c r="D147" s="306"/>
      <c r="E147" s="311">
        <f t="shared" si="6"/>
        <v>-911068.66061557294</v>
      </c>
      <c r="F147" s="512">
        <v>820538.80319193844</v>
      </c>
      <c r="G147" s="231"/>
      <c r="H147" s="311">
        <f t="shared" si="7"/>
        <v>-820538.80319193844</v>
      </c>
      <c r="I147" s="510">
        <v>130028.8798828157</v>
      </c>
      <c r="J147" s="231"/>
      <c r="K147" s="311">
        <f t="shared" si="8"/>
        <v>-130028.8798828157</v>
      </c>
    </row>
    <row r="148" spans="1:11" s="482" customFormat="1" ht="15" x14ac:dyDescent="0.25">
      <c r="A148" s="150">
        <v>5640</v>
      </c>
      <c r="B148" s="478" t="s">
        <v>157</v>
      </c>
      <c r="C148" s="510">
        <v>1780786.4783752349</v>
      </c>
      <c r="D148" s="306"/>
      <c r="E148" s="311">
        <f t="shared" si="6"/>
        <v>-1780786.4783752349</v>
      </c>
      <c r="F148" s="512">
        <v>1109811.2588583175</v>
      </c>
      <c r="G148" s="231"/>
      <c r="H148" s="311">
        <f t="shared" si="7"/>
        <v>-1109811.2588583175</v>
      </c>
      <c r="I148" s="510">
        <v>78304.379451144167</v>
      </c>
      <c r="J148" s="231"/>
      <c r="K148" s="311">
        <f t="shared" si="8"/>
        <v>-78304.379451144167</v>
      </c>
    </row>
    <row r="149" spans="1:11" s="482" customFormat="1" ht="15" x14ac:dyDescent="0.25">
      <c r="A149" s="150">
        <v>5642</v>
      </c>
      <c r="B149" s="478" t="s">
        <v>158</v>
      </c>
      <c r="C149" s="510">
        <v>18353982.738213252</v>
      </c>
      <c r="D149" s="306"/>
      <c r="E149" s="311">
        <f t="shared" si="6"/>
        <v>-18353982.738213252</v>
      </c>
      <c r="F149" s="512">
        <v>5327506.0348467566</v>
      </c>
      <c r="G149" s="231"/>
      <c r="H149" s="311">
        <f t="shared" si="7"/>
        <v>-5327506.0348467566</v>
      </c>
      <c r="I149" s="510">
        <v>1105277.9434352098</v>
      </c>
      <c r="J149" s="231"/>
      <c r="K149" s="311">
        <f t="shared" si="8"/>
        <v>-1105277.9434352098</v>
      </c>
    </row>
    <row r="150" spans="1:11" s="482" customFormat="1" ht="15" x14ac:dyDescent="0.25">
      <c r="A150" s="150">
        <v>5643</v>
      </c>
      <c r="B150" s="478" t="s">
        <v>159</v>
      </c>
      <c r="C150" s="510">
        <v>5119866.1082624476</v>
      </c>
      <c r="D150" s="306"/>
      <c r="E150" s="311">
        <f t="shared" si="6"/>
        <v>-5119866.1082624476</v>
      </c>
      <c r="F150" s="512">
        <v>3103424.9330073064</v>
      </c>
      <c r="G150" s="231"/>
      <c r="H150" s="311">
        <f t="shared" si="7"/>
        <v>-3103424.9330073064</v>
      </c>
      <c r="I150" s="510">
        <v>332520.92247496481</v>
      </c>
      <c r="J150" s="231"/>
      <c r="K150" s="311">
        <f t="shared" si="8"/>
        <v>-332520.92247496481</v>
      </c>
    </row>
    <row r="151" spans="1:11" s="482" customFormat="1" ht="15" x14ac:dyDescent="0.25">
      <c r="A151" s="150">
        <v>5644</v>
      </c>
      <c r="B151" s="478" t="s">
        <v>305</v>
      </c>
      <c r="C151" s="510">
        <v>298476.07673667429</v>
      </c>
      <c r="D151" s="306"/>
      <c r="E151" s="311">
        <f t="shared" si="6"/>
        <v>-298476.07673667429</v>
      </c>
      <c r="F151" s="512">
        <v>179563.26007016766</v>
      </c>
      <c r="G151" s="231"/>
      <c r="H151" s="311">
        <f t="shared" si="7"/>
        <v>-179563.26007016766</v>
      </c>
      <c r="I151" s="510">
        <v>53120.041934076173</v>
      </c>
      <c r="J151" s="231"/>
      <c r="K151" s="311">
        <f t="shared" si="8"/>
        <v>-53120.041934076173</v>
      </c>
    </row>
    <row r="152" spans="1:11" s="482" customFormat="1" ht="15" x14ac:dyDescent="0.25">
      <c r="A152" s="150">
        <v>5645</v>
      </c>
      <c r="B152" s="478" t="s">
        <v>306</v>
      </c>
      <c r="C152" s="510">
        <v>669941.7786515851</v>
      </c>
      <c r="D152" s="306"/>
      <c r="E152" s="311">
        <f t="shared" si="6"/>
        <v>-669941.7786515851</v>
      </c>
      <c r="F152" s="512">
        <v>532471.91972584103</v>
      </c>
      <c r="G152" s="231"/>
      <c r="H152" s="311">
        <f t="shared" si="7"/>
        <v>-532471.91972584103</v>
      </c>
      <c r="I152" s="510">
        <v>78701.452258066944</v>
      </c>
      <c r="J152" s="231"/>
      <c r="K152" s="311">
        <f t="shared" si="8"/>
        <v>-78701.452258066944</v>
      </c>
    </row>
    <row r="153" spans="1:11" s="482" customFormat="1" ht="15" x14ac:dyDescent="0.25">
      <c r="A153" s="150">
        <v>5646</v>
      </c>
      <c r="B153" s="478" t="s">
        <v>307</v>
      </c>
      <c r="C153" s="510">
        <v>9410186.6087747347</v>
      </c>
      <c r="D153" s="306"/>
      <c r="E153" s="311">
        <f t="shared" si="6"/>
        <v>-9410186.6087747347</v>
      </c>
      <c r="F153" s="512">
        <v>5772680.5725056995</v>
      </c>
      <c r="G153" s="231"/>
      <c r="H153" s="311">
        <f t="shared" si="7"/>
        <v>-5772680.5725056995</v>
      </c>
      <c r="I153" s="510">
        <v>528042.23519153555</v>
      </c>
      <c r="J153" s="231"/>
      <c r="K153" s="311">
        <f t="shared" si="8"/>
        <v>-528042.23519153555</v>
      </c>
    </row>
    <row r="154" spans="1:11" s="482" customFormat="1" ht="15" x14ac:dyDescent="0.25">
      <c r="A154" s="150">
        <v>5648</v>
      </c>
      <c r="B154" s="478" t="s">
        <v>308</v>
      </c>
      <c r="C154" s="510">
        <v>9866724.0205562003</v>
      </c>
      <c r="D154" s="306"/>
      <c r="E154" s="311">
        <f t="shared" si="6"/>
        <v>-9866724.0205562003</v>
      </c>
      <c r="F154" s="512">
        <v>5827616.5527944649</v>
      </c>
      <c r="G154" s="231"/>
      <c r="H154" s="311">
        <f t="shared" si="7"/>
        <v>-5827616.5527944649</v>
      </c>
      <c r="I154" s="510">
        <v>491807.87217080174</v>
      </c>
      <c r="J154" s="231"/>
      <c r="K154" s="311">
        <f t="shared" si="8"/>
        <v>-491807.87217080174</v>
      </c>
    </row>
    <row r="155" spans="1:11" s="482" customFormat="1" ht="15" x14ac:dyDescent="0.25">
      <c r="A155" s="150">
        <v>5649</v>
      </c>
      <c r="B155" s="478" t="s">
        <v>309</v>
      </c>
      <c r="C155" s="510">
        <v>1955097.3706647123</v>
      </c>
      <c r="D155" s="306"/>
      <c r="E155" s="311">
        <f t="shared" si="6"/>
        <v>-1955097.3706647123</v>
      </c>
      <c r="F155" s="512">
        <v>1072341.0728727141</v>
      </c>
      <c r="G155" s="231"/>
      <c r="H155" s="311">
        <f t="shared" si="7"/>
        <v>-1072341.0728727141</v>
      </c>
      <c r="I155" s="510">
        <v>132046.58359686489</v>
      </c>
      <c r="J155" s="231"/>
      <c r="K155" s="311">
        <f t="shared" si="8"/>
        <v>-132046.58359686489</v>
      </c>
    </row>
    <row r="156" spans="1:11" s="482" customFormat="1" ht="15" x14ac:dyDescent="0.25">
      <c r="A156" s="150">
        <v>5650</v>
      </c>
      <c r="B156" s="478" t="s">
        <v>310</v>
      </c>
      <c r="C156" s="510">
        <v>3987721.5139235845</v>
      </c>
      <c r="D156" s="306"/>
      <c r="E156" s="311">
        <f t="shared" si="6"/>
        <v>-3987721.5139235845</v>
      </c>
      <c r="F156" s="512">
        <v>404520.4346478451</v>
      </c>
      <c r="G156" s="231"/>
      <c r="H156" s="311">
        <f t="shared" si="7"/>
        <v>-404520.4346478451</v>
      </c>
      <c r="I156" s="510">
        <v>134094.20096974127</v>
      </c>
      <c r="J156" s="231"/>
      <c r="K156" s="311">
        <f t="shared" si="8"/>
        <v>-134094.20096974127</v>
      </c>
    </row>
    <row r="157" spans="1:11" s="482" customFormat="1" ht="15" x14ac:dyDescent="0.25">
      <c r="A157" s="150">
        <v>5651</v>
      </c>
      <c r="B157" s="478" t="s">
        <v>311</v>
      </c>
      <c r="C157" s="510">
        <v>1243412.2216581705</v>
      </c>
      <c r="D157" s="306"/>
      <c r="E157" s="311">
        <f t="shared" si="6"/>
        <v>-1243412.2216581705</v>
      </c>
      <c r="F157" s="512">
        <v>1030418.3146381559</v>
      </c>
      <c r="G157" s="231"/>
      <c r="H157" s="311">
        <f t="shared" si="7"/>
        <v>-1030418.3146381559</v>
      </c>
      <c r="I157" s="510">
        <v>75387.786367620181</v>
      </c>
      <c r="J157" s="231"/>
      <c r="K157" s="311">
        <f t="shared" si="8"/>
        <v>-75387.786367620181</v>
      </c>
    </row>
    <row r="158" spans="1:11" s="482" customFormat="1" ht="15" x14ac:dyDescent="0.25">
      <c r="A158" s="150">
        <v>5652</v>
      </c>
      <c r="B158" s="478" t="s">
        <v>194</v>
      </c>
      <c r="C158" s="510">
        <v>617082.32577994489</v>
      </c>
      <c r="D158" s="306"/>
      <c r="E158" s="311">
        <f t="shared" si="6"/>
        <v>-617082.32577994489</v>
      </c>
      <c r="F158" s="512">
        <v>570978.09840789367</v>
      </c>
      <c r="G158" s="231"/>
      <c r="H158" s="311">
        <f t="shared" si="7"/>
        <v>-570978.09840789367</v>
      </c>
      <c r="I158" s="510">
        <v>93635.833880186256</v>
      </c>
      <c r="J158" s="231"/>
      <c r="K158" s="311">
        <f t="shared" si="8"/>
        <v>-93635.833880186256</v>
      </c>
    </row>
    <row r="159" spans="1:11" s="482" customFormat="1" ht="15" x14ac:dyDescent="0.25">
      <c r="A159" s="150">
        <v>5653</v>
      </c>
      <c r="B159" s="478" t="s">
        <v>195</v>
      </c>
      <c r="C159" s="510">
        <v>2597838.0842259312</v>
      </c>
      <c r="D159" s="306"/>
      <c r="E159" s="311">
        <f t="shared" si="6"/>
        <v>-2597838.0842259312</v>
      </c>
      <c r="F159" s="512">
        <v>1302697.3350839906</v>
      </c>
      <c r="G159" s="231"/>
      <c r="H159" s="311">
        <f t="shared" si="7"/>
        <v>-1302697.3350839906</v>
      </c>
      <c r="I159" s="510">
        <v>167631.720730701</v>
      </c>
      <c r="J159" s="231"/>
      <c r="K159" s="311">
        <f t="shared" si="8"/>
        <v>-167631.720730701</v>
      </c>
    </row>
    <row r="160" spans="1:11" s="482" customFormat="1" ht="15" x14ac:dyDescent="0.25">
      <c r="A160" s="150">
        <v>5654</v>
      </c>
      <c r="B160" s="478" t="s">
        <v>196</v>
      </c>
      <c r="C160" s="510">
        <v>303194.3927113383</v>
      </c>
      <c r="D160" s="306"/>
      <c r="E160" s="311">
        <f t="shared" si="6"/>
        <v>-303194.3927113383</v>
      </c>
      <c r="F160" s="512">
        <v>142957.64456865459</v>
      </c>
      <c r="G160" s="231"/>
      <c r="H160" s="311">
        <f t="shared" si="7"/>
        <v>-142957.64456865459</v>
      </c>
      <c r="I160" s="510">
        <v>56489.928093675248</v>
      </c>
      <c r="J160" s="231"/>
      <c r="K160" s="311">
        <f t="shared" si="8"/>
        <v>-56489.928093675248</v>
      </c>
    </row>
    <row r="161" spans="1:11" s="482" customFormat="1" ht="15" x14ac:dyDescent="0.25">
      <c r="A161" s="150">
        <v>5655</v>
      </c>
      <c r="B161" s="478" t="s">
        <v>197</v>
      </c>
      <c r="C161" s="510">
        <v>1577210.5492934284</v>
      </c>
      <c r="D161" s="306"/>
      <c r="E161" s="311">
        <f t="shared" si="6"/>
        <v>-1577210.5492934284</v>
      </c>
      <c r="F161" s="512">
        <v>1219569.0084882621</v>
      </c>
      <c r="G161" s="231"/>
      <c r="H161" s="311">
        <f t="shared" si="7"/>
        <v>-1219569.0084882621</v>
      </c>
      <c r="I161" s="510">
        <v>224701.21724191835</v>
      </c>
      <c r="J161" s="231"/>
      <c r="K161" s="311">
        <f t="shared" si="8"/>
        <v>-224701.21724191835</v>
      </c>
    </row>
    <row r="162" spans="1:11" s="482" customFormat="1" ht="15" x14ac:dyDescent="0.25">
      <c r="A162" s="150">
        <v>5661</v>
      </c>
      <c r="B162" s="478" t="s">
        <v>198</v>
      </c>
      <c r="C162" s="510">
        <v>160493.90122570301</v>
      </c>
      <c r="D162" s="306"/>
      <c r="E162" s="311">
        <f t="shared" si="6"/>
        <v>-160493.90122570301</v>
      </c>
      <c r="F162" s="512">
        <v>-59115.784993496869</v>
      </c>
      <c r="G162" s="231"/>
      <c r="H162" s="311">
        <f t="shared" si="7"/>
        <v>59115.784993496869</v>
      </c>
      <c r="I162" s="510">
        <v>31537.220888691085</v>
      </c>
      <c r="J162" s="231"/>
      <c r="K162" s="311">
        <f t="shared" si="8"/>
        <v>-31537.220888691085</v>
      </c>
    </row>
    <row r="163" spans="1:11" s="482" customFormat="1" ht="15" x14ac:dyDescent="0.25">
      <c r="A163" s="150">
        <v>5663</v>
      </c>
      <c r="B163" s="478" t="s">
        <v>199</v>
      </c>
      <c r="C163" s="510">
        <v>120369.65177663851</v>
      </c>
      <c r="D163" s="306"/>
      <c r="E163" s="311">
        <f t="shared" si="6"/>
        <v>-120369.65177663851</v>
      </c>
      <c r="F163" s="512">
        <v>-23440.541707073506</v>
      </c>
      <c r="G163" s="231"/>
      <c r="H163" s="311">
        <f t="shared" si="7"/>
        <v>23440.541707073506</v>
      </c>
      <c r="I163" s="510">
        <v>20130.672777319382</v>
      </c>
      <c r="J163" s="231"/>
      <c r="K163" s="311">
        <f t="shared" si="8"/>
        <v>-20130.672777319382</v>
      </c>
    </row>
    <row r="164" spans="1:11" s="482" customFormat="1" ht="15" x14ac:dyDescent="0.25">
      <c r="A164" s="150">
        <v>5665</v>
      </c>
      <c r="B164" s="478" t="s">
        <v>95</v>
      </c>
      <c r="C164" s="510">
        <v>87211.36549851649</v>
      </c>
      <c r="D164" s="306"/>
      <c r="E164" s="311">
        <f t="shared" si="6"/>
        <v>-87211.36549851649</v>
      </c>
      <c r="F164" s="512">
        <v>-57526.806613695604</v>
      </c>
      <c r="G164" s="231"/>
      <c r="H164" s="311">
        <f t="shared" si="7"/>
        <v>57526.806613695604</v>
      </c>
      <c r="I164" s="510">
        <v>14852.922642114798</v>
      </c>
      <c r="J164" s="231"/>
      <c r="K164" s="311">
        <f t="shared" si="8"/>
        <v>-14852.922642114798</v>
      </c>
    </row>
    <row r="165" spans="1:11" s="482" customFormat="1" ht="15" x14ac:dyDescent="0.25">
      <c r="A165" s="150">
        <v>5669</v>
      </c>
      <c r="B165" s="478" t="s">
        <v>96</v>
      </c>
      <c r="C165" s="510">
        <v>160658.25895405497</v>
      </c>
      <c r="D165" s="306"/>
      <c r="E165" s="311">
        <f t="shared" si="6"/>
        <v>-160658.25895405497</v>
      </c>
      <c r="F165" s="512">
        <v>62140.901798697043</v>
      </c>
      <c r="G165" s="231"/>
      <c r="H165" s="311">
        <f t="shared" si="7"/>
        <v>-62140.901798697043</v>
      </c>
      <c r="I165" s="510">
        <v>31536.610554225834</v>
      </c>
      <c r="J165" s="231"/>
      <c r="K165" s="311">
        <f t="shared" si="8"/>
        <v>-31536.610554225834</v>
      </c>
    </row>
    <row r="166" spans="1:11" s="482" customFormat="1" ht="15" x14ac:dyDescent="0.25">
      <c r="A166" s="150">
        <v>5671</v>
      </c>
      <c r="B166" s="478" t="s">
        <v>97</v>
      </c>
      <c r="C166" s="510">
        <v>124380.59580864423</v>
      </c>
      <c r="D166" s="306"/>
      <c r="E166" s="311">
        <f t="shared" si="6"/>
        <v>-124380.59580864423</v>
      </c>
      <c r="F166" s="512">
        <v>-43397.260354716338</v>
      </c>
      <c r="G166" s="231"/>
      <c r="H166" s="311">
        <f t="shared" si="7"/>
        <v>43397.260354716338</v>
      </c>
      <c r="I166" s="510">
        <v>20684.304264966362</v>
      </c>
      <c r="J166" s="231"/>
      <c r="K166" s="311">
        <f t="shared" si="8"/>
        <v>-20684.304264966362</v>
      </c>
    </row>
    <row r="167" spans="1:11" s="482" customFormat="1" ht="15" x14ac:dyDescent="0.25">
      <c r="A167" s="150">
        <v>5673</v>
      </c>
      <c r="B167" s="478" t="s">
        <v>98</v>
      </c>
      <c r="C167" s="510">
        <v>175284.13346522639</v>
      </c>
      <c r="D167" s="306"/>
      <c r="E167" s="311">
        <f t="shared" si="6"/>
        <v>-175284.13346522639</v>
      </c>
      <c r="F167" s="512">
        <v>-95348.498766963094</v>
      </c>
      <c r="G167" s="231"/>
      <c r="H167" s="311">
        <f t="shared" si="7"/>
        <v>95348.498766963094</v>
      </c>
      <c r="I167" s="510">
        <v>31259.646864284761</v>
      </c>
      <c r="J167" s="231"/>
      <c r="K167" s="311">
        <f t="shared" si="8"/>
        <v>-31259.646864284761</v>
      </c>
    </row>
    <row r="168" spans="1:11" s="482" customFormat="1" ht="15" x14ac:dyDescent="0.25">
      <c r="A168" s="150">
        <v>5674</v>
      </c>
      <c r="B168" s="478" t="s">
        <v>99</v>
      </c>
      <c r="C168" s="510">
        <v>49355.147982070666</v>
      </c>
      <c r="D168" s="306"/>
      <c r="E168" s="311">
        <f t="shared" si="6"/>
        <v>-49355.147982070666</v>
      </c>
      <c r="F168" s="512">
        <v>-33597.09277945925</v>
      </c>
      <c r="G168" s="231"/>
      <c r="H168" s="311">
        <f t="shared" si="7"/>
        <v>33597.09277945925</v>
      </c>
      <c r="I168" s="510">
        <v>10070.575002119598</v>
      </c>
      <c r="J168" s="231"/>
      <c r="K168" s="311">
        <f t="shared" si="8"/>
        <v>-10070.575002119598</v>
      </c>
    </row>
    <row r="169" spans="1:11" s="482" customFormat="1" ht="15" x14ac:dyDescent="0.25">
      <c r="A169" s="150">
        <v>5675</v>
      </c>
      <c r="B169" s="478" t="s">
        <v>100</v>
      </c>
      <c r="C169" s="510">
        <v>1949362.6273378078</v>
      </c>
      <c r="D169" s="306"/>
      <c r="E169" s="311">
        <f t="shared" si="6"/>
        <v>-1949362.6273378078</v>
      </c>
      <c r="F169" s="512">
        <v>-1820695.0738608781</v>
      </c>
      <c r="G169" s="231"/>
      <c r="H169" s="311">
        <f t="shared" si="7"/>
        <v>1820695.0738608781</v>
      </c>
      <c r="I169" s="510">
        <v>298792.41740829038</v>
      </c>
      <c r="J169" s="231"/>
      <c r="K169" s="311">
        <f t="shared" si="8"/>
        <v>-298792.41740829038</v>
      </c>
    </row>
    <row r="170" spans="1:11" s="482" customFormat="1" ht="15" x14ac:dyDescent="0.25">
      <c r="A170" s="150">
        <v>5678</v>
      </c>
      <c r="B170" s="478" t="s">
        <v>101</v>
      </c>
      <c r="C170" s="510">
        <v>2670576.2347000935</v>
      </c>
      <c r="D170" s="306"/>
      <c r="E170" s="311">
        <f t="shared" si="6"/>
        <v>-2670576.2347000935</v>
      </c>
      <c r="F170" s="512">
        <v>-4545015.2402102035</v>
      </c>
      <c r="G170" s="231"/>
      <c r="H170" s="311">
        <f t="shared" si="7"/>
        <v>4545015.2402102035</v>
      </c>
      <c r="I170" s="510">
        <v>386714.12374020199</v>
      </c>
      <c r="J170" s="231"/>
      <c r="K170" s="311">
        <f t="shared" si="8"/>
        <v>-386714.12374020199</v>
      </c>
    </row>
    <row r="171" spans="1:11" s="482" customFormat="1" ht="15" x14ac:dyDescent="0.25">
      <c r="A171" s="150">
        <v>5680</v>
      </c>
      <c r="B171" s="478" t="s">
        <v>102</v>
      </c>
      <c r="C171" s="510">
        <v>133579.02221987254</v>
      </c>
      <c r="D171" s="306"/>
      <c r="E171" s="311">
        <f t="shared" si="6"/>
        <v>-133579.02221987254</v>
      </c>
      <c r="F171" s="512">
        <v>-115643.19320839929</v>
      </c>
      <c r="G171" s="231"/>
      <c r="H171" s="311">
        <f t="shared" si="7"/>
        <v>115643.19320839929</v>
      </c>
      <c r="I171" s="510">
        <v>19504.397755134742</v>
      </c>
      <c r="J171" s="231"/>
      <c r="K171" s="311">
        <f t="shared" si="8"/>
        <v>-19504.397755134742</v>
      </c>
    </row>
    <row r="172" spans="1:11" s="482" customFormat="1" ht="15" x14ac:dyDescent="0.25">
      <c r="A172" s="150">
        <v>5683</v>
      </c>
      <c r="B172" s="478" t="s">
        <v>103</v>
      </c>
      <c r="C172" s="510">
        <v>73954.79633633398</v>
      </c>
      <c r="D172" s="306"/>
      <c r="E172" s="311">
        <f t="shared" si="6"/>
        <v>-73954.79633633398</v>
      </c>
      <c r="F172" s="512">
        <v>-50755.111740435081</v>
      </c>
      <c r="G172" s="231"/>
      <c r="H172" s="311">
        <f t="shared" si="7"/>
        <v>50755.111740435081</v>
      </c>
      <c r="I172" s="510">
        <v>14128.86732077962</v>
      </c>
      <c r="J172" s="231"/>
      <c r="K172" s="311">
        <f t="shared" si="8"/>
        <v>-14128.86732077962</v>
      </c>
    </row>
    <row r="173" spans="1:11" s="482" customFormat="1" ht="15" x14ac:dyDescent="0.25">
      <c r="A173" s="150">
        <v>5684</v>
      </c>
      <c r="B173" s="478" t="s">
        <v>104</v>
      </c>
      <c r="C173" s="510">
        <v>47525.926467217316</v>
      </c>
      <c r="D173" s="306"/>
      <c r="E173" s="311">
        <f t="shared" si="6"/>
        <v>-47525.926467217316</v>
      </c>
      <c r="F173" s="512">
        <v>22012.032777726563</v>
      </c>
      <c r="G173" s="231"/>
      <c r="H173" s="311">
        <f t="shared" si="7"/>
        <v>-22012.032777726563</v>
      </c>
      <c r="I173" s="510">
        <v>9967.0729559277133</v>
      </c>
      <c r="J173" s="231"/>
      <c r="K173" s="311">
        <f t="shared" si="8"/>
        <v>-9967.0729559277133</v>
      </c>
    </row>
    <row r="174" spans="1:11" s="482" customFormat="1" ht="15" x14ac:dyDescent="0.25">
      <c r="A174" s="150">
        <v>5688</v>
      </c>
      <c r="B174" s="478" t="s">
        <v>105</v>
      </c>
      <c r="C174" s="510">
        <v>41862.706369121515</v>
      </c>
      <c r="D174" s="306"/>
      <c r="E174" s="311">
        <f t="shared" si="6"/>
        <v>-41862.706369121515</v>
      </c>
      <c r="F174" s="512">
        <v>-104354.83720235848</v>
      </c>
      <c r="G174" s="231"/>
      <c r="H174" s="311">
        <f t="shared" si="7"/>
        <v>104354.83720235848</v>
      </c>
      <c r="I174" s="510">
        <v>8314.4437954095465</v>
      </c>
      <c r="J174" s="231"/>
      <c r="K174" s="311">
        <f t="shared" si="8"/>
        <v>-8314.4437954095465</v>
      </c>
    </row>
    <row r="175" spans="1:11" s="482" customFormat="1" ht="15" x14ac:dyDescent="0.25">
      <c r="A175" s="150">
        <v>5690</v>
      </c>
      <c r="B175" s="478" t="s">
        <v>106</v>
      </c>
      <c r="C175" s="510">
        <v>58041.023573869796</v>
      </c>
      <c r="D175" s="306"/>
      <c r="E175" s="311">
        <f t="shared" si="6"/>
        <v>-58041.023573869796</v>
      </c>
      <c r="F175" s="512">
        <v>-6292.719150932222</v>
      </c>
      <c r="G175" s="231"/>
      <c r="H175" s="311">
        <f t="shared" si="7"/>
        <v>6292.719150932222</v>
      </c>
      <c r="I175" s="510">
        <v>9292.9430019364117</v>
      </c>
      <c r="J175" s="231"/>
      <c r="K175" s="311">
        <f t="shared" si="8"/>
        <v>-9292.9430019364117</v>
      </c>
    </row>
    <row r="176" spans="1:11" s="482" customFormat="1" ht="15" x14ac:dyDescent="0.25">
      <c r="A176" s="150">
        <v>5692</v>
      </c>
      <c r="B176" s="478" t="s">
        <v>107</v>
      </c>
      <c r="C176" s="510">
        <v>295559.1512844222</v>
      </c>
      <c r="D176" s="306"/>
      <c r="E176" s="311">
        <f t="shared" si="6"/>
        <v>-295559.1512844222</v>
      </c>
      <c r="F176" s="512">
        <v>-88316.440069707663</v>
      </c>
      <c r="G176" s="231"/>
      <c r="H176" s="311">
        <f t="shared" si="7"/>
        <v>88316.440069707663</v>
      </c>
      <c r="I176" s="510">
        <v>50072.479047453795</v>
      </c>
      <c r="J176" s="231"/>
      <c r="K176" s="311">
        <f t="shared" si="8"/>
        <v>-50072.479047453795</v>
      </c>
    </row>
    <row r="177" spans="1:11" s="482" customFormat="1" ht="15" x14ac:dyDescent="0.25">
      <c r="A177" s="150">
        <v>5693</v>
      </c>
      <c r="B177" s="478" t="s">
        <v>427</v>
      </c>
      <c r="C177" s="510">
        <v>1249258.2046437005</v>
      </c>
      <c r="D177" s="306"/>
      <c r="E177" s="311">
        <f t="shared" si="6"/>
        <v>-1249258.2046437005</v>
      </c>
      <c r="F177" s="512">
        <v>-1018546.9030191215</v>
      </c>
      <c r="G177" s="231"/>
      <c r="H177" s="311">
        <f t="shared" si="7"/>
        <v>1018546.9030191215</v>
      </c>
      <c r="I177" s="510">
        <v>220977.69138285812</v>
      </c>
      <c r="J177" s="231"/>
      <c r="K177" s="311">
        <f t="shared" si="8"/>
        <v>-220977.69138285812</v>
      </c>
    </row>
    <row r="178" spans="1:11" s="482" customFormat="1" ht="15" x14ac:dyDescent="0.25">
      <c r="A178" s="150">
        <v>5701</v>
      </c>
      <c r="B178" s="478" t="s">
        <v>108</v>
      </c>
      <c r="C178" s="510">
        <v>228924.13004704946</v>
      </c>
      <c r="D178" s="306"/>
      <c r="E178" s="311">
        <f t="shared" si="6"/>
        <v>-228924.13004704946</v>
      </c>
      <c r="F178" s="512">
        <v>42639.198641643045</v>
      </c>
      <c r="G178" s="231"/>
      <c r="H178" s="311">
        <f t="shared" si="7"/>
        <v>-42639.198641643045</v>
      </c>
      <c r="I178" s="510">
        <v>35064.144020092048</v>
      </c>
      <c r="J178" s="231"/>
      <c r="K178" s="311">
        <f t="shared" si="8"/>
        <v>-35064.144020092048</v>
      </c>
    </row>
    <row r="179" spans="1:11" s="482" customFormat="1" ht="15" x14ac:dyDescent="0.25">
      <c r="A179" s="150">
        <v>5702</v>
      </c>
      <c r="B179" s="478" t="s">
        <v>426</v>
      </c>
      <c r="C179" s="510">
        <v>4057991.0763884094</v>
      </c>
      <c r="D179" s="306"/>
      <c r="E179" s="311">
        <f t="shared" si="6"/>
        <v>-4057991.0763884094</v>
      </c>
      <c r="F179" s="512">
        <v>2402231.6843722016</v>
      </c>
      <c r="G179" s="231"/>
      <c r="H179" s="311">
        <f t="shared" si="7"/>
        <v>-2402231.6843722016</v>
      </c>
      <c r="I179" s="510">
        <v>462665.69892770099</v>
      </c>
      <c r="J179" s="231"/>
      <c r="K179" s="311">
        <f t="shared" si="8"/>
        <v>-462665.69892770099</v>
      </c>
    </row>
    <row r="180" spans="1:11" s="482" customFormat="1" ht="15" x14ac:dyDescent="0.25">
      <c r="A180" s="150">
        <v>5703</v>
      </c>
      <c r="B180" s="478" t="s">
        <v>109</v>
      </c>
      <c r="C180" s="510">
        <v>1078912.9698625661</v>
      </c>
      <c r="D180" s="306"/>
      <c r="E180" s="311">
        <f t="shared" si="6"/>
        <v>-1078912.9698625661</v>
      </c>
      <c r="F180" s="512">
        <v>439986.93121067859</v>
      </c>
      <c r="G180" s="231"/>
      <c r="H180" s="311">
        <f t="shared" si="7"/>
        <v>-439986.93121067859</v>
      </c>
      <c r="I180" s="510">
        <v>185163.60344170185</v>
      </c>
      <c r="J180" s="231"/>
      <c r="K180" s="311">
        <f t="shared" si="8"/>
        <v>-185163.60344170185</v>
      </c>
    </row>
    <row r="181" spans="1:11" s="482" customFormat="1" ht="15" x14ac:dyDescent="0.25">
      <c r="A181" s="150">
        <v>5704</v>
      </c>
      <c r="B181" s="478" t="s">
        <v>214</v>
      </c>
      <c r="C181" s="510">
        <v>2968449.1119911764</v>
      </c>
      <c r="D181" s="306"/>
      <c r="E181" s="311">
        <f t="shared" si="6"/>
        <v>-2968449.1119911764</v>
      </c>
      <c r="F181" s="512">
        <v>2091565.3075072095</v>
      </c>
      <c r="G181" s="231"/>
      <c r="H181" s="311">
        <f t="shared" si="7"/>
        <v>-2091565.3075072095</v>
      </c>
      <c r="I181" s="510">
        <v>330829.72080159758</v>
      </c>
      <c r="J181" s="231"/>
      <c r="K181" s="311">
        <f t="shared" si="8"/>
        <v>-330829.72080159758</v>
      </c>
    </row>
    <row r="182" spans="1:11" s="482" customFormat="1" ht="15" x14ac:dyDescent="0.25">
      <c r="A182" s="150">
        <v>5705</v>
      </c>
      <c r="B182" s="478" t="s">
        <v>215</v>
      </c>
      <c r="C182" s="510">
        <v>1046768.6459418789</v>
      </c>
      <c r="D182" s="306"/>
      <c r="E182" s="311">
        <f t="shared" si="6"/>
        <v>-1046768.6459418789</v>
      </c>
      <c r="F182" s="512">
        <v>827705.73339514469</v>
      </c>
      <c r="G182" s="231"/>
      <c r="H182" s="311">
        <f t="shared" si="7"/>
        <v>-827705.73339514469</v>
      </c>
      <c r="I182" s="510">
        <v>131151.09335516274</v>
      </c>
      <c r="J182" s="231"/>
      <c r="K182" s="311">
        <f t="shared" si="8"/>
        <v>-131151.09335516274</v>
      </c>
    </row>
    <row r="183" spans="1:11" s="482" customFormat="1" ht="15" x14ac:dyDescent="0.25">
      <c r="A183" s="150">
        <v>5706</v>
      </c>
      <c r="B183" s="478" t="s">
        <v>216</v>
      </c>
      <c r="C183" s="510">
        <v>1665752.4718618905</v>
      </c>
      <c r="D183" s="306"/>
      <c r="E183" s="311">
        <f t="shared" si="6"/>
        <v>-1665752.4718618905</v>
      </c>
      <c r="F183" s="512">
        <v>1335631.3492123636</v>
      </c>
      <c r="G183" s="231"/>
      <c r="H183" s="311">
        <f t="shared" si="7"/>
        <v>-1335631.3492123636</v>
      </c>
      <c r="I183" s="510">
        <v>194982.85997527826</v>
      </c>
      <c r="J183" s="231"/>
      <c r="K183" s="311">
        <f t="shared" si="8"/>
        <v>-194982.85997527826</v>
      </c>
    </row>
    <row r="184" spans="1:11" s="482" customFormat="1" ht="15" x14ac:dyDescent="0.25">
      <c r="A184" s="150">
        <v>5707</v>
      </c>
      <c r="B184" s="478" t="s">
        <v>217</v>
      </c>
      <c r="C184" s="510">
        <v>1861093.5953305529</v>
      </c>
      <c r="D184" s="306"/>
      <c r="E184" s="311">
        <f t="shared" si="6"/>
        <v>-1861093.5953305529</v>
      </c>
      <c r="F184" s="512">
        <v>1329211.6902112102</v>
      </c>
      <c r="G184" s="231"/>
      <c r="H184" s="311">
        <f t="shared" si="7"/>
        <v>-1329211.6902112102</v>
      </c>
      <c r="I184" s="510">
        <v>218895.11170371104</v>
      </c>
      <c r="J184" s="231"/>
      <c r="K184" s="311">
        <f t="shared" si="8"/>
        <v>-218895.11170371104</v>
      </c>
    </row>
    <row r="185" spans="1:11" s="482" customFormat="1" ht="15" x14ac:dyDescent="0.25">
      <c r="A185" s="150">
        <v>5708</v>
      </c>
      <c r="B185" s="478" t="s">
        <v>218</v>
      </c>
      <c r="C185" s="510">
        <v>1589127.7685776744</v>
      </c>
      <c r="D185" s="306"/>
      <c r="E185" s="311">
        <f t="shared" si="6"/>
        <v>-1589127.7685776744</v>
      </c>
      <c r="F185" s="512">
        <v>1150150.0639681453</v>
      </c>
      <c r="G185" s="231"/>
      <c r="H185" s="311">
        <f t="shared" si="7"/>
        <v>-1150150.0639681453</v>
      </c>
      <c r="I185" s="510">
        <v>164842.75631457992</v>
      </c>
      <c r="J185" s="231"/>
      <c r="K185" s="311">
        <f t="shared" si="8"/>
        <v>-164842.75631457992</v>
      </c>
    </row>
    <row r="186" spans="1:11" s="482" customFormat="1" ht="15" x14ac:dyDescent="0.25">
      <c r="A186" s="150">
        <v>5709</v>
      </c>
      <c r="B186" s="478" t="s">
        <v>219</v>
      </c>
      <c r="C186" s="510">
        <v>2475802.0641712453</v>
      </c>
      <c r="D186" s="306"/>
      <c r="E186" s="311">
        <f t="shared" si="6"/>
        <v>-2475802.0641712453</v>
      </c>
      <c r="F186" s="512">
        <v>1690007.1619951818</v>
      </c>
      <c r="G186" s="231"/>
      <c r="H186" s="311">
        <f t="shared" si="7"/>
        <v>-1690007.1619951818</v>
      </c>
      <c r="I186" s="510">
        <v>229623.44392834511</v>
      </c>
      <c r="J186" s="231"/>
      <c r="K186" s="311">
        <f t="shared" si="8"/>
        <v>-229623.44392834511</v>
      </c>
    </row>
    <row r="187" spans="1:11" s="482" customFormat="1" ht="15" x14ac:dyDescent="0.25">
      <c r="A187" s="150">
        <v>5710</v>
      </c>
      <c r="B187" s="478" t="s">
        <v>220</v>
      </c>
      <c r="C187" s="510">
        <v>4312758.8654497461</v>
      </c>
      <c r="D187" s="306"/>
      <c r="E187" s="311">
        <f t="shared" si="6"/>
        <v>-4312758.8654497461</v>
      </c>
      <c r="F187" s="512">
        <v>1365440.9751782776</v>
      </c>
      <c r="G187" s="231"/>
      <c r="H187" s="311">
        <f t="shared" si="7"/>
        <v>-1365440.9751782776</v>
      </c>
      <c r="I187" s="510">
        <v>192056.47735880257</v>
      </c>
      <c r="J187" s="231"/>
      <c r="K187" s="311">
        <f t="shared" si="8"/>
        <v>-192056.47735880257</v>
      </c>
    </row>
    <row r="188" spans="1:11" s="482" customFormat="1" ht="15" x14ac:dyDescent="0.25">
      <c r="A188" s="150">
        <v>5711</v>
      </c>
      <c r="B188" s="478" t="s">
        <v>221</v>
      </c>
      <c r="C188" s="510">
        <v>6893879.864857343</v>
      </c>
      <c r="D188" s="306"/>
      <c r="E188" s="311">
        <f t="shared" si="6"/>
        <v>-6893879.864857343</v>
      </c>
      <c r="F188" s="512">
        <v>4252219.1798074013</v>
      </c>
      <c r="G188" s="231"/>
      <c r="H188" s="311">
        <f t="shared" si="7"/>
        <v>-4252219.1798074013</v>
      </c>
      <c r="I188" s="510">
        <v>580719.57730430912</v>
      </c>
      <c r="J188" s="231"/>
      <c r="K188" s="311">
        <f t="shared" si="8"/>
        <v>-580719.57730430912</v>
      </c>
    </row>
    <row r="189" spans="1:11" s="482" customFormat="1" ht="15" x14ac:dyDescent="0.25">
      <c r="A189" s="150">
        <v>5712</v>
      </c>
      <c r="B189" s="478" t="s">
        <v>222</v>
      </c>
      <c r="C189" s="510">
        <v>12200313.602051076</v>
      </c>
      <c r="D189" s="306"/>
      <c r="E189" s="311">
        <f t="shared" si="6"/>
        <v>-12200313.602051076</v>
      </c>
      <c r="F189" s="512">
        <v>6719574.9924783241</v>
      </c>
      <c r="G189" s="231"/>
      <c r="H189" s="311">
        <f t="shared" si="7"/>
        <v>-6719574.9924783241</v>
      </c>
      <c r="I189" s="510">
        <v>774021.3515416123</v>
      </c>
      <c r="J189" s="231"/>
      <c r="K189" s="311">
        <f t="shared" si="8"/>
        <v>-774021.3515416123</v>
      </c>
    </row>
    <row r="190" spans="1:11" s="482" customFormat="1" ht="15" x14ac:dyDescent="0.25">
      <c r="A190" s="150">
        <v>5713</v>
      </c>
      <c r="B190" s="478" t="s">
        <v>223</v>
      </c>
      <c r="C190" s="510">
        <v>8971541.4916430041</v>
      </c>
      <c r="D190" s="306"/>
      <c r="E190" s="311">
        <f t="shared" si="6"/>
        <v>-8971541.4916430041</v>
      </c>
      <c r="F190" s="512">
        <v>5035418.9712725012</v>
      </c>
      <c r="G190" s="231"/>
      <c r="H190" s="311">
        <f t="shared" si="7"/>
        <v>-5035418.9712725012</v>
      </c>
      <c r="I190" s="510">
        <v>367137.30576572334</v>
      </c>
      <c r="J190" s="231"/>
      <c r="K190" s="311">
        <f t="shared" si="8"/>
        <v>-367137.30576572334</v>
      </c>
    </row>
    <row r="191" spans="1:11" s="482" customFormat="1" ht="15" x14ac:dyDescent="0.25">
      <c r="A191" s="150">
        <v>5714</v>
      </c>
      <c r="B191" s="478" t="s">
        <v>224</v>
      </c>
      <c r="C191" s="510">
        <v>1488794.8359988986</v>
      </c>
      <c r="D191" s="306"/>
      <c r="E191" s="311">
        <f t="shared" si="6"/>
        <v>-1488794.8359988986</v>
      </c>
      <c r="F191" s="512">
        <v>1179814.4277719334</v>
      </c>
      <c r="G191" s="231"/>
      <c r="H191" s="311">
        <f t="shared" si="7"/>
        <v>-1179814.4277719334</v>
      </c>
      <c r="I191" s="510">
        <v>188793.15541130595</v>
      </c>
      <c r="J191" s="231"/>
      <c r="K191" s="311">
        <f t="shared" si="8"/>
        <v>-188793.15541130595</v>
      </c>
    </row>
    <row r="192" spans="1:11" s="482" customFormat="1" ht="15" x14ac:dyDescent="0.25">
      <c r="A192" s="150">
        <v>5715</v>
      </c>
      <c r="B192" s="478" t="s">
        <v>225</v>
      </c>
      <c r="C192" s="510">
        <v>1569451.7249670539</v>
      </c>
      <c r="D192" s="306"/>
      <c r="E192" s="311">
        <f t="shared" si="6"/>
        <v>-1569451.7249670539</v>
      </c>
      <c r="F192" s="512">
        <v>1219258.0131740163</v>
      </c>
      <c r="G192" s="231"/>
      <c r="H192" s="311">
        <f t="shared" si="7"/>
        <v>-1219258.0131740163</v>
      </c>
      <c r="I192" s="510">
        <v>182829.62977662939</v>
      </c>
      <c r="J192" s="231"/>
      <c r="K192" s="311">
        <f t="shared" si="8"/>
        <v>-182829.62977662939</v>
      </c>
    </row>
    <row r="193" spans="1:11" s="482" customFormat="1" ht="15" x14ac:dyDescent="0.25">
      <c r="A193" s="150">
        <v>5716</v>
      </c>
      <c r="B193" s="478" t="s">
        <v>226</v>
      </c>
      <c r="C193" s="510">
        <v>7014809.970961622</v>
      </c>
      <c r="D193" s="306"/>
      <c r="E193" s="311">
        <f t="shared" si="6"/>
        <v>-7014809.970961622</v>
      </c>
      <c r="F193" s="512">
        <v>3732464.686218678</v>
      </c>
      <c r="G193" s="231"/>
      <c r="H193" s="311">
        <f t="shared" si="7"/>
        <v>-3732464.686218678</v>
      </c>
      <c r="I193" s="510">
        <v>424718.7582863915</v>
      </c>
      <c r="J193" s="231"/>
      <c r="K193" s="311">
        <f t="shared" si="8"/>
        <v>-424718.7582863915</v>
      </c>
    </row>
    <row r="194" spans="1:11" s="482" customFormat="1" ht="15" x14ac:dyDescent="0.25">
      <c r="A194" s="150">
        <v>5717</v>
      </c>
      <c r="B194" s="478" t="s">
        <v>227</v>
      </c>
      <c r="C194" s="510">
        <v>9742876.5633256342</v>
      </c>
      <c r="D194" s="306"/>
      <c r="E194" s="311">
        <f t="shared" si="6"/>
        <v>-9742876.5633256342</v>
      </c>
      <c r="F194" s="512">
        <v>5557504.9547842592</v>
      </c>
      <c r="G194" s="231"/>
      <c r="H194" s="311">
        <f t="shared" si="7"/>
        <v>-5557504.9547842592</v>
      </c>
      <c r="I194" s="510">
        <v>764217.27927037317</v>
      </c>
      <c r="J194" s="231"/>
      <c r="K194" s="311">
        <f t="shared" si="8"/>
        <v>-764217.27927037317</v>
      </c>
    </row>
    <row r="195" spans="1:11" s="482" customFormat="1" ht="15" x14ac:dyDescent="0.25">
      <c r="A195" s="150">
        <v>5718</v>
      </c>
      <c r="B195" s="478" t="s">
        <v>228</v>
      </c>
      <c r="C195" s="510">
        <v>4777332.8041139217</v>
      </c>
      <c r="D195" s="306"/>
      <c r="E195" s="311">
        <f t="shared" si="6"/>
        <v>-4777332.8041139217</v>
      </c>
      <c r="F195" s="512">
        <v>2868327.5060511711</v>
      </c>
      <c r="G195" s="231"/>
      <c r="H195" s="311">
        <f t="shared" si="7"/>
        <v>-2868327.5060511711</v>
      </c>
      <c r="I195" s="510">
        <v>389094.61022119457</v>
      </c>
      <c r="J195" s="231"/>
      <c r="K195" s="311">
        <f t="shared" si="8"/>
        <v>-389094.61022119457</v>
      </c>
    </row>
    <row r="196" spans="1:11" s="482" customFormat="1" ht="15" x14ac:dyDescent="0.25">
      <c r="A196" s="150">
        <v>5719</v>
      </c>
      <c r="B196" s="478" t="s">
        <v>229</v>
      </c>
      <c r="C196" s="510">
        <v>4255833.7256971039</v>
      </c>
      <c r="D196" s="306"/>
      <c r="E196" s="311">
        <f t="shared" si="6"/>
        <v>-4255833.7256971039</v>
      </c>
      <c r="F196" s="512">
        <v>2586844.7155236956</v>
      </c>
      <c r="G196" s="231"/>
      <c r="H196" s="311">
        <f t="shared" si="7"/>
        <v>-2586844.7155236956</v>
      </c>
      <c r="I196" s="510">
        <v>288387.98553524236</v>
      </c>
      <c r="J196" s="231"/>
      <c r="K196" s="311">
        <f t="shared" si="8"/>
        <v>-288387.98553524236</v>
      </c>
    </row>
    <row r="197" spans="1:11" s="482" customFormat="1" ht="15" x14ac:dyDescent="0.25">
      <c r="A197" s="150">
        <v>5720</v>
      </c>
      <c r="B197" s="478" t="s">
        <v>230</v>
      </c>
      <c r="C197" s="510">
        <v>2271132.5941790314</v>
      </c>
      <c r="D197" s="306"/>
      <c r="E197" s="311">
        <f t="shared" si="6"/>
        <v>-2271132.5941790314</v>
      </c>
      <c r="F197" s="512">
        <v>1443667.2929716287</v>
      </c>
      <c r="G197" s="231"/>
      <c r="H197" s="311">
        <f t="shared" si="7"/>
        <v>-1443667.2929716287</v>
      </c>
      <c r="I197" s="510">
        <v>193774.82561273742</v>
      </c>
      <c r="J197" s="231"/>
      <c r="K197" s="311">
        <f t="shared" si="8"/>
        <v>-193774.82561273742</v>
      </c>
    </row>
    <row r="198" spans="1:11" s="482" customFormat="1" ht="15" x14ac:dyDescent="0.25">
      <c r="A198" s="150">
        <v>5721</v>
      </c>
      <c r="B198" s="478" t="s">
        <v>231</v>
      </c>
      <c r="C198" s="510">
        <v>12996575.439290924</v>
      </c>
      <c r="D198" s="306"/>
      <c r="E198" s="311">
        <f t="shared" ref="E198:E261" si="9">D198-C198</f>
        <v>-12996575.439290924</v>
      </c>
      <c r="F198" s="512">
        <v>4917936.1304430477</v>
      </c>
      <c r="G198" s="231"/>
      <c r="H198" s="311">
        <f t="shared" ref="H198:H261" si="10">G198-F198</f>
        <v>-4917936.1304430477</v>
      </c>
      <c r="I198" s="510">
        <v>1968762.7090313653</v>
      </c>
      <c r="J198" s="231"/>
      <c r="K198" s="311">
        <f t="shared" ref="K198:K261" si="11">J198-I198</f>
        <v>-1968762.7090313653</v>
      </c>
    </row>
    <row r="199" spans="1:11" s="482" customFormat="1" ht="15" x14ac:dyDescent="0.25">
      <c r="A199" s="150">
        <v>5722</v>
      </c>
      <c r="B199" s="478" t="s">
        <v>232</v>
      </c>
      <c r="C199" s="510">
        <v>412362.82662804547</v>
      </c>
      <c r="D199" s="306"/>
      <c r="E199" s="311">
        <f t="shared" si="9"/>
        <v>-412362.82662804547</v>
      </c>
      <c r="F199" s="512">
        <v>148925.64945756129</v>
      </c>
      <c r="G199" s="231"/>
      <c r="H199" s="311">
        <f t="shared" si="10"/>
        <v>-148925.64945756129</v>
      </c>
      <c r="I199" s="510">
        <v>58644.552536603529</v>
      </c>
      <c r="J199" s="231"/>
      <c r="K199" s="311">
        <f t="shared" si="11"/>
        <v>-58644.552536603529</v>
      </c>
    </row>
    <row r="200" spans="1:11" s="482" customFormat="1" ht="15" x14ac:dyDescent="0.25">
      <c r="A200" s="150">
        <v>5723</v>
      </c>
      <c r="B200" s="478" t="s">
        <v>233</v>
      </c>
      <c r="C200" s="510">
        <v>5320130.0523036867</v>
      </c>
      <c r="D200" s="306"/>
      <c r="E200" s="311">
        <f t="shared" si="9"/>
        <v>-5320130.0523036867</v>
      </c>
      <c r="F200" s="512">
        <v>3344441.0999100124</v>
      </c>
      <c r="G200" s="231"/>
      <c r="H200" s="311">
        <f t="shared" si="10"/>
        <v>-3344441.0999100124</v>
      </c>
      <c r="I200" s="510">
        <v>432778.71010747657</v>
      </c>
      <c r="J200" s="231"/>
      <c r="K200" s="311">
        <f t="shared" si="11"/>
        <v>-432778.71010747657</v>
      </c>
    </row>
    <row r="201" spans="1:11" s="482" customFormat="1" ht="15" x14ac:dyDescent="0.25">
      <c r="A201" s="150">
        <v>5724</v>
      </c>
      <c r="B201" s="478" t="s">
        <v>68</v>
      </c>
      <c r="C201" s="510">
        <v>32943426.014973942</v>
      </c>
      <c r="D201" s="306"/>
      <c r="E201" s="311">
        <f t="shared" si="9"/>
        <v>-32943426.014973942</v>
      </c>
      <c r="F201" s="512">
        <v>9945691.1323398631</v>
      </c>
      <c r="G201" s="231"/>
      <c r="H201" s="311">
        <f t="shared" si="10"/>
        <v>-9945691.1323398631</v>
      </c>
      <c r="I201" s="510">
        <v>1780208.2554160065</v>
      </c>
      <c r="J201" s="231"/>
      <c r="K201" s="311">
        <f t="shared" si="11"/>
        <v>-1780208.2554160065</v>
      </c>
    </row>
    <row r="202" spans="1:11" s="482" customFormat="1" ht="15" x14ac:dyDescent="0.25">
      <c r="A202" s="150">
        <v>5725</v>
      </c>
      <c r="B202" s="478" t="s">
        <v>69</v>
      </c>
      <c r="C202" s="510">
        <v>9627692.1867044382</v>
      </c>
      <c r="D202" s="306"/>
      <c r="E202" s="311">
        <f t="shared" si="9"/>
        <v>-9627692.1867044382</v>
      </c>
      <c r="F202" s="512">
        <v>5358865.3832375966</v>
      </c>
      <c r="G202" s="231"/>
      <c r="H202" s="311">
        <f t="shared" si="10"/>
        <v>-5358865.3832375966</v>
      </c>
      <c r="I202" s="510">
        <v>440476.96305537428</v>
      </c>
      <c r="J202" s="231"/>
      <c r="K202" s="311">
        <f t="shared" si="11"/>
        <v>-440476.96305537428</v>
      </c>
    </row>
    <row r="203" spans="1:11" s="482" customFormat="1" ht="15" x14ac:dyDescent="0.25">
      <c r="A203" s="150">
        <v>5726</v>
      </c>
      <c r="B203" s="478" t="s">
        <v>312</v>
      </c>
      <c r="C203" s="510">
        <v>1189560.1176408953</v>
      </c>
      <c r="D203" s="306"/>
      <c r="E203" s="311">
        <f t="shared" si="9"/>
        <v>-1189560.1176408953</v>
      </c>
      <c r="F203" s="512">
        <v>1029141.8018915225</v>
      </c>
      <c r="G203" s="231"/>
      <c r="H203" s="311">
        <f t="shared" si="10"/>
        <v>-1029141.8018915225</v>
      </c>
      <c r="I203" s="510">
        <v>175438.67070851946</v>
      </c>
      <c r="J203" s="231"/>
      <c r="K203" s="311">
        <f t="shared" si="11"/>
        <v>-175438.67070851946</v>
      </c>
    </row>
    <row r="204" spans="1:11" s="482" customFormat="1" ht="15" x14ac:dyDescent="0.25">
      <c r="A204" s="150">
        <v>5727</v>
      </c>
      <c r="B204" s="478" t="s">
        <v>313</v>
      </c>
      <c r="C204" s="510">
        <v>1844305.2921122019</v>
      </c>
      <c r="D204" s="306"/>
      <c r="E204" s="311">
        <f t="shared" si="9"/>
        <v>-1844305.2921122019</v>
      </c>
      <c r="F204" s="512">
        <v>447310.32319256163</v>
      </c>
      <c r="G204" s="231"/>
      <c r="H204" s="311">
        <f t="shared" si="10"/>
        <v>-447310.32319256163</v>
      </c>
      <c r="I204" s="510">
        <v>299680.20636634395</v>
      </c>
      <c r="J204" s="231"/>
      <c r="K204" s="311">
        <f t="shared" si="11"/>
        <v>-299680.20636634395</v>
      </c>
    </row>
    <row r="205" spans="1:11" s="482" customFormat="1" ht="15" x14ac:dyDescent="0.25">
      <c r="A205" s="150">
        <v>5728</v>
      </c>
      <c r="B205" s="478" t="s">
        <v>314</v>
      </c>
      <c r="C205" s="510">
        <v>1045743.4818962205</v>
      </c>
      <c r="D205" s="306"/>
      <c r="E205" s="311">
        <f t="shared" si="9"/>
        <v>-1045743.4818962205</v>
      </c>
      <c r="F205" s="512">
        <v>779627.67964677047</v>
      </c>
      <c r="G205" s="231"/>
      <c r="H205" s="311">
        <f t="shared" si="10"/>
        <v>-779627.67964677047</v>
      </c>
      <c r="I205" s="510">
        <v>105695.26654757856</v>
      </c>
      <c r="J205" s="231"/>
      <c r="K205" s="311">
        <f t="shared" si="11"/>
        <v>-105695.26654757856</v>
      </c>
    </row>
    <row r="206" spans="1:11" s="482" customFormat="1" ht="15" x14ac:dyDescent="0.25">
      <c r="A206" s="150">
        <v>5729</v>
      </c>
      <c r="B206" s="478" t="s">
        <v>315</v>
      </c>
      <c r="C206" s="510">
        <v>5572134.2039832575</v>
      </c>
      <c r="D206" s="306"/>
      <c r="E206" s="311">
        <f t="shared" si="9"/>
        <v>-5572134.2039832575</v>
      </c>
      <c r="F206" s="512">
        <v>3136916.9046968627</v>
      </c>
      <c r="G206" s="231"/>
      <c r="H206" s="311">
        <f t="shared" si="10"/>
        <v>-3136916.9046968627</v>
      </c>
      <c r="I206" s="510">
        <v>363404.21898231225</v>
      </c>
      <c r="J206" s="231"/>
      <c r="K206" s="311">
        <f t="shared" si="11"/>
        <v>-363404.21898231225</v>
      </c>
    </row>
    <row r="207" spans="1:11" s="482" customFormat="1" ht="15" x14ac:dyDescent="0.25">
      <c r="A207" s="150">
        <v>5730</v>
      </c>
      <c r="B207" s="478" t="s">
        <v>316</v>
      </c>
      <c r="C207" s="510">
        <v>3634402.0584759302</v>
      </c>
      <c r="D207" s="306"/>
      <c r="E207" s="311">
        <f t="shared" si="9"/>
        <v>-3634402.0584759302</v>
      </c>
      <c r="F207" s="512">
        <v>2362294.0694191661</v>
      </c>
      <c r="G207" s="231"/>
      <c r="H207" s="311">
        <f t="shared" si="10"/>
        <v>-2362294.0694191661</v>
      </c>
      <c r="I207" s="510">
        <v>294789.40410530125</v>
      </c>
      <c r="J207" s="231"/>
      <c r="K207" s="311">
        <f t="shared" si="11"/>
        <v>-294789.40410530125</v>
      </c>
    </row>
    <row r="208" spans="1:11" s="482" customFormat="1" ht="15" x14ac:dyDescent="0.25">
      <c r="A208" s="150">
        <v>5731</v>
      </c>
      <c r="B208" s="478" t="s">
        <v>317</v>
      </c>
      <c r="C208" s="510">
        <v>1320885.6476856563</v>
      </c>
      <c r="D208" s="306"/>
      <c r="E208" s="311">
        <f t="shared" si="9"/>
        <v>-1320885.6476856563</v>
      </c>
      <c r="F208" s="512">
        <v>845434.48913429282</v>
      </c>
      <c r="G208" s="231"/>
      <c r="H208" s="311">
        <f t="shared" si="10"/>
        <v>-845434.48913429282</v>
      </c>
      <c r="I208" s="510">
        <v>195569.33883685712</v>
      </c>
      <c r="J208" s="231"/>
      <c r="K208" s="311">
        <f t="shared" si="11"/>
        <v>-195569.33883685712</v>
      </c>
    </row>
    <row r="209" spans="1:11" s="482" customFormat="1" ht="15" x14ac:dyDescent="0.25">
      <c r="A209" s="150">
        <v>5732</v>
      </c>
      <c r="B209" s="478" t="s">
        <v>318</v>
      </c>
      <c r="C209" s="510">
        <v>1353781.0715331521</v>
      </c>
      <c r="D209" s="306"/>
      <c r="E209" s="311">
        <f t="shared" si="9"/>
        <v>-1353781.0715331521</v>
      </c>
      <c r="F209" s="512">
        <v>1074995.4601329961</v>
      </c>
      <c r="G209" s="231"/>
      <c r="H209" s="311">
        <f t="shared" si="10"/>
        <v>-1074995.4601329961</v>
      </c>
      <c r="I209" s="510">
        <v>172637.34108585055</v>
      </c>
      <c r="J209" s="231"/>
      <c r="K209" s="311">
        <f t="shared" si="11"/>
        <v>-172637.34108585055</v>
      </c>
    </row>
    <row r="210" spans="1:11" s="482" customFormat="1" ht="15" x14ac:dyDescent="0.25">
      <c r="A210" s="150">
        <v>5741</v>
      </c>
      <c r="B210" s="478" t="s">
        <v>319</v>
      </c>
      <c r="C210" s="510">
        <v>133291.44423130192</v>
      </c>
      <c r="D210" s="306"/>
      <c r="E210" s="311">
        <f t="shared" si="9"/>
        <v>-133291.44423130192</v>
      </c>
      <c r="F210" s="512">
        <v>-111627.54274530573</v>
      </c>
      <c r="G210" s="231"/>
      <c r="H210" s="311">
        <f t="shared" si="10"/>
        <v>111627.54274530573</v>
      </c>
      <c r="I210" s="510">
        <v>22454.138897210076</v>
      </c>
      <c r="J210" s="231"/>
      <c r="K210" s="311">
        <f t="shared" si="11"/>
        <v>-22454.138897210076</v>
      </c>
    </row>
    <row r="211" spans="1:11" s="482" customFormat="1" ht="15" x14ac:dyDescent="0.25">
      <c r="A211" s="150">
        <v>5742</v>
      </c>
      <c r="B211" s="478" t="s">
        <v>320</v>
      </c>
      <c r="C211" s="510">
        <v>171641.98118854698</v>
      </c>
      <c r="D211" s="306"/>
      <c r="E211" s="311">
        <f t="shared" si="9"/>
        <v>-171641.98118854698</v>
      </c>
      <c r="F211" s="512">
        <v>-49474.33248377627</v>
      </c>
      <c r="G211" s="231"/>
      <c r="H211" s="311">
        <f t="shared" si="10"/>
        <v>49474.33248377627</v>
      </c>
      <c r="I211" s="510">
        <v>28208.137148520516</v>
      </c>
      <c r="J211" s="231"/>
      <c r="K211" s="311">
        <f t="shared" si="11"/>
        <v>-28208.137148520516</v>
      </c>
    </row>
    <row r="212" spans="1:11" s="482" customFormat="1" ht="15" x14ac:dyDescent="0.25">
      <c r="A212" s="150">
        <v>5743</v>
      </c>
      <c r="B212" s="478" t="s">
        <v>258</v>
      </c>
      <c r="C212" s="510">
        <v>399971.74212419253</v>
      </c>
      <c r="D212" s="306"/>
      <c r="E212" s="311">
        <f t="shared" si="9"/>
        <v>-399971.74212419253</v>
      </c>
      <c r="F212" s="512">
        <v>8107.1859446120361</v>
      </c>
      <c r="G212" s="231"/>
      <c r="H212" s="311">
        <f t="shared" si="10"/>
        <v>-8107.1859446120361</v>
      </c>
      <c r="I212" s="510">
        <v>60021.564660854652</v>
      </c>
      <c r="J212" s="231"/>
      <c r="K212" s="311">
        <f t="shared" si="11"/>
        <v>-60021.564660854652</v>
      </c>
    </row>
    <row r="213" spans="1:11" s="482" customFormat="1" ht="15" x14ac:dyDescent="0.25">
      <c r="A213" s="150">
        <v>5744</v>
      </c>
      <c r="B213" s="478" t="s">
        <v>259</v>
      </c>
      <c r="C213" s="510">
        <v>1594845.5168522415</v>
      </c>
      <c r="D213" s="306"/>
      <c r="E213" s="311">
        <f t="shared" si="9"/>
        <v>-1594845.5168522415</v>
      </c>
      <c r="F213" s="512">
        <v>728724.2676302325</v>
      </c>
      <c r="G213" s="231"/>
      <c r="H213" s="311">
        <f t="shared" si="10"/>
        <v>-728724.2676302325</v>
      </c>
      <c r="I213" s="510">
        <v>171248.27809520689</v>
      </c>
      <c r="J213" s="231"/>
      <c r="K213" s="311">
        <f t="shared" si="11"/>
        <v>-171248.27809520689</v>
      </c>
    </row>
    <row r="214" spans="1:11" s="482" customFormat="1" ht="15" x14ac:dyDescent="0.25">
      <c r="A214" s="150">
        <v>5745</v>
      </c>
      <c r="B214" s="478" t="s">
        <v>260</v>
      </c>
      <c r="C214" s="510">
        <v>539789.09523380164</v>
      </c>
      <c r="D214" s="306"/>
      <c r="E214" s="311">
        <f t="shared" si="9"/>
        <v>-539789.09523380164</v>
      </c>
      <c r="F214" s="512">
        <v>-360318.96610636672</v>
      </c>
      <c r="G214" s="231"/>
      <c r="H214" s="311">
        <f t="shared" si="10"/>
        <v>360318.96610636672</v>
      </c>
      <c r="I214" s="510">
        <v>87586.19594370047</v>
      </c>
      <c r="J214" s="231"/>
      <c r="K214" s="311">
        <f t="shared" si="11"/>
        <v>-87586.19594370047</v>
      </c>
    </row>
    <row r="215" spans="1:11" s="482" customFormat="1" ht="15" x14ac:dyDescent="0.25">
      <c r="A215" s="150">
        <v>5746</v>
      </c>
      <c r="B215" s="478" t="s">
        <v>261</v>
      </c>
      <c r="C215" s="510">
        <v>506741.29554744018</v>
      </c>
      <c r="D215" s="306"/>
      <c r="E215" s="311">
        <f t="shared" si="9"/>
        <v>-506741.29554744018</v>
      </c>
      <c r="F215" s="512">
        <v>-166231.62332051634</v>
      </c>
      <c r="G215" s="231"/>
      <c r="H215" s="311">
        <f t="shared" si="10"/>
        <v>166231.62332051634</v>
      </c>
      <c r="I215" s="510">
        <v>81277.939880983264</v>
      </c>
      <c r="J215" s="231"/>
      <c r="K215" s="311">
        <f t="shared" si="11"/>
        <v>-81277.939880983264</v>
      </c>
    </row>
    <row r="216" spans="1:11" s="482" customFormat="1" ht="15" x14ac:dyDescent="0.25">
      <c r="A216" s="150">
        <v>5747</v>
      </c>
      <c r="B216" s="478" t="s">
        <v>262</v>
      </c>
      <c r="C216" s="510">
        <v>97838.504869327197</v>
      </c>
      <c r="D216" s="306"/>
      <c r="E216" s="311">
        <f t="shared" si="9"/>
        <v>-97838.504869327197</v>
      </c>
      <c r="F216" s="512">
        <v>-190999.83898039226</v>
      </c>
      <c r="G216" s="231"/>
      <c r="H216" s="311">
        <f t="shared" si="10"/>
        <v>190999.83898039226</v>
      </c>
      <c r="I216" s="510">
        <v>18526.508509181585</v>
      </c>
      <c r="J216" s="231"/>
      <c r="K216" s="311">
        <f t="shared" si="11"/>
        <v>-18526.508509181585</v>
      </c>
    </row>
    <row r="217" spans="1:11" s="482" customFormat="1" ht="15" x14ac:dyDescent="0.25">
      <c r="A217" s="150">
        <v>5748</v>
      </c>
      <c r="B217" s="478" t="s">
        <v>263</v>
      </c>
      <c r="C217" s="510">
        <v>128356.07456764787</v>
      </c>
      <c r="D217" s="306"/>
      <c r="E217" s="311">
        <f t="shared" si="9"/>
        <v>-128356.07456764787</v>
      </c>
      <c r="F217" s="512">
        <v>-44642.397666688339</v>
      </c>
      <c r="G217" s="231"/>
      <c r="H217" s="311">
        <f t="shared" si="10"/>
        <v>44642.397666688339</v>
      </c>
      <c r="I217" s="510">
        <v>22941.395183543937</v>
      </c>
      <c r="J217" s="231"/>
      <c r="K217" s="311">
        <f t="shared" si="11"/>
        <v>-22941.395183543937</v>
      </c>
    </row>
    <row r="218" spans="1:11" s="482" customFormat="1" ht="15" x14ac:dyDescent="0.25">
      <c r="A218" s="150">
        <v>5749</v>
      </c>
      <c r="B218" s="478" t="s">
        <v>264</v>
      </c>
      <c r="C218" s="510">
        <v>2644857.7557078474</v>
      </c>
      <c r="D218" s="306"/>
      <c r="E218" s="311">
        <f t="shared" si="9"/>
        <v>-2644857.7557078474</v>
      </c>
      <c r="F218" s="512">
        <v>-2037913.2098309221</v>
      </c>
      <c r="G218" s="231"/>
      <c r="H218" s="311">
        <f t="shared" si="10"/>
        <v>2037913.2098309221</v>
      </c>
      <c r="I218" s="510">
        <v>410259.75036276074</v>
      </c>
      <c r="J218" s="231"/>
      <c r="K218" s="311">
        <f t="shared" si="11"/>
        <v>-410259.75036276074</v>
      </c>
    </row>
    <row r="219" spans="1:11" s="482" customFormat="1" ht="15" x14ac:dyDescent="0.25">
      <c r="A219" s="150">
        <v>5750</v>
      </c>
      <c r="B219" s="478" t="s">
        <v>265</v>
      </c>
      <c r="C219" s="510">
        <v>81098.078946985901</v>
      </c>
      <c r="D219" s="306"/>
      <c r="E219" s="311">
        <f t="shared" si="9"/>
        <v>-81098.078946985901</v>
      </c>
      <c r="F219" s="512">
        <v>-67727.462741497147</v>
      </c>
      <c r="G219" s="231"/>
      <c r="H219" s="311">
        <f t="shared" si="10"/>
        <v>67727.462741497147</v>
      </c>
      <c r="I219" s="510">
        <v>15988.333233123627</v>
      </c>
      <c r="J219" s="231"/>
      <c r="K219" s="311">
        <f t="shared" si="11"/>
        <v>-15988.333233123627</v>
      </c>
    </row>
    <row r="220" spans="1:11" s="482" customFormat="1" ht="15" x14ac:dyDescent="0.25">
      <c r="A220" s="150">
        <v>5752</v>
      </c>
      <c r="B220" s="478" t="s">
        <v>324</v>
      </c>
      <c r="C220" s="510">
        <v>173548.01959547037</v>
      </c>
      <c r="D220" s="306"/>
      <c r="E220" s="311">
        <f t="shared" si="9"/>
        <v>-173548.01959547037</v>
      </c>
      <c r="F220" s="512">
        <v>-133678.16071701748</v>
      </c>
      <c r="G220" s="231"/>
      <c r="H220" s="311">
        <f t="shared" si="10"/>
        <v>133678.16071701748</v>
      </c>
      <c r="I220" s="510">
        <v>30233.578015058622</v>
      </c>
      <c r="J220" s="231"/>
      <c r="K220" s="311">
        <f t="shared" si="11"/>
        <v>-30233.578015058622</v>
      </c>
    </row>
    <row r="221" spans="1:11" s="482" customFormat="1" ht="15" x14ac:dyDescent="0.25">
      <c r="A221" s="150">
        <v>5754</v>
      </c>
      <c r="B221" s="478" t="s">
        <v>325</v>
      </c>
      <c r="C221" s="510">
        <v>144531.1846276203</v>
      </c>
      <c r="D221" s="306"/>
      <c r="E221" s="311">
        <f t="shared" si="9"/>
        <v>-144531.1846276203</v>
      </c>
      <c r="F221" s="512">
        <v>-36855.375510172598</v>
      </c>
      <c r="G221" s="231"/>
      <c r="H221" s="311">
        <f t="shared" si="10"/>
        <v>36855.375510172598</v>
      </c>
      <c r="I221" s="510">
        <v>29293.172156821209</v>
      </c>
      <c r="J221" s="231"/>
      <c r="K221" s="311">
        <f t="shared" si="11"/>
        <v>-29293.172156821209</v>
      </c>
    </row>
    <row r="222" spans="1:11" s="482" customFormat="1" ht="15" x14ac:dyDescent="0.25">
      <c r="A222" s="150">
        <v>5755</v>
      </c>
      <c r="B222" s="478" t="s">
        <v>326</v>
      </c>
      <c r="C222" s="510">
        <v>207518.4088365052</v>
      </c>
      <c r="D222" s="306"/>
      <c r="E222" s="311">
        <f t="shared" si="9"/>
        <v>-207518.4088365052</v>
      </c>
      <c r="F222" s="512">
        <v>-253116.49295907738</v>
      </c>
      <c r="G222" s="231"/>
      <c r="H222" s="311">
        <f t="shared" si="10"/>
        <v>253116.49295907738</v>
      </c>
      <c r="I222" s="510">
        <v>30639.700670341037</v>
      </c>
      <c r="J222" s="231"/>
      <c r="K222" s="311">
        <f t="shared" si="11"/>
        <v>-30639.700670341037</v>
      </c>
    </row>
    <row r="223" spans="1:11" s="482" customFormat="1" ht="15" x14ac:dyDescent="0.25">
      <c r="A223" s="150">
        <v>5756</v>
      </c>
      <c r="B223" s="478" t="s">
        <v>327</v>
      </c>
      <c r="C223" s="510">
        <v>277481.08578347182</v>
      </c>
      <c r="D223" s="306"/>
      <c r="E223" s="311">
        <f t="shared" si="9"/>
        <v>-277481.08578347182</v>
      </c>
      <c r="F223" s="512">
        <v>51407.154144395965</v>
      </c>
      <c r="G223" s="231"/>
      <c r="H223" s="311">
        <f t="shared" si="10"/>
        <v>-51407.154144395965</v>
      </c>
      <c r="I223" s="510">
        <v>20876.5958936186</v>
      </c>
      <c r="J223" s="231"/>
      <c r="K223" s="311">
        <f t="shared" si="11"/>
        <v>-20876.5958936186</v>
      </c>
    </row>
    <row r="224" spans="1:11" s="482" customFormat="1" ht="15" x14ac:dyDescent="0.25">
      <c r="A224" s="150">
        <v>5757</v>
      </c>
      <c r="B224" s="478" t="s">
        <v>328</v>
      </c>
      <c r="C224" s="510">
        <v>4309591.3238727907</v>
      </c>
      <c r="D224" s="306"/>
      <c r="E224" s="311">
        <f t="shared" si="9"/>
        <v>-4309591.3238727907</v>
      </c>
      <c r="F224" s="512">
        <v>-3480233.9736667639</v>
      </c>
      <c r="G224" s="231"/>
      <c r="H224" s="311">
        <f t="shared" si="10"/>
        <v>3480233.9736667639</v>
      </c>
      <c r="I224" s="510">
        <v>258775.34189215378</v>
      </c>
      <c r="J224" s="231"/>
      <c r="K224" s="311">
        <f t="shared" si="11"/>
        <v>-258775.34189215378</v>
      </c>
    </row>
    <row r="225" spans="1:11" s="482" customFormat="1" ht="15" x14ac:dyDescent="0.25">
      <c r="A225" s="150">
        <v>5758</v>
      </c>
      <c r="B225" s="478" t="s">
        <v>211</v>
      </c>
      <c r="C225" s="510">
        <v>99165.265969425396</v>
      </c>
      <c r="D225" s="306"/>
      <c r="E225" s="311">
        <f t="shared" si="9"/>
        <v>-99165.265969425396</v>
      </c>
      <c r="F225" s="512">
        <v>-46159.437360095748</v>
      </c>
      <c r="G225" s="231"/>
      <c r="H225" s="311">
        <f t="shared" si="10"/>
        <v>46159.437360095748</v>
      </c>
      <c r="I225" s="510">
        <v>14186.527777515497</v>
      </c>
      <c r="J225" s="231"/>
      <c r="K225" s="311">
        <f t="shared" si="11"/>
        <v>-14186.527777515497</v>
      </c>
    </row>
    <row r="226" spans="1:11" s="482" customFormat="1" ht="15" x14ac:dyDescent="0.25">
      <c r="A226" s="150">
        <v>5759</v>
      </c>
      <c r="B226" s="478" t="s">
        <v>212</v>
      </c>
      <c r="C226" s="510">
        <v>93366.185486322822</v>
      </c>
      <c r="D226" s="306"/>
      <c r="E226" s="311">
        <f t="shared" si="9"/>
        <v>-93366.185486322822</v>
      </c>
      <c r="F226" s="512">
        <v>-92988.672680847114</v>
      </c>
      <c r="G226" s="231"/>
      <c r="H226" s="311">
        <f t="shared" si="10"/>
        <v>92988.672680847114</v>
      </c>
      <c r="I226" s="510">
        <v>16614.107000853597</v>
      </c>
      <c r="J226" s="231"/>
      <c r="K226" s="311">
        <f t="shared" si="11"/>
        <v>-16614.107000853597</v>
      </c>
    </row>
    <row r="227" spans="1:11" s="482" customFormat="1" ht="15" x14ac:dyDescent="0.25">
      <c r="A227" s="150">
        <v>5760</v>
      </c>
      <c r="B227" s="478" t="s">
        <v>213</v>
      </c>
      <c r="C227" s="510">
        <v>206044.23993389687</v>
      </c>
      <c r="D227" s="306"/>
      <c r="E227" s="311">
        <f t="shared" si="9"/>
        <v>-206044.23993389687</v>
      </c>
      <c r="F227" s="512">
        <v>-196053.10059483344</v>
      </c>
      <c r="G227" s="231"/>
      <c r="H227" s="311">
        <f t="shared" si="10"/>
        <v>196053.10059483344</v>
      </c>
      <c r="I227" s="510">
        <v>38849.60998117768</v>
      </c>
      <c r="J227" s="231"/>
      <c r="K227" s="311">
        <f t="shared" si="11"/>
        <v>-38849.60998117768</v>
      </c>
    </row>
    <row r="228" spans="1:11" s="482" customFormat="1" ht="15" x14ac:dyDescent="0.25">
      <c r="A228" s="150">
        <v>5761</v>
      </c>
      <c r="B228" s="478" t="s">
        <v>133</v>
      </c>
      <c r="C228" s="510">
        <v>260316.02319016244</v>
      </c>
      <c r="D228" s="306"/>
      <c r="E228" s="311">
        <f t="shared" si="9"/>
        <v>-260316.02319016244</v>
      </c>
      <c r="F228" s="512">
        <v>-275837.16918561654</v>
      </c>
      <c r="G228" s="231"/>
      <c r="H228" s="311">
        <f t="shared" si="10"/>
        <v>275837.16918561654</v>
      </c>
      <c r="I228" s="510">
        <v>38150.254870233235</v>
      </c>
      <c r="J228" s="231"/>
      <c r="K228" s="311">
        <f t="shared" si="11"/>
        <v>-38150.254870233235</v>
      </c>
    </row>
    <row r="229" spans="1:11" s="482" customFormat="1" ht="15" x14ac:dyDescent="0.25">
      <c r="A229" s="150">
        <v>5762</v>
      </c>
      <c r="B229" s="478" t="s">
        <v>134</v>
      </c>
      <c r="C229" s="510">
        <v>64869.913129566332</v>
      </c>
      <c r="D229" s="306"/>
      <c r="E229" s="311">
        <f t="shared" si="9"/>
        <v>-64869.913129566332</v>
      </c>
      <c r="F229" s="512">
        <v>-5424.6834400426369</v>
      </c>
      <c r="G229" s="231"/>
      <c r="H229" s="311">
        <f t="shared" si="10"/>
        <v>5424.6834400426369</v>
      </c>
      <c r="I229" s="510">
        <v>12615.086404153655</v>
      </c>
      <c r="J229" s="231"/>
      <c r="K229" s="311">
        <f t="shared" si="11"/>
        <v>-12615.086404153655</v>
      </c>
    </row>
    <row r="230" spans="1:11" s="482" customFormat="1" ht="15" x14ac:dyDescent="0.25">
      <c r="A230" s="150">
        <v>5763</v>
      </c>
      <c r="B230" s="478" t="s">
        <v>135</v>
      </c>
      <c r="C230" s="510">
        <v>365619.4091392628</v>
      </c>
      <c r="D230" s="306"/>
      <c r="E230" s="311">
        <f t="shared" si="9"/>
        <v>-365619.4091392628</v>
      </c>
      <c r="F230" s="512">
        <v>136959.67647498735</v>
      </c>
      <c r="G230" s="231"/>
      <c r="H230" s="311">
        <f t="shared" si="10"/>
        <v>-136959.67647498735</v>
      </c>
      <c r="I230" s="510">
        <v>69282.841849660254</v>
      </c>
      <c r="J230" s="231"/>
      <c r="K230" s="311">
        <f t="shared" si="11"/>
        <v>-69282.841849660254</v>
      </c>
    </row>
    <row r="231" spans="1:11" s="482" customFormat="1" ht="15" x14ac:dyDescent="0.25">
      <c r="A231" s="150">
        <v>5764</v>
      </c>
      <c r="B231" s="478" t="s">
        <v>329</v>
      </c>
      <c r="C231" s="510">
        <v>2338211.5487717055</v>
      </c>
      <c r="D231" s="306"/>
      <c r="E231" s="311">
        <f t="shared" si="9"/>
        <v>-2338211.5487717055</v>
      </c>
      <c r="F231" s="512">
        <v>-3594121.9644505512</v>
      </c>
      <c r="G231" s="231"/>
      <c r="H231" s="311">
        <f t="shared" si="10"/>
        <v>3594121.9644505512</v>
      </c>
      <c r="I231" s="510">
        <v>274305.80036444374</v>
      </c>
      <c r="J231" s="231"/>
      <c r="K231" s="311">
        <f t="shared" si="11"/>
        <v>-274305.80036444374</v>
      </c>
    </row>
    <row r="232" spans="1:11" s="482" customFormat="1" ht="15" x14ac:dyDescent="0.25">
      <c r="A232" s="150">
        <v>5765</v>
      </c>
      <c r="B232" s="478" t="s">
        <v>330</v>
      </c>
      <c r="C232" s="510">
        <v>233376.56573660375</v>
      </c>
      <c r="D232" s="306"/>
      <c r="E232" s="311">
        <f t="shared" si="9"/>
        <v>-233376.56573660375</v>
      </c>
      <c r="F232" s="512">
        <v>-236676.09766554734</v>
      </c>
      <c r="G232" s="231"/>
      <c r="H232" s="311">
        <f t="shared" si="10"/>
        <v>236676.09766554734</v>
      </c>
      <c r="I232" s="510">
        <v>37701.382605593775</v>
      </c>
      <c r="J232" s="231"/>
      <c r="K232" s="311">
        <f t="shared" si="11"/>
        <v>-37701.382605593775</v>
      </c>
    </row>
    <row r="233" spans="1:11" s="482" customFormat="1" ht="15" x14ac:dyDescent="0.25">
      <c r="A233" s="150">
        <v>5766</v>
      </c>
      <c r="B233" s="478" t="s">
        <v>331</v>
      </c>
      <c r="C233" s="510">
        <v>261372.20552818841</v>
      </c>
      <c r="D233" s="306"/>
      <c r="E233" s="311">
        <f t="shared" si="9"/>
        <v>-261372.20552818841</v>
      </c>
      <c r="F233" s="512">
        <v>-185574.15737819523</v>
      </c>
      <c r="G233" s="231"/>
      <c r="H233" s="311">
        <f t="shared" si="10"/>
        <v>185574.15737819523</v>
      </c>
      <c r="I233" s="510">
        <v>43612.861790828705</v>
      </c>
      <c r="J233" s="231"/>
      <c r="K233" s="311">
        <f t="shared" si="11"/>
        <v>-43612.861790828705</v>
      </c>
    </row>
    <row r="234" spans="1:11" s="482" customFormat="1" ht="15" x14ac:dyDescent="0.25">
      <c r="A234" s="150">
        <v>5785</v>
      </c>
      <c r="B234" s="478" t="s">
        <v>272</v>
      </c>
      <c r="C234" s="510">
        <v>305399.19442707003</v>
      </c>
      <c r="D234" s="306"/>
      <c r="E234" s="311">
        <f t="shared" si="9"/>
        <v>-305399.19442707003</v>
      </c>
      <c r="F234" s="512">
        <v>105689.77700417141</v>
      </c>
      <c r="G234" s="231"/>
      <c r="H234" s="311">
        <f t="shared" si="10"/>
        <v>-105689.77700417141</v>
      </c>
      <c r="I234" s="510">
        <v>53846.881682774096</v>
      </c>
      <c r="J234" s="231"/>
      <c r="K234" s="311">
        <f t="shared" si="11"/>
        <v>-53846.881682774096</v>
      </c>
    </row>
    <row r="235" spans="1:11" s="482" customFormat="1" ht="15" x14ac:dyDescent="0.25">
      <c r="A235" s="150">
        <v>5788</v>
      </c>
      <c r="B235" s="478" t="s">
        <v>273</v>
      </c>
      <c r="C235" s="510">
        <v>239143.65811792892</v>
      </c>
      <c r="D235" s="306"/>
      <c r="E235" s="311">
        <f t="shared" si="9"/>
        <v>-239143.65811792892</v>
      </c>
      <c r="F235" s="512">
        <v>59299.985163900943</v>
      </c>
      <c r="G235" s="231"/>
      <c r="H235" s="311">
        <f t="shared" si="10"/>
        <v>-59299.985163900943</v>
      </c>
      <c r="I235" s="510">
        <v>38482.90114690199</v>
      </c>
      <c r="J235" s="231"/>
      <c r="K235" s="311">
        <f t="shared" si="11"/>
        <v>-38482.90114690199</v>
      </c>
    </row>
    <row r="236" spans="1:11" s="482" customFormat="1" ht="15" x14ac:dyDescent="0.25">
      <c r="A236" s="150">
        <v>5790</v>
      </c>
      <c r="B236" s="478" t="s">
        <v>274</v>
      </c>
      <c r="C236" s="510">
        <v>343023.98661585135</v>
      </c>
      <c r="D236" s="306"/>
      <c r="E236" s="311">
        <f t="shared" si="9"/>
        <v>-343023.98661585135</v>
      </c>
      <c r="F236" s="512">
        <v>-113067.32117893739</v>
      </c>
      <c r="G236" s="231"/>
      <c r="H236" s="311">
        <f t="shared" si="10"/>
        <v>113067.32117893739</v>
      </c>
      <c r="I236" s="510">
        <v>45259.374730486612</v>
      </c>
      <c r="J236" s="231"/>
      <c r="K236" s="311">
        <f t="shared" si="11"/>
        <v>-45259.374730486612</v>
      </c>
    </row>
    <row r="237" spans="1:11" s="482" customFormat="1" ht="15" x14ac:dyDescent="0.25">
      <c r="A237" s="150">
        <v>5792</v>
      </c>
      <c r="B237" s="478" t="s">
        <v>275</v>
      </c>
      <c r="C237" s="510">
        <v>370270.66418552719</v>
      </c>
      <c r="D237" s="306"/>
      <c r="E237" s="311">
        <f t="shared" si="9"/>
        <v>-370270.66418552719</v>
      </c>
      <c r="F237" s="512">
        <v>-43414.248532126992</v>
      </c>
      <c r="G237" s="231"/>
      <c r="H237" s="311">
        <f t="shared" si="10"/>
        <v>43414.248532126992</v>
      </c>
      <c r="I237" s="510">
        <v>63298.082864161202</v>
      </c>
      <c r="J237" s="231"/>
      <c r="K237" s="311">
        <f t="shared" si="11"/>
        <v>-63298.082864161202</v>
      </c>
    </row>
    <row r="238" spans="1:11" s="482" customFormat="1" ht="15" x14ac:dyDescent="0.25">
      <c r="A238" s="150">
        <v>5798</v>
      </c>
      <c r="B238" s="478" t="s">
        <v>276</v>
      </c>
      <c r="C238" s="510">
        <v>228512.31469662162</v>
      </c>
      <c r="D238" s="306"/>
      <c r="E238" s="311">
        <f t="shared" si="9"/>
        <v>-228512.31469662162</v>
      </c>
      <c r="F238" s="512">
        <v>-24628.832942973793</v>
      </c>
      <c r="G238" s="231"/>
      <c r="H238" s="311">
        <f t="shared" si="10"/>
        <v>24628.832942973793</v>
      </c>
      <c r="I238" s="510">
        <v>45084.584405125599</v>
      </c>
      <c r="J238" s="231"/>
      <c r="K238" s="311">
        <f t="shared" si="11"/>
        <v>-45084.584405125599</v>
      </c>
    </row>
    <row r="239" spans="1:11" s="482" customFormat="1" ht="15" x14ac:dyDescent="0.25">
      <c r="A239" s="150">
        <v>5799</v>
      </c>
      <c r="B239" s="478" t="s">
        <v>277</v>
      </c>
      <c r="C239" s="510">
        <v>1310869.7883841339</v>
      </c>
      <c r="D239" s="306"/>
      <c r="E239" s="311">
        <f t="shared" si="9"/>
        <v>-1310869.7883841339</v>
      </c>
      <c r="F239" s="512">
        <v>286553.90482433571</v>
      </c>
      <c r="G239" s="231"/>
      <c r="H239" s="311">
        <f t="shared" si="10"/>
        <v>-286553.90482433571</v>
      </c>
      <c r="I239" s="510">
        <v>221001.12746983243</v>
      </c>
      <c r="J239" s="231"/>
      <c r="K239" s="311">
        <f t="shared" si="11"/>
        <v>-221001.12746983243</v>
      </c>
    </row>
    <row r="240" spans="1:11" s="482" customFormat="1" ht="15" x14ac:dyDescent="0.25">
      <c r="A240" s="150">
        <v>5803</v>
      </c>
      <c r="B240" s="478" t="s">
        <v>374</v>
      </c>
      <c r="C240" s="510">
        <v>277622.37224927417</v>
      </c>
      <c r="D240" s="306"/>
      <c r="E240" s="311">
        <f t="shared" si="9"/>
        <v>-277622.37224927417</v>
      </c>
      <c r="F240" s="512">
        <v>-94922.131198971561</v>
      </c>
      <c r="G240" s="231"/>
      <c r="H240" s="311">
        <f t="shared" si="10"/>
        <v>94922.131198971561</v>
      </c>
      <c r="I240" s="510">
        <v>54604.46782710353</v>
      </c>
      <c r="J240" s="231"/>
      <c r="K240" s="311">
        <f t="shared" si="11"/>
        <v>-54604.46782710353</v>
      </c>
    </row>
    <row r="241" spans="1:11" s="482" customFormat="1" ht="15" x14ac:dyDescent="0.25">
      <c r="A241" s="150">
        <v>5804</v>
      </c>
      <c r="B241" s="478" t="s">
        <v>418</v>
      </c>
      <c r="C241" s="510">
        <v>768532.72724178445</v>
      </c>
      <c r="D241" s="306"/>
      <c r="E241" s="311">
        <f t="shared" si="9"/>
        <v>-768532.72724178445</v>
      </c>
      <c r="F241" s="512">
        <v>-1210462.3495693079</v>
      </c>
      <c r="G241" s="231"/>
      <c r="H241" s="311">
        <f t="shared" si="10"/>
        <v>1210462.3495693079</v>
      </c>
      <c r="I241" s="510">
        <v>137722.55366893558</v>
      </c>
      <c r="J241" s="231"/>
      <c r="K241" s="311">
        <f t="shared" si="11"/>
        <v>-137722.55366893558</v>
      </c>
    </row>
    <row r="242" spans="1:11" s="482" customFormat="1" ht="15" x14ac:dyDescent="0.25">
      <c r="A242" s="150">
        <v>5805</v>
      </c>
      <c r="B242" s="478" t="s">
        <v>420</v>
      </c>
      <c r="C242" s="510">
        <v>3101951.1224858621</v>
      </c>
      <c r="D242" s="306"/>
      <c r="E242" s="311">
        <f t="shared" si="9"/>
        <v>-3101951.1224858621</v>
      </c>
      <c r="F242" s="512">
        <v>-1848401.728804836</v>
      </c>
      <c r="G242" s="231"/>
      <c r="H242" s="311">
        <f t="shared" si="10"/>
        <v>1848401.728804836</v>
      </c>
      <c r="I242" s="510">
        <v>490133.72157530522</v>
      </c>
      <c r="J242" s="231"/>
      <c r="K242" s="311">
        <f t="shared" si="11"/>
        <v>-490133.72157530522</v>
      </c>
    </row>
    <row r="243" spans="1:11" s="482" customFormat="1" ht="15" x14ac:dyDescent="0.25">
      <c r="A243" s="150">
        <v>5806</v>
      </c>
      <c r="B243" s="478" t="s">
        <v>495</v>
      </c>
      <c r="C243" s="510">
        <v>1588069.4717617128</v>
      </c>
      <c r="D243" s="306"/>
      <c r="E243" s="311">
        <f t="shared" si="9"/>
        <v>-1588069.4717617128</v>
      </c>
      <c r="F243" s="512">
        <v>-342121.49035112502</v>
      </c>
      <c r="G243" s="231"/>
      <c r="H243" s="311">
        <f t="shared" si="10"/>
        <v>342121.49035112502</v>
      </c>
      <c r="I243" s="510">
        <v>287934.29937478225</v>
      </c>
      <c r="J243" s="231"/>
      <c r="K243" s="311">
        <f t="shared" si="11"/>
        <v>-287934.29937478225</v>
      </c>
    </row>
    <row r="244" spans="1:11" s="482" customFormat="1" ht="15" x14ac:dyDescent="0.25">
      <c r="A244" s="150">
        <v>5812</v>
      </c>
      <c r="B244" s="478" t="s">
        <v>375</v>
      </c>
      <c r="C244" s="510">
        <v>88109.32131307837</v>
      </c>
      <c r="D244" s="306"/>
      <c r="E244" s="311">
        <f t="shared" si="9"/>
        <v>-88109.32131307837</v>
      </c>
      <c r="F244" s="512">
        <v>-15785.58714700957</v>
      </c>
      <c r="G244" s="231"/>
      <c r="H244" s="311">
        <f t="shared" si="10"/>
        <v>15785.58714700957</v>
      </c>
      <c r="I244" s="510">
        <v>11690.61221289959</v>
      </c>
      <c r="J244" s="231"/>
      <c r="K244" s="311">
        <f t="shared" si="11"/>
        <v>-11690.61221289959</v>
      </c>
    </row>
    <row r="245" spans="1:11" s="482" customFormat="1" ht="15" x14ac:dyDescent="0.25">
      <c r="A245" s="150">
        <v>5813</v>
      </c>
      <c r="B245" s="478" t="s">
        <v>376</v>
      </c>
      <c r="C245" s="510">
        <v>245601.49012729418</v>
      </c>
      <c r="D245" s="306"/>
      <c r="E245" s="311">
        <f t="shared" si="9"/>
        <v>-245601.49012729418</v>
      </c>
      <c r="F245" s="512">
        <v>24818.758313042934</v>
      </c>
      <c r="G245" s="231"/>
      <c r="H245" s="311">
        <f t="shared" si="10"/>
        <v>-24818.758313042934</v>
      </c>
      <c r="I245" s="510">
        <v>45656.0211726501</v>
      </c>
      <c r="J245" s="231"/>
      <c r="K245" s="311">
        <f t="shared" si="11"/>
        <v>-45656.0211726501</v>
      </c>
    </row>
    <row r="246" spans="1:11" s="482" customFormat="1" ht="15" x14ac:dyDescent="0.25">
      <c r="A246" s="150">
        <v>5816</v>
      </c>
      <c r="B246" s="478" t="s">
        <v>6</v>
      </c>
      <c r="C246" s="510">
        <v>1035001.5711514332</v>
      </c>
      <c r="D246" s="306"/>
      <c r="E246" s="311">
        <f t="shared" si="9"/>
        <v>-1035001.5711514332</v>
      </c>
      <c r="F246" s="512">
        <v>-1067570.4025947647</v>
      </c>
      <c r="G246" s="231"/>
      <c r="H246" s="311">
        <f t="shared" si="10"/>
        <v>1067570.4025947647</v>
      </c>
      <c r="I246" s="510">
        <v>187444.63896268979</v>
      </c>
      <c r="J246" s="231"/>
      <c r="K246" s="311">
        <f t="shared" si="11"/>
        <v>-187444.63896268979</v>
      </c>
    </row>
    <row r="247" spans="1:11" s="482" customFormat="1" ht="15" x14ac:dyDescent="0.25">
      <c r="A247" s="150">
        <v>5817</v>
      </c>
      <c r="B247" s="478" t="s">
        <v>7</v>
      </c>
      <c r="C247" s="510">
        <v>358362.645434101</v>
      </c>
      <c r="D247" s="306"/>
      <c r="E247" s="311">
        <f t="shared" si="9"/>
        <v>-358362.645434101</v>
      </c>
      <c r="F247" s="512">
        <v>-353136.92556310282</v>
      </c>
      <c r="G247" s="231"/>
      <c r="H247" s="311">
        <f t="shared" si="10"/>
        <v>353136.92556310282</v>
      </c>
      <c r="I247" s="510">
        <v>68087.160430059026</v>
      </c>
      <c r="J247" s="231"/>
      <c r="K247" s="311">
        <f t="shared" si="11"/>
        <v>-68087.160430059026</v>
      </c>
    </row>
    <row r="248" spans="1:11" s="482" customFormat="1" ht="15" x14ac:dyDescent="0.25">
      <c r="A248" s="150">
        <v>5819</v>
      </c>
      <c r="B248" s="478" t="s">
        <v>8</v>
      </c>
      <c r="C248" s="510">
        <v>214151.05518753466</v>
      </c>
      <c r="D248" s="306"/>
      <c r="E248" s="311">
        <f t="shared" si="9"/>
        <v>-214151.05518753466</v>
      </c>
      <c r="F248" s="512">
        <v>7928.9656841233373</v>
      </c>
      <c r="G248" s="231"/>
      <c r="H248" s="311">
        <f t="shared" si="10"/>
        <v>-7928.9656841233373</v>
      </c>
      <c r="I248" s="510">
        <v>36556.343239684145</v>
      </c>
      <c r="J248" s="231"/>
      <c r="K248" s="311">
        <f t="shared" si="11"/>
        <v>-36556.343239684145</v>
      </c>
    </row>
    <row r="249" spans="1:11" s="482" customFormat="1" ht="15" x14ac:dyDescent="0.25">
      <c r="A249" s="150">
        <v>5821</v>
      </c>
      <c r="B249" s="478" t="s">
        <v>9</v>
      </c>
      <c r="C249" s="510">
        <v>129824.35399238495</v>
      </c>
      <c r="D249" s="306"/>
      <c r="E249" s="311">
        <f t="shared" si="9"/>
        <v>-129824.35399238495</v>
      </c>
      <c r="F249" s="512">
        <v>-69269.58434101686</v>
      </c>
      <c r="G249" s="231"/>
      <c r="H249" s="311">
        <f t="shared" si="10"/>
        <v>69269.58434101686</v>
      </c>
      <c r="I249" s="510">
        <v>25929.085111209733</v>
      </c>
      <c r="J249" s="231"/>
      <c r="K249" s="311">
        <f t="shared" si="11"/>
        <v>-25929.085111209733</v>
      </c>
    </row>
    <row r="250" spans="1:11" s="482" customFormat="1" ht="15" x14ac:dyDescent="0.25">
      <c r="A250" s="150">
        <v>5822</v>
      </c>
      <c r="B250" s="478" t="s">
        <v>10</v>
      </c>
      <c r="C250" s="510">
        <v>4343125.7299065199</v>
      </c>
      <c r="D250" s="306"/>
      <c r="E250" s="311">
        <f t="shared" si="9"/>
        <v>-4343125.7299065199</v>
      </c>
      <c r="F250" s="512">
        <v>-6904611.9028186705</v>
      </c>
      <c r="G250" s="231"/>
      <c r="H250" s="311">
        <f t="shared" si="10"/>
        <v>6904611.9028186705</v>
      </c>
      <c r="I250" s="510">
        <v>757329.16193860094</v>
      </c>
      <c r="J250" s="231"/>
      <c r="K250" s="311">
        <f t="shared" si="11"/>
        <v>-757329.16193860094</v>
      </c>
    </row>
    <row r="251" spans="1:11" s="482" customFormat="1" ht="15" x14ac:dyDescent="0.25">
      <c r="A251" s="150">
        <v>5827</v>
      </c>
      <c r="B251" s="478" t="s">
        <v>11</v>
      </c>
      <c r="C251" s="510">
        <v>113787.58313018402</v>
      </c>
      <c r="D251" s="306"/>
      <c r="E251" s="311">
        <f t="shared" si="9"/>
        <v>-113787.58313018402</v>
      </c>
      <c r="F251" s="512">
        <v>-115413.01162123088</v>
      </c>
      <c r="G251" s="231"/>
      <c r="H251" s="311">
        <f t="shared" si="10"/>
        <v>115413.01162123088</v>
      </c>
      <c r="I251" s="510">
        <v>21244.998659113393</v>
      </c>
      <c r="J251" s="231"/>
      <c r="K251" s="311">
        <f t="shared" si="11"/>
        <v>-21244.998659113393</v>
      </c>
    </row>
    <row r="252" spans="1:11" s="482" customFormat="1" ht="15" x14ac:dyDescent="0.25">
      <c r="A252" s="150">
        <v>5828</v>
      </c>
      <c r="B252" s="478" t="s">
        <v>491</v>
      </c>
      <c r="C252" s="510">
        <v>53132.132993995794</v>
      </c>
      <c r="D252" s="306"/>
      <c r="E252" s="311">
        <f t="shared" si="9"/>
        <v>-53132.132993995794</v>
      </c>
      <c r="F252" s="512">
        <v>-72003.345654593082</v>
      </c>
      <c r="G252" s="231"/>
      <c r="H252" s="311">
        <f t="shared" si="10"/>
        <v>72003.345654593082</v>
      </c>
      <c r="I252" s="510">
        <v>7585.4349982456906</v>
      </c>
      <c r="J252" s="231"/>
      <c r="K252" s="311">
        <f t="shared" si="11"/>
        <v>-7585.4349982456906</v>
      </c>
    </row>
    <row r="253" spans="1:11" s="482" customFormat="1" ht="15" x14ac:dyDescent="0.25">
      <c r="A253" s="150">
        <v>5830</v>
      </c>
      <c r="B253" s="478" t="s">
        <v>12</v>
      </c>
      <c r="C253" s="510">
        <v>250310.19473735071</v>
      </c>
      <c r="D253" s="306"/>
      <c r="E253" s="311">
        <f t="shared" si="9"/>
        <v>-250310.19473735071</v>
      </c>
      <c r="F253" s="512">
        <v>-39082.191600834471</v>
      </c>
      <c r="G253" s="231"/>
      <c r="H253" s="311">
        <f t="shared" si="10"/>
        <v>39082.191600834471</v>
      </c>
      <c r="I253" s="510">
        <v>43344.377671295631</v>
      </c>
      <c r="J253" s="231"/>
      <c r="K253" s="311">
        <f t="shared" si="11"/>
        <v>-43344.377671295631</v>
      </c>
    </row>
    <row r="254" spans="1:11" s="482" customFormat="1" ht="15" x14ac:dyDescent="0.25">
      <c r="A254" s="150">
        <v>5831</v>
      </c>
      <c r="B254" s="478" t="s">
        <v>419</v>
      </c>
      <c r="C254" s="510">
        <v>1682121.7091504212</v>
      </c>
      <c r="D254" s="306"/>
      <c r="E254" s="311">
        <f t="shared" si="9"/>
        <v>-1682121.7091504212</v>
      </c>
      <c r="F254" s="512">
        <v>-1353918.5820726207</v>
      </c>
      <c r="G254" s="231"/>
      <c r="H254" s="311">
        <f t="shared" si="10"/>
        <v>1353918.5820726207</v>
      </c>
      <c r="I254" s="510">
        <v>275597.20435186435</v>
      </c>
      <c r="J254" s="231"/>
      <c r="K254" s="311">
        <f t="shared" si="11"/>
        <v>-275597.20435186435</v>
      </c>
    </row>
    <row r="255" spans="1:11" s="482" customFormat="1" ht="15" x14ac:dyDescent="0.25">
      <c r="A255" s="150">
        <v>5841</v>
      </c>
      <c r="B255" s="478" t="s">
        <v>13</v>
      </c>
      <c r="C255" s="510">
        <v>2156967.8616806795</v>
      </c>
      <c r="D255" s="306"/>
      <c r="E255" s="311">
        <f t="shared" si="9"/>
        <v>-2156967.8616806795</v>
      </c>
      <c r="F255" s="512">
        <v>-1911127.0550157866</v>
      </c>
      <c r="G255" s="231"/>
      <c r="H255" s="311">
        <f t="shared" si="10"/>
        <v>1911127.0550157866</v>
      </c>
      <c r="I255" s="510">
        <v>364360.67695391277</v>
      </c>
      <c r="J255" s="231"/>
      <c r="K255" s="311">
        <f t="shared" si="11"/>
        <v>-364360.67695391277</v>
      </c>
    </row>
    <row r="256" spans="1:11" s="482" customFormat="1" ht="15" x14ac:dyDescent="0.25">
      <c r="A256" s="150">
        <v>5842</v>
      </c>
      <c r="B256" s="478" t="s">
        <v>14</v>
      </c>
      <c r="C256" s="510">
        <v>235003.03820593684</v>
      </c>
      <c r="D256" s="306"/>
      <c r="E256" s="311">
        <f t="shared" si="9"/>
        <v>-235003.03820593684</v>
      </c>
      <c r="F256" s="512">
        <v>-364979.89403567236</v>
      </c>
      <c r="G256" s="231"/>
      <c r="H256" s="311">
        <f t="shared" si="10"/>
        <v>364979.89403567236</v>
      </c>
      <c r="I256" s="510">
        <v>42882.855081993403</v>
      </c>
      <c r="J256" s="231"/>
      <c r="K256" s="311">
        <f t="shared" si="11"/>
        <v>-42882.855081993403</v>
      </c>
    </row>
    <row r="257" spans="1:11" s="482" customFormat="1" ht="15" x14ac:dyDescent="0.25">
      <c r="A257" s="150">
        <v>5843</v>
      </c>
      <c r="B257" s="478" t="s">
        <v>15</v>
      </c>
      <c r="C257" s="510">
        <v>3445059.8118482009</v>
      </c>
      <c r="D257" s="306"/>
      <c r="E257" s="311">
        <f t="shared" si="9"/>
        <v>-3445059.8118482009</v>
      </c>
      <c r="F257" s="512">
        <v>1255297.9304340542</v>
      </c>
      <c r="G257" s="231"/>
      <c r="H257" s="311">
        <f t="shared" si="10"/>
        <v>-1255297.9304340542</v>
      </c>
      <c r="I257" s="510">
        <v>183436.94594599481</v>
      </c>
      <c r="J257" s="231"/>
      <c r="K257" s="311">
        <f t="shared" si="11"/>
        <v>-183436.94594599481</v>
      </c>
    </row>
    <row r="258" spans="1:11" s="482" customFormat="1" ht="15" x14ac:dyDescent="0.25">
      <c r="A258" s="150">
        <v>5851</v>
      </c>
      <c r="B258" s="478" t="s">
        <v>16</v>
      </c>
      <c r="C258" s="510">
        <v>584420.6802248084</v>
      </c>
      <c r="D258" s="306"/>
      <c r="E258" s="311">
        <f t="shared" si="9"/>
        <v>-584420.6802248084</v>
      </c>
      <c r="F258" s="512">
        <v>400187.09855818766</v>
      </c>
      <c r="G258" s="231"/>
      <c r="H258" s="311">
        <f t="shared" si="10"/>
        <v>-400187.09855818766</v>
      </c>
      <c r="I258" s="510">
        <v>68275.843984436346</v>
      </c>
      <c r="J258" s="231"/>
      <c r="K258" s="311">
        <f t="shared" si="11"/>
        <v>-68275.843984436346</v>
      </c>
    </row>
    <row r="259" spans="1:11" s="482" customFormat="1" ht="15" x14ac:dyDescent="0.25">
      <c r="A259" s="150">
        <v>5852</v>
      </c>
      <c r="B259" s="478" t="s">
        <v>17</v>
      </c>
      <c r="C259" s="510">
        <v>1211268.5554570733</v>
      </c>
      <c r="D259" s="306"/>
      <c r="E259" s="311">
        <f t="shared" si="9"/>
        <v>-1211268.5554570733</v>
      </c>
      <c r="F259" s="512">
        <v>720216.10601585824</v>
      </c>
      <c r="G259" s="231"/>
      <c r="H259" s="311">
        <f t="shared" si="10"/>
        <v>-720216.10601585824</v>
      </c>
      <c r="I259" s="510">
        <v>91260.655491359445</v>
      </c>
      <c r="J259" s="231"/>
      <c r="K259" s="311">
        <f t="shared" si="11"/>
        <v>-91260.655491359445</v>
      </c>
    </row>
    <row r="260" spans="1:11" s="482" customFormat="1" ht="15" x14ac:dyDescent="0.25">
      <c r="A260" s="150">
        <v>5853</v>
      </c>
      <c r="B260" s="478" t="s">
        <v>18</v>
      </c>
      <c r="C260" s="510">
        <v>741179.51991488878</v>
      </c>
      <c r="D260" s="306"/>
      <c r="E260" s="311">
        <f t="shared" si="9"/>
        <v>-741179.51991488878</v>
      </c>
      <c r="F260" s="512">
        <v>588770.94667833322</v>
      </c>
      <c r="G260" s="231"/>
      <c r="H260" s="311">
        <f t="shared" si="10"/>
        <v>-588770.94667833322</v>
      </c>
      <c r="I260" s="510">
        <v>113111.63388386983</v>
      </c>
      <c r="J260" s="231"/>
      <c r="K260" s="311">
        <f t="shared" si="11"/>
        <v>-113111.63388386983</v>
      </c>
    </row>
    <row r="261" spans="1:11" s="482" customFormat="1" ht="15" x14ac:dyDescent="0.25">
      <c r="A261" s="150">
        <v>5854</v>
      </c>
      <c r="B261" s="478" t="s">
        <v>19</v>
      </c>
      <c r="C261" s="510">
        <v>266967.91672117676</v>
      </c>
      <c r="D261" s="306"/>
      <c r="E261" s="311">
        <f t="shared" si="9"/>
        <v>-266967.91672117676</v>
      </c>
      <c r="F261" s="512">
        <v>-57873.973333431612</v>
      </c>
      <c r="G261" s="231"/>
      <c r="H261" s="311">
        <f t="shared" si="10"/>
        <v>57873.973333431612</v>
      </c>
      <c r="I261" s="510">
        <v>34474.331555910881</v>
      </c>
      <c r="J261" s="231"/>
      <c r="K261" s="311">
        <f t="shared" si="11"/>
        <v>-34474.331555910881</v>
      </c>
    </row>
    <row r="262" spans="1:11" s="482" customFormat="1" ht="15" x14ac:dyDescent="0.25">
      <c r="A262" s="150">
        <v>5855</v>
      </c>
      <c r="B262" s="478" t="s">
        <v>20</v>
      </c>
      <c r="C262" s="510">
        <v>2494720.2095259842</v>
      </c>
      <c r="D262" s="306"/>
      <c r="E262" s="311">
        <f t="shared" ref="E262:E313" si="12">D262-C262</f>
        <v>-2494720.2095259842</v>
      </c>
      <c r="F262" s="512">
        <v>1483522.3495471298</v>
      </c>
      <c r="G262" s="231"/>
      <c r="H262" s="311">
        <f t="shared" ref="H262:H313" si="13">G262-F262</f>
        <v>-1483522.3495471298</v>
      </c>
      <c r="I262" s="510">
        <v>156680.21253317044</v>
      </c>
      <c r="J262" s="231"/>
      <c r="K262" s="311">
        <f t="shared" ref="K262:K313" si="14">J262-I262</f>
        <v>-156680.21253317044</v>
      </c>
    </row>
    <row r="263" spans="1:11" s="482" customFormat="1" ht="15" x14ac:dyDescent="0.25">
      <c r="A263" s="150">
        <v>5856</v>
      </c>
      <c r="B263" s="478" t="s">
        <v>21</v>
      </c>
      <c r="C263" s="510">
        <v>668774.3227134879</v>
      </c>
      <c r="D263" s="306"/>
      <c r="E263" s="311">
        <f t="shared" si="12"/>
        <v>-668774.3227134879</v>
      </c>
      <c r="F263" s="512">
        <v>626723.7014985499</v>
      </c>
      <c r="G263" s="231"/>
      <c r="H263" s="311">
        <f t="shared" si="13"/>
        <v>-626723.7014985499</v>
      </c>
      <c r="I263" s="510">
        <v>108390.79484531717</v>
      </c>
      <c r="J263" s="231"/>
      <c r="K263" s="311">
        <f t="shared" si="14"/>
        <v>-108390.79484531717</v>
      </c>
    </row>
    <row r="264" spans="1:11" s="482" customFormat="1" ht="15" x14ac:dyDescent="0.25">
      <c r="A264" s="150">
        <v>5857</v>
      </c>
      <c r="B264" s="478" t="s">
        <v>22</v>
      </c>
      <c r="C264" s="510">
        <v>1904765.0070852141</v>
      </c>
      <c r="D264" s="306"/>
      <c r="E264" s="311">
        <f t="shared" si="12"/>
        <v>-1904765.0070852141</v>
      </c>
      <c r="F264" s="512">
        <v>1423107.9910492732</v>
      </c>
      <c r="G264" s="231"/>
      <c r="H264" s="311">
        <f t="shared" si="13"/>
        <v>-1423107.9910492732</v>
      </c>
      <c r="I264" s="510">
        <v>226442.12305234844</v>
      </c>
      <c r="J264" s="231"/>
      <c r="K264" s="311">
        <f t="shared" si="14"/>
        <v>-226442.12305234844</v>
      </c>
    </row>
    <row r="265" spans="1:11" s="482" customFormat="1" ht="15" x14ac:dyDescent="0.25">
      <c r="A265" s="150">
        <v>5858</v>
      </c>
      <c r="B265" s="478" t="s">
        <v>23</v>
      </c>
      <c r="C265" s="510">
        <v>1055710.9922344123</v>
      </c>
      <c r="D265" s="306"/>
      <c r="E265" s="311">
        <f t="shared" si="12"/>
        <v>-1055710.9922344123</v>
      </c>
      <c r="F265" s="512">
        <v>839316.85031258431</v>
      </c>
      <c r="G265" s="231"/>
      <c r="H265" s="311">
        <f t="shared" si="13"/>
        <v>-839316.85031258431</v>
      </c>
      <c r="I265" s="510">
        <v>112866.50521729147</v>
      </c>
      <c r="J265" s="231"/>
      <c r="K265" s="311">
        <f t="shared" si="14"/>
        <v>-112866.50521729147</v>
      </c>
    </row>
    <row r="266" spans="1:11" s="482" customFormat="1" ht="15" x14ac:dyDescent="0.25">
      <c r="A266" s="150">
        <v>5859</v>
      </c>
      <c r="B266" s="478" t="s">
        <v>24</v>
      </c>
      <c r="C266" s="510">
        <v>2940586.2008493673</v>
      </c>
      <c r="D266" s="306"/>
      <c r="E266" s="311">
        <f t="shared" si="12"/>
        <v>-2940586.2008493673</v>
      </c>
      <c r="F266" s="512">
        <v>1963645.4140143935</v>
      </c>
      <c r="G266" s="231"/>
      <c r="H266" s="311">
        <f t="shared" si="13"/>
        <v>-1963645.4140143935</v>
      </c>
      <c r="I266" s="510">
        <v>403137.79736905126</v>
      </c>
      <c r="J266" s="231"/>
      <c r="K266" s="311">
        <f t="shared" si="14"/>
        <v>-403137.79736905126</v>
      </c>
    </row>
    <row r="267" spans="1:11" s="482" customFormat="1" ht="15" x14ac:dyDescent="0.25">
      <c r="A267" s="150">
        <v>5860</v>
      </c>
      <c r="B267" s="478" t="s">
        <v>25</v>
      </c>
      <c r="C267" s="510">
        <v>2340978.422270217</v>
      </c>
      <c r="D267" s="306"/>
      <c r="E267" s="311">
        <f t="shared" si="12"/>
        <v>-2340978.422270217</v>
      </c>
      <c r="F267" s="512">
        <v>-240318.16147045814</v>
      </c>
      <c r="G267" s="231"/>
      <c r="H267" s="311">
        <f t="shared" si="13"/>
        <v>240318.16147045814</v>
      </c>
      <c r="I267" s="510">
        <v>259350.65877945794</v>
      </c>
      <c r="J267" s="231"/>
      <c r="K267" s="311">
        <f t="shared" si="14"/>
        <v>-259350.65877945794</v>
      </c>
    </row>
    <row r="268" spans="1:11" s="482" customFormat="1" ht="15" x14ac:dyDescent="0.25">
      <c r="A268" s="150">
        <v>5861</v>
      </c>
      <c r="B268" s="478" t="s">
        <v>26</v>
      </c>
      <c r="C268" s="510">
        <v>14676409.509460783</v>
      </c>
      <c r="D268" s="306"/>
      <c r="E268" s="311">
        <f t="shared" si="12"/>
        <v>-14676409.509460783</v>
      </c>
      <c r="F268" s="512">
        <v>8070198.17404259</v>
      </c>
      <c r="G268" s="231"/>
      <c r="H268" s="311">
        <f t="shared" si="13"/>
        <v>-8070198.17404259</v>
      </c>
      <c r="I268" s="510">
        <v>1228560.6947761048</v>
      </c>
      <c r="J268" s="231"/>
      <c r="K268" s="311">
        <f t="shared" si="14"/>
        <v>-1228560.6947761048</v>
      </c>
    </row>
    <row r="269" spans="1:11" s="482" customFormat="1" ht="15" x14ac:dyDescent="0.25">
      <c r="A269" s="150">
        <v>5862</v>
      </c>
      <c r="B269" s="478" t="s">
        <v>27</v>
      </c>
      <c r="C269" s="510">
        <v>174853.01543037046</v>
      </c>
      <c r="D269" s="306"/>
      <c r="E269" s="311">
        <f t="shared" si="12"/>
        <v>-174853.01543037046</v>
      </c>
      <c r="F269" s="512">
        <v>185938.1282762794</v>
      </c>
      <c r="G269" s="231"/>
      <c r="H269" s="311">
        <f t="shared" si="13"/>
        <v>-185938.1282762794</v>
      </c>
      <c r="I269" s="510">
        <v>33912.253535347372</v>
      </c>
      <c r="J269" s="231"/>
      <c r="K269" s="311">
        <f t="shared" si="14"/>
        <v>-33912.253535347372</v>
      </c>
    </row>
    <row r="270" spans="1:11" s="482" customFormat="1" ht="15" x14ac:dyDescent="0.25">
      <c r="A270" s="150">
        <v>5863</v>
      </c>
      <c r="B270" s="478" t="s">
        <v>28</v>
      </c>
      <c r="C270" s="510">
        <v>343226.23523043201</v>
      </c>
      <c r="D270" s="306"/>
      <c r="E270" s="311">
        <f t="shared" si="12"/>
        <v>-343226.23523043201</v>
      </c>
      <c r="F270" s="512">
        <v>306197.21104707377</v>
      </c>
      <c r="G270" s="231"/>
      <c r="H270" s="311">
        <f t="shared" si="13"/>
        <v>-306197.21104707377</v>
      </c>
      <c r="I270" s="510">
        <v>53166.68668333596</v>
      </c>
      <c r="J270" s="231"/>
      <c r="K270" s="311">
        <f t="shared" si="14"/>
        <v>-53166.68668333596</v>
      </c>
    </row>
    <row r="271" spans="1:11" s="482" customFormat="1" ht="15" x14ac:dyDescent="0.25">
      <c r="A271" s="150">
        <v>5871</v>
      </c>
      <c r="B271" s="478" t="s">
        <v>29</v>
      </c>
      <c r="C271" s="510">
        <v>1041555.1115587964</v>
      </c>
      <c r="D271" s="306"/>
      <c r="E271" s="311">
        <f t="shared" si="12"/>
        <v>-1041555.1115587964</v>
      </c>
      <c r="F271" s="512">
        <v>-282719.31592866138</v>
      </c>
      <c r="G271" s="231"/>
      <c r="H271" s="311">
        <f t="shared" si="13"/>
        <v>282719.31592866138</v>
      </c>
      <c r="I271" s="510">
        <v>145653.80688630856</v>
      </c>
      <c r="J271" s="231"/>
      <c r="K271" s="311">
        <f t="shared" si="14"/>
        <v>-145653.80688630856</v>
      </c>
    </row>
    <row r="272" spans="1:11" s="482" customFormat="1" ht="15" x14ac:dyDescent="0.25">
      <c r="A272" s="150">
        <v>5872</v>
      </c>
      <c r="B272" s="478" t="s">
        <v>200</v>
      </c>
      <c r="C272" s="510">
        <v>7105805.9462640854</v>
      </c>
      <c r="D272" s="306"/>
      <c r="E272" s="311">
        <f t="shared" si="12"/>
        <v>-7105805.9462640854</v>
      </c>
      <c r="F272" s="512">
        <v>2093620.4672975198</v>
      </c>
      <c r="G272" s="231"/>
      <c r="H272" s="311">
        <f t="shared" si="13"/>
        <v>-2093620.4672975198</v>
      </c>
      <c r="I272" s="510">
        <v>722856.58221702627</v>
      </c>
      <c r="J272" s="231"/>
      <c r="K272" s="311">
        <f t="shared" si="14"/>
        <v>-722856.58221702627</v>
      </c>
    </row>
    <row r="273" spans="1:11" s="482" customFormat="1" ht="15" x14ac:dyDescent="0.25">
      <c r="A273" s="150">
        <v>5873</v>
      </c>
      <c r="B273" s="478" t="s">
        <v>201</v>
      </c>
      <c r="C273" s="510">
        <v>721493.82728844974</v>
      </c>
      <c r="D273" s="306"/>
      <c r="E273" s="311">
        <f t="shared" si="12"/>
        <v>-721493.82728844974</v>
      </c>
      <c r="F273" s="512">
        <v>-469147.05084499257</v>
      </c>
      <c r="G273" s="231"/>
      <c r="H273" s="311">
        <f t="shared" si="13"/>
        <v>469147.05084499257</v>
      </c>
      <c r="I273" s="510">
        <v>89637.460060686935</v>
      </c>
      <c r="J273" s="231"/>
      <c r="K273" s="311">
        <f t="shared" si="14"/>
        <v>-89637.460060686935</v>
      </c>
    </row>
    <row r="274" spans="1:11" s="482" customFormat="1" ht="15" x14ac:dyDescent="0.25">
      <c r="A274" s="150">
        <v>5881</v>
      </c>
      <c r="B274" s="478" t="s">
        <v>202</v>
      </c>
      <c r="C274" s="510">
        <v>7904886.0976911858</v>
      </c>
      <c r="D274" s="306"/>
      <c r="E274" s="311">
        <f t="shared" si="12"/>
        <v>-7904886.0976911858</v>
      </c>
      <c r="F274" s="512">
        <v>3879654.8460205328</v>
      </c>
      <c r="G274" s="231"/>
      <c r="H274" s="311">
        <f t="shared" si="13"/>
        <v>-3879654.8460205328</v>
      </c>
      <c r="I274" s="510">
        <v>456330.91193259292</v>
      </c>
      <c r="J274" s="231"/>
      <c r="K274" s="311">
        <f t="shared" si="14"/>
        <v>-456330.91193259292</v>
      </c>
    </row>
    <row r="275" spans="1:11" s="482" customFormat="1" ht="15" x14ac:dyDescent="0.25">
      <c r="A275" s="150">
        <v>5882</v>
      </c>
      <c r="B275" s="478" t="s">
        <v>203</v>
      </c>
      <c r="C275" s="510">
        <v>4711478.3172603659</v>
      </c>
      <c r="D275" s="306"/>
      <c r="E275" s="311">
        <f t="shared" si="12"/>
        <v>-4711478.3172603659</v>
      </c>
      <c r="F275" s="512">
        <v>2387567.4263591398</v>
      </c>
      <c r="G275" s="231"/>
      <c r="H275" s="311">
        <f t="shared" si="13"/>
        <v>-2387567.4263591398</v>
      </c>
      <c r="I275" s="510">
        <v>236542.31681502046</v>
      </c>
      <c r="J275" s="231"/>
      <c r="K275" s="311">
        <f t="shared" si="14"/>
        <v>-236542.31681502046</v>
      </c>
    </row>
    <row r="276" spans="1:11" s="482" customFormat="1" ht="15" x14ac:dyDescent="0.25">
      <c r="A276" s="150">
        <v>5883</v>
      </c>
      <c r="B276" s="478" t="s">
        <v>204</v>
      </c>
      <c r="C276" s="510">
        <v>3989778.6218227679</v>
      </c>
      <c r="D276" s="306"/>
      <c r="E276" s="311">
        <f t="shared" si="12"/>
        <v>-3989778.6218227679</v>
      </c>
      <c r="F276" s="512">
        <v>2652939.937490514</v>
      </c>
      <c r="G276" s="231"/>
      <c r="H276" s="311">
        <f t="shared" si="13"/>
        <v>-2652939.937490514</v>
      </c>
      <c r="I276" s="510">
        <v>211337.62175653939</v>
      </c>
      <c r="J276" s="231"/>
      <c r="K276" s="311">
        <f t="shared" si="14"/>
        <v>-211337.62175653939</v>
      </c>
    </row>
    <row r="277" spans="1:11" s="482" customFormat="1" ht="15" x14ac:dyDescent="0.25">
      <c r="A277" s="150">
        <v>5884</v>
      </c>
      <c r="B277" s="478" t="s">
        <v>49</v>
      </c>
      <c r="C277" s="510">
        <v>2296171.8026586641</v>
      </c>
      <c r="D277" s="306"/>
      <c r="E277" s="311">
        <f t="shared" si="12"/>
        <v>-2296171.8026586641</v>
      </c>
      <c r="F277" s="512">
        <v>-449526.14510455471</v>
      </c>
      <c r="G277" s="231"/>
      <c r="H277" s="311">
        <f t="shared" si="13"/>
        <v>449526.14510455471</v>
      </c>
      <c r="I277" s="510">
        <v>160786.63860977895</v>
      </c>
      <c r="J277" s="231"/>
      <c r="K277" s="311">
        <f t="shared" si="14"/>
        <v>-160786.63860977895</v>
      </c>
    </row>
    <row r="278" spans="1:11" s="482" customFormat="1" ht="15" x14ac:dyDescent="0.25">
      <c r="A278" s="150">
        <v>5885</v>
      </c>
      <c r="B278" s="478" t="s">
        <v>50</v>
      </c>
      <c r="C278" s="510">
        <v>1607615.4957783823</v>
      </c>
      <c r="D278" s="306"/>
      <c r="E278" s="311">
        <f t="shared" si="12"/>
        <v>-1607615.4957783823</v>
      </c>
      <c r="F278" s="512">
        <v>1112803.0983890742</v>
      </c>
      <c r="G278" s="231"/>
      <c r="H278" s="311">
        <f t="shared" si="13"/>
        <v>-1112803.0983890742</v>
      </c>
      <c r="I278" s="510">
        <v>101067.65453046648</v>
      </c>
      <c r="J278" s="231"/>
      <c r="K278" s="311">
        <f t="shared" si="14"/>
        <v>-101067.65453046648</v>
      </c>
    </row>
    <row r="279" spans="1:11" s="482" customFormat="1" ht="15" x14ac:dyDescent="0.25">
      <c r="A279" s="150">
        <v>5886</v>
      </c>
      <c r="B279" s="478" t="s">
        <v>51</v>
      </c>
      <c r="C279" s="510">
        <v>25495100.122386526</v>
      </c>
      <c r="D279" s="306"/>
      <c r="E279" s="311">
        <f t="shared" si="12"/>
        <v>-25495100.122386526</v>
      </c>
      <c r="F279" s="512">
        <v>-5508448.0157019664</v>
      </c>
      <c r="G279" s="231"/>
      <c r="H279" s="311">
        <f t="shared" si="13"/>
        <v>5508448.0157019664</v>
      </c>
      <c r="I279" s="510">
        <v>1457000.0418254547</v>
      </c>
      <c r="J279" s="231"/>
      <c r="K279" s="311">
        <f t="shared" si="14"/>
        <v>-1457000.0418254547</v>
      </c>
    </row>
    <row r="280" spans="1:11" s="482" customFormat="1" ht="15" x14ac:dyDescent="0.25">
      <c r="A280" s="150">
        <v>5888</v>
      </c>
      <c r="B280" s="478" t="s">
        <v>492</v>
      </c>
      <c r="C280" s="510">
        <v>7786392.344727044</v>
      </c>
      <c r="D280" s="306"/>
      <c r="E280" s="311">
        <f t="shared" si="12"/>
        <v>-7786392.344727044</v>
      </c>
      <c r="F280" s="512">
        <v>4439080.3386976607</v>
      </c>
      <c r="G280" s="231"/>
      <c r="H280" s="311">
        <f t="shared" si="13"/>
        <v>-4439080.3386976607</v>
      </c>
      <c r="I280" s="510">
        <v>433489.5523341978</v>
      </c>
      <c r="J280" s="231"/>
      <c r="K280" s="311">
        <f t="shared" si="14"/>
        <v>-433489.5523341978</v>
      </c>
    </row>
    <row r="281" spans="1:11" s="482" customFormat="1" ht="15" x14ac:dyDescent="0.25">
      <c r="A281" s="150">
        <v>5889</v>
      </c>
      <c r="B281" s="478" t="s">
        <v>52</v>
      </c>
      <c r="C281" s="510">
        <v>14604198.910341332</v>
      </c>
      <c r="D281" s="306"/>
      <c r="E281" s="311">
        <f t="shared" si="12"/>
        <v>-14604198.910341332</v>
      </c>
      <c r="F281" s="512">
        <v>6850621.0920082126</v>
      </c>
      <c r="G281" s="231"/>
      <c r="H281" s="311">
        <f t="shared" si="13"/>
        <v>-6850621.0920082126</v>
      </c>
      <c r="I281" s="510">
        <v>888141.47071124683</v>
      </c>
      <c r="J281" s="231"/>
      <c r="K281" s="311">
        <f t="shared" si="14"/>
        <v>-888141.47071124683</v>
      </c>
    </row>
    <row r="282" spans="1:11" s="482" customFormat="1" ht="15" x14ac:dyDescent="0.25">
      <c r="A282" s="150">
        <v>5890</v>
      </c>
      <c r="B282" s="478" t="s">
        <v>53</v>
      </c>
      <c r="C282" s="510">
        <v>17290824.745667629</v>
      </c>
      <c r="D282" s="306"/>
      <c r="E282" s="311">
        <f t="shared" si="12"/>
        <v>-17290824.745667629</v>
      </c>
      <c r="F282" s="512">
        <v>1286328.5297227302</v>
      </c>
      <c r="G282" s="231"/>
      <c r="H282" s="311">
        <f t="shared" si="13"/>
        <v>-1286328.5297227302</v>
      </c>
      <c r="I282" s="510">
        <v>1240084.67953367</v>
      </c>
      <c r="J282" s="231"/>
      <c r="K282" s="311">
        <f t="shared" si="14"/>
        <v>-1240084.67953367</v>
      </c>
    </row>
    <row r="283" spans="1:11" s="482" customFormat="1" ht="15" x14ac:dyDescent="0.25">
      <c r="A283" s="150">
        <v>5891</v>
      </c>
      <c r="B283" s="478" t="s">
        <v>54</v>
      </c>
      <c r="C283" s="510">
        <v>678513.60521478334</v>
      </c>
      <c r="D283" s="306"/>
      <c r="E283" s="311">
        <f t="shared" si="12"/>
        <v>-678513.60521478334</v>
      </c>
      <c r="F283" s="512">
        <v>-348728.65804808214</v>
      </c>
      <c r="G283" s="231"/>
      <c r="H283" s="311">
        <f t="shared" si="13"/>
        <v>348728.65804808214</v>
      </c>
      <c r="I283" s="510">
        <v>47594.238301029109</v>
      </c>
      <c r="J283" s="231"/>
      <c r="K283" s="311">
        <f t="shared" si="14"/>
        <v>-47594.238301029109</v>
      </c>
    </row>
    <row r="284" spans="1:11" s="482" customFormat="1" ht="15" x14ac:dyDescent="0.25">
      <c r="A284" s="150">
        <v>5902</v>
      </c>
      <c r="B284" s="478" t="s">
        <v>55</v>
      </c>
      <c r="C284" s="510">
        <v>165204.09168107496</v>
      </c>
      <c r="D284" s="306"/>
      <c r="E284" s="311">
        <f t="shared" si="12"/>
        <v>-165204.09168107496</v>
      </c>
      <c r="F284" s="512">
        <v>9096.9827875997489</v>
      </c>
      <c r="G284" s="231"/>
      <c r="H284" s="311">
        <f t="shared" si="13"/>
        <v>-9096.9827875997489</v>
      </c>
      <c r="I284" s="510">
        <v>33920.55210053562</v>
      </c>
      <c r="J284" s="231"/>
      <c r="K284" s="311">
        <f t="shared" si="14"/>
        <v>-33920.55210053562</v>
      </c>
    </row>
    <row r="285" spans="1:11" s="482" customFormat="1" ht="15" x14ac:dyDescent="0.25">
      <c r="A285" s="150">
        <v>5903</v>
      </c>
      <c r="B285" s="478" t="s">
        <v>56</v>
      </c>
      <c r="C285" s="510">
        <v>106740.51471111011</v>
      </c>
      <c r="D285" s="306"/>
      <c r="E285" s="311">
        <f t="shared" si="12"/>
        <v>-106740.51471111011</v>
      </c>
      <c r="F285" s="512">
        <v>-190814.47986677173</v>
      </c>
      <c r="G285" s="231"/>
      <c r="H285" s="311">
        <f t="shared" si="13"/>
        <v>190814.47986677173</v>
      </c>
      <c r="I285" s="510">
        <v>20273.553878319202</v>
      </c>
      <c r="J285" s="231"/>
      <c r="K285" s="311">
        <f t="shared" si="14"/>
        <v>-20273.553878319202</v>
      </c>
    </row>
    <row r="286" spans="1:11" s="482" customFormat="1" ht="15" x14ac:dyDescent="0.25">
      <c r="A286" s="150">
        <v>5904</v>
      </c>
      <c r="B286" s="478" t="s">
        <v>57</v>
      </c>
      <c r="C286" s="510">
        <v>363285.59017588414</v>
      </c>
      <c r="D286" s="306"/>
      <c r="E286" s="311">
        <f t="shared" si="12"/>
        <v>-363285.59017588414</v>
      </c>
      <c r="F286" s="512">
        <v>314438.22567146196</v>
      </c>
      <c r="G286" s="231"/>
      <c r="H286" s="311">
        <f t="shared" si="13"/>
        <v>-314438.22567146196</v>
      </c>
      <c r="I286" s="510">
        <v>28232.245088263146</v>
      </c>
      <c r="J286" s="231"/>
      <c r="K286" s="311">
        <f t="shared" si="14"/>
        <v>-28232.245088263146</v>
      </c>
    </row>
    <row r="287" spans="1:11" s="482" customFormat="1" ht="15" x14ac:dyDescent="0.25">
      <c r="A287" s="150">
        <v>5905</v>
      </c>
      <c r="B287" s="478" t="s">
        <v>58</v>
      </c>
      <c r="C287" s="510">
        <v>534194.32081509032</v>
      </c>
      <c r="D287" s="306"/>
      <c r="E287" s="311">
        <f t="shared" si="12"/>
        <v>-534194.32081509032</v>
      </c>
      <c r="F287" s="512">
        <v>175276.757792964</v>
      </c>
      <c r="G287" s="231"/>
      <c r="H287" s="311">
        <f t="shared" si="13"/>
        <v>-175276.757792964</v>
      </c>
      <c r="I287" s="510">
        <v>73745.465521207632</v>
      </c>
      <c r="J287" s="231"/>
      <c r="K287" s="311">
        <f t="shared" si="14"/>
        <v>-73745.465521207632</v>
      </c>
    </row>
    <row r="288" spans="1:11" s="482" customFormat="1" ht="15" x14ac:dyDescent="0.25">
      <c r="A288" s="150">
        <v>5907</v>
      </c>
      <c r="B288" s="478" t="s">
        <v>59</v>
      </c>
      <c r="C288" s="510">
        <v>150859.05262112906</v>
      </c>
      <c r="D288" s="306"/>
      <c r="E288" s="311">
        <f t="shared" si="12"/>
        <v>-150859.05262112906</v>
      </c>
      <c r="F288" s="512">
        <v>-47183.898721542631</v>
      </c>
      <c r="G288" s="231"/>
      <c r="H288" s="311">
        <f t="shared" si="13"/>
        <v>47183.898721542631</v>
      </c>
      <c r="I288" s="510">
        <v>29867.621287325535</v>
      </c>
      <c r="J288" s="231"/>
      <c r="K288" s="311">
        <f t="shared" si="14"/>
        <v>-29867.621287325535</v>
      </c>
    </row>
    <row r="289" spans="1:11" s="482" customFormat="1" ht="15" x14ac:dyDescent="0.25">
      <c r="A289" s="150">
        <v>5908</v>
      </c>
      <c r="B289" s="478" t="s">
        <v>60</v>
      </c>
      <c r="C289" s="510">
        <v>54092.726817834227</v>
      </c>
      <c r="D289" s="306"/>
      <c r="E289" s="311">
        <f t="shared" si="12"/>
        <v>-54092.726817834227</v>
      </c>
      <c r="F289" s="512">
        <v>-66338.89800038423</v>
      </c>
      <c r="G289" s="231"/>
      <c r="H289" s="311">
        <f t="shared" si="13"/>
        <v>66338.89800038423</v>
      </c>
      <c r="I289" s="510">
        <v>10628.29400651843</v>
      </c>
      <c r="J289" s="231"/>
      <c r="K289" s="311">
        <f t="shared" si="14"/>
        <v>-10628.29400651843</v>
      </c>
    </row>
    <row r="290" spans="1:11" s="482" customFormat="1" ht="15" x14ac:dyDescent="0.25">
      <c r="A290" s="150">
        <v>5909</v>
      </c>
      <c r="B290" s="478" t="s">
        <v>61</v>
      </c>
      <c r="C290" s="510">
        <v>607462.44435905979</v>
      </c>
      <c r="D290" s="306"/>
      <c r="E290" s="311">
        <f t="shared" si="12"/>
        <v>-607462.44435905979</v>
      </c>
      <c r="F290" s="512">
        <v>419082.06326339114</v>
      </c>
      <c r="G290" s="231"/>
      <c r="H290" s="311">
        <f t="shared" si="13"/>
        <v>-419082.06326339114</v>
      </c>
      <c r="I290" s="510">
        <v>41561.778707954545</v>
      </c>
      <c r="J290" s="231"/>
      <c r="K290" s="311">
        <f t="shared" si="14"/>
        <v>-41561.778707954545</v>
      </c>
    </row>
    <row r="291" spans="1:11" s="482" customFormat="1" ht="15" x14ac:dyDescent="0.25">
      <c r="A291" s="150">
        <v>5910</v>
      </c>
      <c r="B291" s="478" t="s">
        <v>62</v>
      </c>
      <c r="C291" s="510">
        <v>233193.17182915035</v>
      </c>
      <c r="D291" s="306"/>
      <c r="E291" s="311">
        <f t="shared" si="12"/>
        <v>-233193.17182915035</v>
      </c>
      <c r="F291" s="512">
        <v>-45376.070816775486</v>
      </c>
      <c r="G291" s="231"/>
      <c r="H291" s="311">
        <f t="shared" si="13"/>
        <v>45376.070816775486</v>
      </c>
      <c r="I291" s="510">
        <v>32143.156898544014</v>
      </c>
      <c r="J291" s="231"/>
      <c r="K291" s="311">
        <f t="shared" si="14"/>
        <v>-32143.156898544014</v>
      </c>
    </row>
    <row r="292" spans="1:11" s="482" customFormat="1" ht="15" x14ac:dyDescent="0.25">
      <c r="A292" s="150">
        <v>5911</v>
      </c>
      <c r="B292" s="478" t="s">
        <v>63</v>
      </c>
      <c r="C292" s="510">
        <v>112485.41038574767</v>
      </c>
      <c r="D292" s="306"/>
      <c r="E292" s="311">
        <f t="shared" si="12"/>
        <v>-112485.41038574767</v>
      </c>
      <c r="F292" s="512">
        <v>32043.252516614091</v>
      </c>
      <c r="G292" s="231"/>
      <c r="H292" s="311">
        <f t="shared" si="13"/>
        <v>-32043.252516614091</v>
      </c>
      <c r="I292" s="510">
        <v>24869.21934643991</v>
      </c>
      <c r="J292" s="231"/>
      <c r="K292" s="311">
        <f t="shared" si="14"/>
        <v>-24869.21934643991</v>
      </c>
    </row>
    <row r="293" spans="1:11" s="482" customFormat="1" ht="15" x14ac:dyDescent="0.25">
      <c r="A293" s="150">
        <v>5912</v>
      </c>
      <c r="B293" s="478" t="s">
        <v>64</v>
      </c>
      <c r="C293" s="510">
        <v>60769.666107222925</v>
      </c>
      <c r="D293" s="306"/>
      <c r="E293" s="311">
        <f t="shared" si="12"/>
        <v>-60769.666107222925</v>
      </c>
      <c r="F293" s="512">
        <v>-41580.597138114623</v>
      </c>
      <c r="G293" s="231"/>
      <c r="H293" s="311">
        <f t="shared" si="13"/>
        <v>41580.597138114623</v>
      </c>
      <c r="I293" s="510">
        <v>12515.174174949112</v>
      </c>
      <c r="J293" s="231"/>
      <c r="K293" s="311">
        <f t="shared" si="14"/>
        <v>-12515.174174949112</v>
      </c>
    </row>
    <row r="294" spans="1:11" s="482" customFormat="1" ht="15" x14ac:dyDescent="0.25">
      <c r="A294" s="150">
        <v>5913</v>
      </c>
      <c r="B294" s="478" t="s">
        <v>65</v>
      </c>
      <c r="C294" s="510">
        <v>413608.51539367886</v>
      </c>
      <c r="D294" s="306"/>
      <c r="E294" s="311">
        <f t="shared" si="12"/>
        <v>-413608.51539367886</v>
      </c>
      <c r="F294" s="512">
        <v>-76509.309709596593</v>
      </c>
      <c r="G294" s="231"/>
      <c r="H294" s="311">
        <f t="shared" si="13"/>
        <v>76509.309709596593</v>
      </c>
      <c r="I294" s="510">
        <v>67652.763859188402</v>
      </c>
      <c r="J294" s="231"/>
      <c r="K294" s="311">
        <f t="shared" si="14"/>
        <v>-67652.763859188402</v>
      </c>
    </row>
    <row r="295" spans="1:11" s="482" customFormat="1" ht="15" x14ac:dyDescent="0.25">
      <c r="A295" s="150">
        <v>5914</v>
      </c>
      <c r="B295" s="478" t="s">
        <v>66</v>
      </c>
      <c r="C295" s="510">
        <v>166407.74699438032</v>
      </c>
      <c r="D295" s="306"/>
      <c r="E295" s="311">
        <f t="shared" si="12"/>
        <v>-166407.74699438032</v>
      </c>
      <c r="F295" s="512">
        <v>-31329.573763339897</v>
      </c>
      <c r="G295" s="231"/>
      <c r="H295" s="311">
        <f t="shared" si="13"/>
        <v>31329.573763339897</v>
      </c>
      <c r="I295" s="510">
        <v>13005.259258965654</v>
      </c>
      <c r="J295" s="231"/>
      <c r="K295" s="311">
        <f t="shared" si="14"/>
        <v>-13005.259258965654</v>
      </c>
    </row>
    <row r="296" spans="1:11" s="482" customFormat="1" ht="15" x14ac:dyDescent="0.25">
      <c r="A296" s="150">
        <v>5919</v>
      </c>
      <c r="B296" s="478" t="s">
        <v>382</v>
      </c>
      <c r="C296" s="510">
        <v>297826.7981493299</v>
      </c>
      <c r="D296" s="306"/>
      <c r="E296" s="311">
        <f t="shared" si="12"/>
        <v>-297826.7981493299</v>
      </c>
      <c r="F296" s="512">
        <v>-30548.263636798962</v>
      </c>
      <c r="G296" s="231"/>
      <c r="H296" s="311">
        <f t="shared" si="13"/>
        <v>30548.263636798962</v>
      </c>
      <c r="I296" s="510">
        <v>22391.985712401318</v>
      </c>
      <c r="J296" s="231"/>
      <c r="K296" s="311">
        <f t="shared" si="14"/>
        <v>-22391.985712401318</v>
      </c>
    </row>
    <row r="297" spans="1:11" s="482" customFormat="1" ht="15" x14ac:dyDescent="0.25">
      <c r="A297" s="150">
        <v>5921</v>
      </c>
      <c r="B297" s="478" t="s">
        <v>383</v>
      </c>
      <c r="C297" s="510">
        <v>108204.66103044036</v>
      </c>
      <c r="D297" s="306"/>
      <c r="E297" s="311">
        <f t="shared" si="12"/>
        <v>-108204.66103044036</v>
      </c>
      <c r="F297" s="512">
        <v>-94689.557706408959</v>
      </c>
      <c r="G297" s="231"/>
      <c r="H297" s="311">
        <f t="shared" si="13"/>
        <v>94689.557706408959</v>
      </c>
      <c r="I297" s="510">
        <v>17764.75246815693</v>
      </c>
      <c r="J297" s="231"/>
      <c r="K297" s="311">
        <f t="shared" si="14"/>
        <v>-17764.75246815693</v>
      </c>
    </row>
    <row r="298" spans="1:11" s="482" customFormat="1" ht="15" x14ac:dyDescent="0.25">
      <c r="A298" s="150">
        <v>5922</v>
      </c>
      <c r="B298" s="478" t="s">
        <v>266</v>
      </c>
      <c r="C298" s="510">
        <v>735779.01669125585</v>
      </c>
      <c r="D298" s="306"/>
      <c r="E298" s="311">
        <f t="shared" si="12"/>
        <v>-735779.01669125585</v>
      </c>
      <c r="F298" s="512">
        <v>408893.99711029662</v>
      </c>
      <c r="G298" s="231"/>
      <c r="H298" s="311">
        <f t="shared" si="13"/>
        <v>-408893.99711029662</v>
      </c>
      <c r="I298" s="510">
        <v>106214.34590748484</v>
      </c>
      <c r="J298" s="231"/>
      <c r="K298" s="311">
        <f t="shared" si="14"/>
        <v>-106214.34590748484</v>
      </c>
    </row>
    <row r="299" spans="1:11" s="482" customFormat="1" ht="15" x14ac:dyDescent="0.25">
      <c r="A299" s="150">
        <v>5923</v>
      </c>
      <c r="B299" s="478" t="s">
        <v>267</v>
      </c>
      <c r="C299" s="510">
        <v>96921.591359828584</v>
      </c>
      <c r="D299" s="306"/>
      <c r="E299" s="311">
        <f t="shared" si="12"/>
        <v>-96921.591359828584</v>
      </c>
      <c r="F299" s="512">
        <v>-50347.729324535918</v>
      </c>
      <c r="G299" s="231"/>
      <c r="H299" s="311">
        <f t="shared" si="13"/>
        <v>50347.729324535918</v>
      </c>
      <c r="I299" s="510">
        <v>17068.008266169963</v>
      </c>
      <c r="J299" s="231"/>
      <c r="K299" s="311">
        <f t="shared" si="14"/>
        <v>-17068.008266169963</v>
      </c>
    </row>
    <row r="300" spans="1:11" s="482" customFormat="1" ht="15" x14ac:dyDescent="0.25">
      <c r="A300" s="150">
        <v>5924</v>
      </c>
      <c r="B300" s="478" t="s">
        <v>268</v>
      </c>
      <c r="C300" s="510">
        <v>229721.0578387595</v>
      </c>
      <c r="D300" s="306"/>
      <c r="E300" s="311">
        <f t="shared" si="12"/>
        <v>-229721.0578387595</v>
      </c>
      <c r="F300" s="512">
        <v>117789.81343482192</v>
      </c>
      <c r="G300" s="231"/>
      <c r="H300" s="311">
        <f t="shared" si="13"/>
        <v>-117789.81343482192</v>
      </c>
      <c r="I300" s="510">
        <v>37543.704305196559</v>
      </c>
      <c r="J300" s="231"/>
      <c r="K300" s="311">
        <f t="shared" si="14"/>
        <v>-37543.704305196559</v>
      </c>
    </row>
    <row r="301" spans="1:11" s="482" customFormat="1" ht="15" x14ac:dyDescent="0.25">
      <c r="A301" s="150">
        <v>5925</v>
      </c>
      <c r="B301" s="478" t="s">
        <v>387</v>
      </c>
      <c r="C301" s="510">
        <v>177278.55617274522</v>
      </c>
      <c r="D301" s="306"/>
      <c r="E301" s="311">
        <f t="shared" si="12"/>
        <v>-177278.55617274522</v>
      </c>
      <c r="F301" s="512">
        <v>-67072.036794961052</v>
      </c>
      <c r="G301" s="231"/>
      <c r="H301" s="311">
        <f t="shared" si="13"/>
        <v>67072.036794961052</v>
      </c>
      <c r="I301" s="510">
        <v>16744.816717775208</v>
      </c>
      <c r="J301" s="231"/>
      <c r="K301" s="311">
        <f t="shared" si="14"/>
        <v>-16744.816717775208</v>
      </c>
    </row>
    <row r="302" spans="1:11" s="482" customFormat="1" ht="15" x14ac:dyDescent="0.25">
      <c r="A302" s="150">
        <v>5926</v>
      </c>
      <c r="B302" s="478" t="s">
        <v>388</v>
      </c>
      <c r="C302" s="510">
        <v>468617.83027336549</v>
      </c>
      <c r="D302" s="306"/>
      <c r="E302" s="311">
        <f t="shared" si="12"/>
        <v>-468617.83027336549</v>
      </c>
      <c r="F302" s="512">
        <v>227555.92486913974</v>
      </c>
      <c r="G302" s="231"/>
      <c r="H302" s="311">
        <f t="shared" si="13"/>
        <v>-227555.92486913974</v>
      </c>
      <c r="I302" s="510">
        <v>35317.315244122772</v>
      </c>
      <c r="J302" s="231"/>
      <c r="K302" s="311">
        <f t="shared" si="14"/>
        <v>-35317.315244122772</v>
      </c>
    </row>
    <row r="303" spans="1:11" s="482" customFormat="1" ht="15" x14ac:dyDescent="0.25">
      <c r="A303" s="150">
        <v>5928</v>
      </c>
      <c r="B303" s="478" t="s">
        <v>389</v>
      </c>
      <c r="C303" s="510">
        <v>120744.48972670648</v>
      </c>
      <c r="D303" s="306"/>
      <c r="E303" s="311">
        <f t="shared" si="12"/>
        <v>-120744.48972670648</v>
      </c>
      <c r="F303" s="512">
        <v>39639.506512163585</v>
      </c>
      <c r="G303" s="231"/>
      <c r="H303" s="311">
        <f t="shared" si="13"/>
        <v>-39639.506512163585</v>
      </c>
      <c r="I303" s="510">
        <v>19091.625129955995</v>
      </c>
      <c r="J303" s="231"/>
      <c r="K303" s="311">
        <f t="shared" si="14"/>
        <v>-19091.625129955995</v>
      </c>
    </row>
    <row r="304" spans="1:11" s="482" customFormat="1" ht="15" x14ac:dyDescent="0.25">
      <c r="A304" s="150">
        <v>5929</v>
      </c>
      <c r="B304" s="478" t="s">
        <v>390</v>
      </c>
      <c r="C304" s="510">
        <v>369910.12077986152</v>
      </c>
      <c r="D304" s="306"/>
      <c r="E304" s="311">
        <f t="shared" si="12"/>
        <v>-369910.12077986152</v>
      </c>
      <c r="F304" s="512">
        <v>-9749.7336098256055</v>
      </c>
      <c r="G304" s="231"/>
      <c r="H304" s="311">
        <f t="shared" si="13"/>
        <v>9749.7336098256055</v>
      </c>
      <c r="I304" s="510">
        <v>22123.591415220493</v>
      </c>
      <c r="J304" s="231"/>
      <c r="K304" s="311">
        <f t="shared" si="14"/>
        <v>-22123.591415220493</v>
      </c>
    </row>
    <row r="305" spans="1:11" s="482" customFormat="1" ht="15" x14ac:dyDescent="0.25">
      <c r="A305" s="150">
        <v>5930</v>
      </c>
      <c r="B305" s="478" t="s">
        <v>391</v>
      </c>
      <c r="C305" s="510">
        <v>91186.400313806298</v>
      </c>
      <c r="D305" s="306"/>
      <c r="E305" s="311">
        <f t="shared" si="12"/>
        <v>-91186.400313806298</v>
      </c>
      <c r="F305" s="512">
        <v>-27196.372326595723</v>
      </c>
      <c r="G305" s="231"/>
      <c r="H305" s="311">
        <f t="shared" si="13"/>
        <v>27196.372326595723</v>
      </c>
      <c r="I305" s="510">
        <v>7529.3801829753265</v>
      </c>
      <c r="J305" s="231"/>
      <c r="K305" s="311">
        <f t="shared" si="14"/>
        <v>-7529.3801829753265</v>
      </c>
    </row>
    <row r="306" spans="1:11" s="482" customFormat="1" ht="15" x14ac:dyDescent="0.25">
      <c r="A306" s="150">
        <v>5931</v>
      </c>
      <c r="B306" s="478" t="s">
        <v>392</v>
      </c>
      <c r="C306" s="510">
        <v>209551.34514910905</v>
      </c>
      <c r="D306" s="306"/>
      <c r="E306" s="311">
        <f t="shared" si="12"/>
        <v>-209551.34514910905</v>
      </c>
      <c r="F306" s="512">
        <v>-61606.310186656439</v>
      </c>
      <c r="G306" s="231"/>
      <c r="H306" s="311">
        <f t="shared" si="13"/>
        <v>61606.310186656439</v>
      </c>
      <c r="I306" s="510">
        <v>15643.244702377744</v>
      </c>
      <c r="J306" s="231"/>
      <c r="K306" s="311">
        <f t="shared" si="14"/>
        <v>-15643.244702377744</v>
      </c>
    </row>
    <row r="307" spans="1:11" s="482" customFormat="1" ht="15" x14ac:dyDescent="0.25">
      <c r="A307" s="150">
        <v>5932</v>
      </c>
      <c r="B307" s="478" t="s">
        <v>269</v>
      </c>
      <c r="C307" s="510">
        <v>150169.24934803191</v>
      </c>
      <c r="D307" s="306"/>
      <c r="E307" s="311">
        <f t="shared" si="12"/>
        <v>-150169.24934803191</v>
      </c>
      <c r="F307" s="512">
        <v>74879.682962159786</v>
      </c>
      <c r="G307" s="231"/>
      <c r="H307" s="311">
        <f t="shared" si="13"/>
        <v>-74879.682962159786</v>
      </c>
      <c r="I307" s="510">
        <v>26343.972475632552</v>
      </c>
      <c r="J307" s="231"/>
      <c r="K307" s="311">
        <f t="shared" si="14"/>
        <v>-26343.972475632552</v>
      </c>
    </row>
    <row r="308" spans="1:11" s="482" customFormat="1" ht="15" x14ac:dyDescent="0.25">
      <c r="A308" s="150">
        <v>5933</v>
      </c>
      <c r="B308" s="478" t="s">
        <v>385</v>
      </c>
      <c r="C308" s="510">
        <v>407181.28871076641</v>
      </c>
      <c r="D308" s="306"/>
      <c r="E308" s="311">
        <f t="shared" si="12"/>
        <v>-407181.28871076641</v>
      </c>
      <c r="F308" s="512">
        <v>16476.825514297714</v>
      </c>
      <c r="G308" s="231"/>
      <c r="H308" s="311">
        <f t="shared" si="13"/>
        <v>-16476.825514297714</v>
      </c>
      <c r="I308" s="510">
        <v>69194.612292484293</v>
      </c>
      <c r="J308" s="231"/>
      <c r="K308" s="311">
        <f t="shared" si="14"/>
        <v>-69194.612292484293</v>
      </c>
    </row>
    <row r="309" spans="1:11" s="482" customFormat="1" ht="15" x14ac:dyDescent="0.25">
      <c r="A309" s="150">
        <v>5934</v>
      </c>
      <c r="B309" s="478" t="s">
        <v>386</v>
      </c>
      <c r="C309" s="510">
        <v>134481.79295574487</v>
      </c>
      <c r="D309" s="306"/>
      <c r="E309" s="311">
        <f t="shared" si="12"/>
        <v>-134481.79295574487</v>
      </c>
      <c r="F309" s="512">
        <v>-97429.742943628808</v>
      </c>
      <c r="G309" s="231"/>
      <c r="H309" s="311">
        <f t="shared" si="13"/>
        <v>97429.742943628808</v>
      </c>
      <c r="I309" s="510">
        <v>24050.750273449401</v>
      </c>
      <c r="J309" s="231"/>
      <c r="K309" s="311">
        <f t="shared" si="14"/>
        <v>-24050.750273449401</v>
      </c>
    </row>
    <row r="310" spans="1:11" s="482" customFormat="1" ht="15" x14ac:dyDescent="0.25">
      <c r="A310" s="150">
        <v>5935</v>
      </c>
      <c r="B310" s="478" t="s">
        <v>292</v>
      </c>
      <c r="C310" s="510">
        <v>76887.623339691156</v>
      </c>
      <c r="D310" s="306"/>
      <c r="E310" s="311">
        <f t="shared" si="12"/>
        <v>-76887.623339691156</v>
      </c>
      <c r="F310" s="512">
        <v>80450.996129951847</v>
      </c>
      <c r="G310" s="231"/>
      <c r="H310" s="311">
        <f t="shared" si="13"/>
        <v>-80450.996129951847</v>
      </c>
      <c r="I310" s="510">
        <v>14920.274645405243</v>
      </c>
      <c r="J310" s="231"/>
      <c r="K310" s="311">
        <f t="shared" si="14"/>
        <v>-14920.274645405243</v>
      </c>
    </row>
    <row r="311" spans="1:11" s="482" customFormat="1" ht="15" x14ac:dyDescent="0.25">
      <c r="A311" s="150">
        <v>5937</v>
      </c>
      <c r="B311" s="478" t="s">
        <v>270</v>
      </c>
      <c r="C311" s="510">
        <v>63433.265788612785</v>
      </c>
      <c r="D311" s="306"/>
      <c r="E311" s="311">
        <f t="shared" si="12"/>
        <v>-63433.265788612785</v>
      </c>
      <c r="F311" s="512">
        <v>-48913.702032335976</v>
      </c>
      <c r="G311" s="231"/>
      <c r="H311" s="311">
        <f t="shared" si="13"/>
        <v>48913.702032335976</v>
      </c>
      <c r="I311" s="510">
        <v>9433.8132738115928</v>
      </c>
      <c r="J311" s="231"/>
      <c r="K311" s="311">
        <f t="shared" si="14"/>
        <v>-9433.8132738115928</v>
      </c>
    </row>
    <row r="312" spans="1:11" s="482" customFormat="1" ht="15" x14ac:dyDescent="0.25">
      <c r="A312" s="150">
        <v>5938</v>
      </c>
      <c r="B312" s="478" t="s">
        <v>146</v>
      </c>
      <c r="C312" s="510">
        <v>15173955.596625937</v>
      </c>
      <c r="D312" s="306"/>
      <c r="E312" s="311">
        <f t="shared" si="12"/>
        <v>-15173955.596625937</v>
      </c>
      <c r="F312" s="512">
        <v>-31166526.620987236</v>
      </c>
      <c r="G312" s="231"/>
      <c r="H312" s="311">
        <f t="shared" si="13"/>
        <v>31166526.620987236</v>
      </c>
      <c r="I312" s="510">
        <v>1004508.2061329724</v>
      </c>
      <c r="J312" s="231"/>
      <c r="K312" s="311">
        <f t="shared" si="14"/>
        <v>-1004508.2061329724</v>
      </c>
    </row>
    <row r="313" spans="1:11" s="482" customFormat="1" ht="15" x14ac:dyDescent="0.25">
      <c r="A313" s="150">
        <v>5939</v>
      </c>
      <c r="B313" s="478" t="s">
        <v>145</v>
      </c>
      <c r="C313" s="510">
        <v>2111324.9528675438</v>
      </c>
      <c r="D313" s="306"/>
      <c r="E313" s="311">
        <f t="shared" si="12"/>
        <v>-2111324.9528675438</v>
      </c>
      <c r="F313" s="512">
        <v>-835302.74259001995</v>
      </c>
      <c r="G313" s="231"/>
      <c r="H313" s="311">
        <f t="shared" si="13"/>
        <v>835302.74259001995</v>
      </c>
      <c r="I313" s="510">
        <v>295679.48597277969</v>
      </c>
      <c r="J313" s="231"/>
      <c r="K313" s="311">
        <f t="shared" si="14"/>
        <v>-295679.48597277969</v>
      </c>
    </row>
    <row r="314" spans="1:11" s="482" customFormat="1" ht="15" x14ac:dyDescent="0.25">
      <c r="A314" s="30"/>
      <c r="B314" s="24">
        <v>309</v>
      </c>
      <c r="C314" s="511">
        <f>SUM(C6:C313)</f>
        <v>815872099.99999952</v>
      </c>
      <c r="D314" s="480">
        <f t="shared" ref="D314:K314" si="15">SUM(D6:D313)</f>
        <v>0</v>
      </c>
      <c r="E314" s="479">
        <f t="shared" si="15"/>
        <v>-815872099.99999952</v>
      </c>
      <c r="F314" s="511">
        <f>SUM(F6:F313)</f>
        <v>450000.00000024354</v>
      </c>
      <c r="G314" s="480">
        <f t="shared" si="15"/>
        <v>0</v>
      </c>
      <c r="H314" s="479">
        <f t="shared" si="15"/>
        <v>-450000.00000024354</v>
      </c>
      <c r="I314" s="511">
        <f t="shared" si="15"/>
        <v>69975804.441903159</v>
      </c>
      <c r="J314" s="480">
        <f t="shared" si="15"/>
        <v>0</v>
      </c>
      <c r="K314" s="479">
        <f t="shared" si="15"/>
        <v>-69975804.441903159</v>
      </c>
    </row>
    <row r="315" spans="1:11" s="482" customFormat="1" ht="15" x14ac:dyDescent="0.25">
      <c r="A315" s="483"/>
      <c r="B315" s="483"/>
      <c r="C315" s="483"/>
      <c r="D315" s="397"/>
      <c r="E315" s="483"/>
      <c r="F315" s="483"/>
      <c r="G315" s="483"/>
      <c r="H315" s="483"/>
      <c r="I315" s="481"/>
      <c r="J315" s="6"/>
      <c r="K315" s="483"/>
    </row>
    <row r="316" spans="1:11" s="482" customFormat="1" ht="15" x14ac:dyDescent="0.25">
      <c r="A316" s="483"/>
      <c r="B316" s="483"/>
      <c r="C316" s="483"/>
      <c r="D316" s="483"/>
      <c r="E316" s="483"/>
      <c r="F316" s="483"/>
      <c r="G316" s="483"/>
      <c r="H316" s="483"/>
      <c r="I316" s="481"/>
      <c r="J316" s="6"/>
      <c r="K316" s="483"/>
    </row>
    <row r="317" spans="1:11" s="482" customFormat="1" ht="15" x14ac:dyDescent="0.25">
      <c r="A317" s="483"/>
      <c r="B317" s="483"/>
      <c r="C317" s="483"/>
      <c r="D317" s="483"/>
      <c r="E317" s="483"/>
      <c r="F317" s="483"/>
      <c r="G317" s="483"/>
      <c r="H317" s="483"/>
      <c r="I317" s="481"/>
      <c r="J317" s="483"/>
      <c r="K317" s="483"/>
    </row>
    <row r="318" spans="1:11" s="482" customFormat="1" ht="15" x14ac:dyDescent="0.25">
      <c r="A318" s="483"/>
      <c r="B318" s="483"/>
      <c r="C318" s="483"/>
      <c r="D318" s="483"/>
      <c r="E318" s="483"/>
      <c r="F318" s="483"/>
      <c r="G318" s="483"/>
      <c r="H318" s="483"/>
      <c r="I318" s="432"/>
      <c r="J318" s="483"/>
      <c r="K318" s="483"/>
    </row>
  </sheetData>
  <mergeCells count="6">
    <mergeCell ref="I4:K4"/>
    <mergeCell ref="A1:E1"/>
    <mergeCell ref="A4:A5"/>
    <mergeCell ref="B4:B5"/>
    <mergeCell ref="C4:E4"/>
    <mergeCell ref="F4:H4"/>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euil2">
    <tabColor theme="3" tint="0.39997558519241921"/>
    <pageSetUpPr fitToPage="1"/>
  </sheetPr>
  <dimension ref="B1:L68"/>
  <sheetViews>
    <sheetView tabSelected="1" workbookViewId="0">
      <selection activeCell="C3" sqref="C3:E3"/>
    </sheetView>
  </sheetViews>
  <sheetFormatPr baseColWidth="10" defaultColWidth="10.875" defaultRowHeight="15" x14ac:dyDescent="0.25"/>
  <cols>
    <col min="1" max="1" width="3.375" style="157" customWidth="1"/>
    <col min="2" max="2" width="17.125" style="157" customWidth="1"/>
    <col min="3" max="4" width="12.75" style="157" customWidth="1"/>
    <col min="5" max="6" width="12.75" style="201" customWidth="1"/>
    <col min="7" max="7" width="11.75" style="157" bestFit="1" customWidth="1"/>
    <col min="8" max="16384" width="10.875" style="157"/>
  </cols>
  <sheetData>
    <row r="1" spans="2:9" ht="31.5" x14ac:dyDescent="0.5">
      <c r="B1" s="196" t="s">
        <v>467</v>
      </c>
    </row>
    <row r="3" spans="2:9" s="202" customFormat="1" ht="26.25" x14ac:dyDescent="0.4">
      <c r="B3" s="205"/>
      <c r="C3" s="631"/>
      <c r="D3" s="631"/>
      <c r="E3" s="631"/>
      <c r="F3" s="203"/>
    </row>
    <row r="6" spans="2:9" ht="18.75" x14ac:dyDescent="0.3">
      <c r="B6" s="545" t="str">
        <f>CONCATENATE("Péréquation, ",Paramètres!B5)</f>
        <v>Péréquation, décompte provisoire 2021</v>
      </c>
      <c r="C6" s="545"/>
      <c r="D6" s="545"/>
      <c r="E6" s="545"/>
      <c r="F6" s="545"/>
    </row>
    <row r="7" spans="2:9" s="247" customFormat="1" ht="18.75" x14ac:dyDescent="0.3">
      <c r="B7" s="545">
        <f>C3</f>
        <v>0</v>
      </c>
      <c r="C7" s="545"/>
      <c r="D7" s="545"/>
      <c r="E7" s="545"/>
      <c r="F7" s="545"/>
    </row>
    <row r="8" spans="2:9" s="247" customFormat="1" ht="12.75" x14ac:dyDescent="0.2">
      <c r="B8" s="254" t="e">
        <f>CONCATENATE("Population : ",VLOOKUP($B$7,'A) Base RI'!$B$7:$Z$314,21,FALSE))</f>
        <v>#N/A</v>
      </c>
      <c r="C8" s="245"/>
      <c r="D8" s="245"/>
      <c r="E8" s="246"/>
      <c r="F8" s="253" t="e">
        <f>CONCATENATE("N° OFS : ",VLOOKUP($B$7,Paramètres!$A$64:$B$371,2,FALSE))</f>
        <v>#N/A</v>
      </c>
    </row>
    <row r="9" spans="2:9" s="247" customFormat="1" ht="12.75" x14ac:dyDescent="0.2">
      <c r="B9" s="254" t="e">
        <f>CONCATENATE("Taux : ",VLOOKUP($B$7,'A) Base RI'!$B$7:$Z$314,20,FALSE))</f>
        <v>#N/A</v>
      </c>
      <c r="C9" s="245"/>
      <c r="D9" s="245"/>
      <c r="E9" s="246"/>
      <c r="F9" s="317" t="e">
        <f>CONCATENATE("Point impôt communal : ",ROUND(VLOOKUP(B7,'D) Ecrêtage'!B6:M322,2,FALSE),0))</f>
        <v>#N/A</v>
      </c>
    </row>
    <row r="10" spans="2:9" s="247" customFormat="1" ht="12.75" x14ac:dyDescent="0.2">
      <c r="B10" s="245"/>
      <c r="C10" s="245"/>
      <c r="D10" s="245"/>
      <c r="E10" s="246"/>
      <c r="F10" s="317"/>
      <c r="H10" s="341"/>
      <c r="I10" s="341"/>
    </row>
    <row r="11" spans="2:9" ht="18" x14ac:dyDescent="0.35">
      <c r="B11" s="238" t="s">
        <v>525</v>
      </c>
      <c r="C11" s="103"/>
      <c r="D11" s="103"/>
      <c r="E11" s="204"/>
      <c r="F11" s="204"/>
    </row>
    <row r="12" spans="2:9" s="247" customFormat="1" ht="6" customHeight="1" x14ac:dyDescent="0.2">
      <c r="B12" s="245"/>
      <c r="C12" s="245"/>
      <c r="D12" s="245"/>
      <c r="E12" s="246"/>
      <c r="F12" s="246"/>
    </row>
    <row r="13" spans="2:9" s="247" customFormat="1" ht="12.75" x14ac:dyDescent="0.2">
      <c r="B13" s="252" t="s">
        <v>421</v>
      </c>
      <c r="C13" s="245"/>
      <c r="D13" s="245"/>
      <c r="E13" s="246"/>
      <c r="F13" s="246"/>
    </row>
    <row r="14" spans="2:9" s="247" customFormat="1" ht="12.75" x14ac:dyDescent="0.2">
      <c r="B14" s="245" t="s">
        <v>459</v>
      </c>
      <c r="C14" s="245"/>
      <c r="D14" s="245"/>
      <c r="E14" s="248" t="e">
        <f>VLOOKUP($C$3,'C) Prél. conj.'!$B$4:$E$391,2,FALSE)*0.5</f>
        <v>#N/A</v>
      </c>
      <c r="F14" s="246"/>
    </row>
    <row r="15" spans="2:9" s="247" customFormat="1" ht="12.75" x14ac:dyDescent="0.2">
      <c r="B15" s="245" t="s">
        <v>190</v>
      </c>
      <c r="C15" s="245"/>
      <c r="D15" s="245"/>
      <c r="E15" s="248" t="e">
        <f>VLOOKUP($C$3,'C) Prél. conj.'!$B$4:$E$391,3,FALSE)*0.3</f>
        <v>#N/A</v>
      </c>
      <c r="F15" s="246" t="e">
        <f>E14+E15</f>
        <v>#N/A</v>
      </c>
    </row>
    <row r="16" spans="2:9" s="247" customFormat="1" ht="6" customHeight="1" x14ac:dyDescent="0.2">
      <c r="B16" s="245"/>
      <c r="C16" s="245"/>
      <c r="D16" s="245"/>
      <c r="E16" s="246"/>
      <c r="F16" s="246"/>
    </row>
    <row r="17" spans="2:8" s="247" customFormat="1" ht="12.75" x14ac:dyDescent="0.2">
      <c r="B17" s="252" t="s">
        <v>457</v>
      </c>
      <c r="C17" s="245"/>
      <c r="D17" s="245"/>
      <c r="E17" s="246"/>
      <c r="F17" s="246"/>
    </row>
    <row r="18" spans="2:8" s="247" customFormat="1" ht="12.75" x14ac:dyDescent="0.2">
      <c r="B18" s="245" t="s">
        <v>510</v>
      </c>
      <c r="C18" s="245"/>
      <c r="D18" s="249" t="e">
        <f>VLOOKUP($C$3,'D) Ecrêtage'!$B$4:$M$391,11,FALSE)</f>
        <v>#N/A</v>
      </c>
      <c r="E18" s="246"/>
      <c r="F18" s="246" t="e">
        <f>VLOOKUP($C$3,'D) Ecrêtage'!$B$4:$M$391,12,FALSE)</f>
        <v>#N/A</v>
      </c>
    </row>
    <row r="19" spans="2:8" s="247" customFormat="1" ht="6" customHeight="1" x14ac:dyDescent="0.2">
      <c r="B19" s="245"/>
      <c r="C19" s="245"/>
      <c r="D19" s="245"/>
      <c r="E19" s="246"/>
      <c r="F19" s="246"/>
    </row>
    <row r="20" spans="2:8" s="247" customFormat="1" ht="12.75" x14ac:dyDescent="0.2">
      <c r="B20" s="252" t="s">
        <v>460</v>
      </c>
      <c r="C20" s="245"/>
      <c r="D20" s="245"/>
      <c r="E20" s="246"/>
      <c r="F20" s="246"/>
    </row>
    <row r="21" spans="2:8" s="247" customFormat="1" ht="12.75" x14ac:dyDescent="0.2">
      <c r="B21" s="245" t="str">
        <f>CONCATENATE("Nombre de points à répartir ",ROUND('E) PCS'!D8,2))</f>
        <v>Nombre de points à répartir 12.19</v>
      </c>
      <c r="C21" s="245"/>
      <c r="D21" s="245"/>
      <c r="E21" s="246"/>
      <c r="F21" s="246"/>
    </row>
    <row r="22" spans="2:8" s="247" customFormat="1" ht="12.75" x14ac:dyDescent="0.2">
      <c r="B22" s="245" t="s">
        <v>466</v>
      </c>
      <c r="C22" s="245"/>
      <c r="D22" s="245"/>
      <c r="E22" s="246"/>
      <c r="F22" s="246" t="e">
        <f>VLOOKUP($C$3,'E) PCS'!$B$10:$G$391,5,FALSE)</f>
        <v>#N/A</v>
      </c>
    </row>
    <row r="23" spans="2:8" s="247" customFormat="1" ht="6" customHeight="1" x14ac:dyDescent="0.2">
      <c r="B23" s="245"/>
      <c r="C23" s="245"/>
      <c r="D23" s="245"/>
      <c r="E23" s="246"/>
      <c r="F23" s="250"/>
    </row>
    <row r="24" spans="2:8" s="247" customFormat="1" ht="12.75" x14ac:dyDescent="0.2">
      <c r="B24" s="252" t="s">
        <v>580</v>
      </c>
      <c r="C24" s="245"/>
      <c r="D24" s="245"/>
      <c r="E24" s="246"/>
      <c r="F24" s="251" t="e">
        <f>F15+F18+F22</f>
        <v>#N/A</v>
      </c>
      <c r="G24" s="415"/>
      <c r="H24" s="415"/>
    </row>
    <row r="25" spans="2:8" s="247" customFormat="1" ht="6" customHeight="1" x14ac:dyDescent="0.2">
      <c r="B25" s="245"/>
      <c r="C25" s="245"/>
      <c r="D25" s="245"/>
      <c r="E25" s="246"/>
      <c r="F25" s="246"/>
    </row>
    <row r="26" spans="2:8" ht="18" x14ac:dyDescent="0.35">
      <c r="B26" s="238" t="s">
        <v>490</v>
      </c>
      <c r="C26" s="103"/>
      <c r="D26" s="103"/>
      <c r="E26" s="204"/>
      <c r="F26" s="204"/>
      <c r="G26" s="414"/>
    </row>
    <row r="27" spans="2:8" s="247" customFormat="1" ht="6" customHeight="1" x14ac:dyDescent="0.2">
      <c r="B27" s="245"/>
      <c r="C27" s="245"/>
      <c r="D27" s="245"/>
      <c r="E27" s="246"/>
      <c r="F27" s="246"/>
    </row>
    <row r="28" spans="2:8" s="247" customFormat="1" ht="12.75" x14ac:dyDescent="0.2">
      <c r="B28" s="252" t="s">
        <v>297</v>
      </c>
      <c r="C28" s="245"/>
      <c r="D28" s="245"/>
      <c r="E28" s="246"/>
      <c r="F28" s="246" t="e">
        <f>-VLOOKUP($C$3,'F) Population'!$B$9:$K$391,10,FALSE)</f>
        <v>#N/A</v>
      </c>
      <c r="G28" s="416"/>
    </row>
    <row r="29" spans="2:8" s="247" customFormat="1" ht="6" customHeight="1" x14ac:dyDescent="0.2">
      <c r="B29" s="245"/>
      <c r="C29" s="245"/>
      <c r="D29" s="245"/>
      <c r="E29" s="246"/>
      <c r="F29" s="246"/>
    </row>
    <row r="30" spans="2:8" s="247" customFormat="1" ht="12.75" x14ac:dyDescent="0.2">
      <c r="B30" s="252" t="s">
        <v>461</v>
      </c>
      <c r="C30" s="245"/>
      <c r="D30" s="245"/>
      <c r="E30" s="246"/>
      <c r="F30" s="246" t="e">
        <f>-VLOOKUP($C$3,'G) Solidarité'!$B$6:$I$391,8,FALSE)</f>
        <v>#N/A</v>
      </c>
    </row>
    <row r="31" spans="2:8" s="247" customFormat="1" ht="6" customHeight="1" x14ac:dyDescent="0.2">
      <c r="B31" s="245"/>
      <c r="C31" s="245"/>
      <c r="D31" s="245"/>
      <c r="E31" s="246"/>
      <c r="F31" s="246"/>
      <c r="H31" s="247" t="s">
        <v>524</v>
      </c>
    </row>
    <row r="32" spans="2:8" s="247" customFormat="1" ht="12.75" x14ac:dyDescent="0.2">
      <c r="B32" s="537" t="s">
        <v>585</v>
      </c>
      <c r="C32" s="538"/>
      <c r="D32" s="538"/>
      <c r="E32" s="248"/>
      <c r="F32" s="534"/>
    </row>
    <row r="33" spans="2:12" s="247" customFormat="1" ht="12.75" x14ac:dyDescent="0.2">
      <c r="B33" s="535" t="s">
        <v>528</v>
      </c>
      <c r="C33" s="536"/>
      <c r="D33" s="536"/>
      <c r="E33" s="462" t="e">
        <f>VLOOKUP(B7,'I) Dépenses thématiques'!B6:T313,12,FALSE)</f>
        <v>#N/A</v>
      </c>
      <c r="F33" s="536"/>
    </row>
    <row r="34" spans="2:12" s="247" customFormat="1" ht="12.75" x14ac:dyDescent="0.2">
      <c r="B34" s="535" t="s">
        <v>529</v>
      </c>
      <c r="C34" s="536"/>
      <c r="D34" s="536"/>
      <c r="E34" s="462" t="e">
        <f>VLOOKUP(B7,'I) Dépenses thématiques'!B6:S313,18,FALSE)</f>
        <v>#N/A</v>
      </c>
      <c r="F34" s="462" t="e">
        <f>SUM(E33:E34)</f>
        <v>#N/A</v>
      </c>
    </row>
    <row r="35" spans="2:12" s="247" customFormat="1" ht="6" customHeight="1" x14ac:dyDescent="0.2">
      <c r="B35" s="461"/>
      <c r="C35" s="461"/>
      <c r="D35" s="461"/>
      <c r="E35" s="461"/>
      <c r="F35" s="461"/>
    </row>
    <row r="36" spans="2:12" s="247" customFormat="1" ht="12.75" x14ac:dyDescent="0.2">
      <c r="B36" s="252" t="s">
        <v>462</v>
      </c>
      <c r="C36" s="245"/>
      <c r="D36" s="245"/>
      <c r="E36" s="246"/>
      <c r="F36" s="246"/>
    </row>
    <row r="37" spans="2:12" s="247" customFormat="1" ht="12.75" customHeight="1" x14ac:dyDescent="0.2">
      <c r="B37" s="245" t="s">
        <v>502</v>
      </c>
      <c r="C37" s="245"/>
      <c r="D37" s="245"/>
      <c r="E37" s="248" t="e">
        <f>VLOOKUP($C$3,'J) Plafonnement effort'!$B$6:$J$391,9,FALSE)</f>
        <v>#N/A</v>
      </c>
      <c r="F37" s="246"/>
      <c r="L37" s="453"/>
    </row>
    <row r="38" spans="2:12" s="247" customFormat="1" ht="12.75" customHeight="1" x14ac:dyDescent="0.2">
      <c r="B38" s="245" t="s">
        <v>463</v>
      </c>
      <c r="C38" s="245"/>
      <c r="D38" s="245"/>
      <c r="E38" s="248" t="e">
        <f>VLOOKUP($C$3,'K) Plafonnement aide'!$B$6:$J$391,9,FALSE)</f>
        <v>#N/A</v>
      </c>
      <c r="F38" s="246"/>
      <c r="L38" s="453"/>
    </row>
    <row r="39" spans="2:12" s="247" customFormat="1" ht="12.75" customHeight="1" x14ac:dyDescent="0.2">
      <c r="B39" s="245" t="s">
        <v>464</v>
      </c>
      <c r="C39" s="245"/>
      <c r="D39" s="245"/>
      <c r="E39" s="248" t="e">
        <f>VLOOKUP($C$3,'L) Plafonnement taux'!$B$7:$Q$391,16,FALSE)</f>
        <v>#N/A</v>
      </c>
      <c r="F39" s="246" t="e">
        <f>SUM(E37:E39)</f>
        <v>#N/A</v>
      </c>
      <c r="L39" s="453"/>
    </row>
    <row r="40" spans="2:12" s="247" customFormat="1" ht="6" customHeight="1" x14ac:dyDescent="0.2">
      <c r="B40" s="245"/>
      <c r="C40" s="245"/>
      <c r="D40" s="245"/>
      <c r="E40" s="246"/>
      <c r="F40" s="246"/>
      <c r="L40" s="453"/>
    </row>
    <row r="41" spans="2:12" s="247" customFormat="1" ht="12.75" customHeight="1" x14ac:dyDescent="0.2">
      <c r="B41" s="252" t="s">
        <v>92</v>
      </c>
      <c r="C41" s="245"/>
      <c r="D41" s="245"/>
      <c r="E41" s="246"/>
      <c r="F41" s="246" t="e">
        <f>VLOOKUP($C$3,'H) Péréquation directe'!$B$16:$I$390,4,FALSE)</f>
        <v>#N/A</v>
      </c>
      <c r="L41" s="453"/>
    </row>
    <row r="42" spans="2:12" s="247" customFormat="1" ht="6" customHeight="1" x14ac:dyDescent="0.2">
      <c r="B42" s="245"/>
      <c r="C42" s="245"/>
      <c r="D42" s="245"/>
      <c r="E42" s="246"/>
      <c r="F42" s="250"/>
      <c r="L42" s="453"/>
    </row>
    <row r="43" spans="2:12" s="247" customFormat="1" ht="12.75" x14ac:dyDescent="0.2">
      <c r="B43" s="252" t="s">
        <v>465</v>
      </c>
      <c r="C43" s="245"/>
      <c r="D43" s="245"/>
      <c r="E43" s="246"/>
      <c r="F43" s="342" t="e">
        <f>SUM(F27:F42)</f>
        <v>#N/A</v>
      </c>
    </row>
    <row r="44" spans="2:12" s="247" customFormat="1" ht="6" customHeight="1" x14ac:dyDescent="0.2">
      <c r="B44" s="245"/>
      <c r="C44" s="245"/>
      <c r="D44" s="245"/>
      <c r="E44" s="246"/>
      <c r="F44" s="246"/>
    </row>
    <row r="45" spans="2:12" ht="18" x14ac:dyDescent="0.35">
      <c r="B45" s="238" t="s">
        <v>581</v>
      </c>
      <c r="C45" s="103"/>
      <c r="D45" s="103"/>
      <c r="E45" s="204"/>
      <c r="F45" s="204"/>
      <c r="G45" s="247"/>
      <c r="H45" s="247"/>
      <c r="I45" s="247"/>
      <c r="J45" s="247"/>
      <c r="K45" s="247"/>
    </row>
    <row r="46" spans="2:12" s="247" customFormat="1" ht="6" customHeight="1" x14ac:dyDescent="0.2">
      <c r="B46" s="245"/>
      <c r="C46" s="245"/>
      <c r="D46" s="245"/>
      <c r="E46" s="246"/>
      <c r="F46" s="246"/>
    </row>
    <row r="47" spans="2:12" s="247" customFormat="1" ht="12.75" x14ac:dyDescent="0.2">
      <c r="B47" s="245" t="s">
        <v>474</v>
      </c>
      <c r="C47" s="245"/>
      <c r="D47" s="245"/>
      <c r="E47" s="248" t="e">
        <f>VLOOKUP($C$3,'M) Police'!$B$6:$M$395,10,FALSE)</f>
        <v>#N/A</v>
      </c>
      <c r="F47" s="246"/>
    </row>
    <row r="48" spans="2:12" s="247" customFormat="1" ht="12.75" x14ac:dyDescent="0.2">
      <c r="B48" s="245" t="s">
        <v>475</v>
      </c>
      <c r="C48" s="245"/>
      <c r="D48" s="245"/>
      <c r="E48" s="248" t="e">
        <f>VLOOKUP($C$3,'M) Police'!$B$6:$M$395,12,FALSE)</f>
        <v>#N/A</v>
      </c>
      <c r="F48" s="246" t="e">
        <f>E47+E48</f>
        <v>#N/A</v>
      </c>
    </row>
    <row r="49" spans="2:6" s="247" customFormat="1" ht="12.75" x14ac:dyDescent="0.2">
      <c r="B49" s="245"/>
      <c r="C49" s="245"/>
      <c r="D49" s="245"/>
      <c r="E49" s="246"/>
      <c r="F49" s="250"/>
    </row>
    <row r="50" spans="2:6" s="247" customFormat="1" ht="12.75" x14ac:dyDescent="0.2">
      <c r="B50" s="252" t="s">
        <v>480</v>
      </c>
      <c r="C50" s="245"/>
      <c r="D50" s="245"/>
      <c r="E50" s="246"/>
      <c r="F50" s="251" t="e">
        <f>F48</f>
        <v>#N/A</v>
      </c>
    </row>
    <row r="51" spans="2:6" s="247" customFormat="1" ht="6" customHeight="1" x14ac:dyDescent="0.2">
      <c r="B51" s="245"/>
      <c r="C51" s="245"/>
      <c r="D51" s="245"/>
      <c r="E51" s="246"/>
      <c r="F51" s="246"/>
    </row>
    <row r="52" spans="2:6" ht="18" x14ac:dyDescent="0.35">
      <c r="B52" s="238" t="s">
        <v>582</v>
      </c>
      <c r="C52" s="103"/>
      <c r="D52" s="103"/>
      <c r="E52" s="204"/>
      <c r="F52" s="204"/>
    </row>
    <row r="53" spans="2:6" ht="6" customHeight="1" x14ac:dyDescent="0.25">
      <c r="B53" s="245"/>
      <c r="C53" s="245"/>
      <c r="D53" s="245"/>
      <c r="E53" s="245"/>
      <c r="F53" s="245"/>
    </row>
    <row r="54" spans="2:6" x14ac:dyDescent="0.25">
      <c r="B54" s="252" t="s">
        <v>503</v>
      </c>
      <c r="C54" s="245"/>
      <c r="D54" s="245"/>
      <c r="E54" s="245"/>
      <c r="F54" s="251" t="e">
        <f>+F24+F43+F50</f>
        <v>#N/A</v>
      </c>
    </row>
    <row r="55" spans="2:6" ht="6" customHeight="1" x14ac:dyDescent="0.25">
      <c r="B55" s="245"/>
      <c r="C55" s="245"/>
      <c r="D55" s="245"/>
      <c r="E55" s="245"/>
      <c r="F55" s="245"/>
    </row>
    <row r="56" spans="2:6" ht="18" x14ac:dyDescent="0.35">
      <c r="B56" s="238" t="s">
        <v>504</v>
      </c>
      <c r="C56" s="103"/>
      <c r="D56" s="103"/>
      <c r="E56" s="204"/>
      <c r="F56" s="204"/>
    </row>
    <row r="57" spans="2:6" ht="6" customHeight="1" x14ac:dyDescent="0.25">
      <c r="B57" s="245"/>
      <c r="C57" s="245"/>
      <c r="D57" s="245"/>
      <c r="E57" s="246"/>
      <c r="F57" s="246"/>
    </row>
    <row r="58" spans="2:6" ht="25.5" x14ac:dyDescent="0.25">
      <c r="B58" s="245"/>
      <c r="C58" s="463" t="s">
        <v>530</v>
      </c>
      <c r="D58" s="464" t="s">
        <v>544</v>
      </c>
      <c r="E58" s="464" t="s">
        <v>321</v>
      </c>
      <c r="F58" s="465" t="s">
        <v>470</v>
      </c>
    </row>
    <row r="59" spans="2:6" x14ac:dyDescent="0.25">
      <c r="B59" s="466" t="s">
        <v>531</v>
      </c>
      <c r="C59" s="467" t="e">
        <f>SUM(D59:F59)</f>
        <v>#N/A</v>
      </c>
      <c r="D59" s="468" t="e">
        <f>VLOOKUP($C$3,'Acomptes vs Décompte'!$B$6:$K$313,2,FALSE)</f>
        <v>#N/A</v>
      </c>
      <c r="E59" s="468" t="e">
        <f>VLOOKUP($C$3,'Acomptes vs Décompte'!$B$6:$K$313,5,FALSE)</f>
        <v>#N/A</v>
      </c>
      <c r="F59" s="469" t="e">
        <f>VLOOKUP($C$3,'Acomptes vs Décompte'!$B$6:$K$313,8,FALSE)</f>
        <v>#N/A</v>
      </c>
    </row>
    <row r="60" spans="2:6" x14ac:dyDescent="0.25">
      <c r="B60" s="466" t="s">
        <v>532</v>
      </c>
      <c r="C60" s="470" t="e">
        <f>SUM(D60:F60)</f>
        <v>#N/A</v>
      </c>
      <c r="D60" s="471" t="e">
        <f>VLOOKUP($C$3,'Acomptes vs Décompte'!$B$6:$K$313,3,FALSE)</f>
        <v>#N/A</v>
      </c>
      <c r="E60" s="471" t="e">
        <f>VLOOKUP($C$3,'Acomptes vs Décompte'!$B$6:$K$313,6,FALSE)</f>
        <v>#N/A</v>
      </c>
      <c r="F60" s="472" t="e">
        <f>VLOOKUP($C$3,'Acomptes vs Décompte'!$B$6:$K$313,9,FALSE)</f>
        <v>#N/A</v>
      </c>
    </row>
    <row r="61" spans="2:6" x14ac:dyDescent="0.25">
      <c r="B61" s="466" t="s">
        <v>533</v>
      </c>
      <c r="C61" s="467" t="e">
        <f>SUM(D61:F61)</f>
        <v>#N/A</v>
      </c>
      <c r="D61" s="467" t="e">
        <f>D60-D59</f>
        <v>#N/A</v>
      </c>
      <c r="E61" s="467" t="e">
        <f t="shared" ref="E61:F61" si="0">E60-E59</f>
        <v>#N/A</v>
      </c>
      <c r="F61" s="467" t="e">
        <f t="shared" si="0"/>
        <v>#N/A</v>
      </c>
    </row>
    <row r="62" spans="2:6" x14ac:dyDescent="0.25">
      <c r="B62" s="400"/>
      <c r="C62" s="473" t="s">
        <v>534</v>
      </c>
      <c r="D62" s="400"/>
      <c r="E62" s="6"/>
      <c r="F62" s="6"/>
    </row>
    <row r="63" spans="2:6" x14ac:dyDescent="0.25">
      <c r="B63" s="546" t="s">
        <v>545</v>
      </c>
      <c r="C63" s="546"/>
      <c r="D63" s="546"/>
      <c r="E63" s="546"/>
      <c r="F63" s="546"/>
    </row>
    <row r="64" spans="2:6" x14ac:dyDescent="0.25">
      <c r="B64" s="546"/>
      <c r="C64" s="546"/>
      <c r="D64" s="546"/>
      <c r="E64" s="546"/>
      <c r="F64" s="546"/>
    </row>
    <row r="65" spans="2:6" x14ac:dyDescent="0.25">
      <c r="B65" s="546"/>
      <c r="C65" s="546"/>
      <c r="D65" s="546"/>
      <c r="E65" s="546"/>
      <c r="F65" s="546"/>
    </row>
    <row r="66" spans="2:6" x14ac:dyDescent="0.25">
      <c r="B66" s="546"/>
      <c r="C66" s="546"/>
      <c r="D66" s="546"/>
      <c r="E66" s="546"/>
      <c r="F66" s="546"/>
    </row>
    <row r="67" spans="2:6" x14ac:dyDescent="0.25">
      <c r="B67" s="546"/>
      <c r="C67" s="546"/>
      <c r="D67" s="546"/>
      <c r="E67" s="546"/>
      <c r="F67" s="546"/>
    </row>
    <row r="68" spans="2:6" x14ac:dyDescent="0.25">
      <c r="B68" s="546"/>
      <c r="C68" s="546"/>
      <c r="D68" s="546"/>
      <c r="E68" s="546"/>
      <c r="F68" s="546"/>
    </row>
  </sheetData>
  <sheetProtection algorithmName="SHA-512" hashValue="3s+II/qpyXMaDp63YlgdNuJUwFFS3UTvx9vESGjjWQqMWR4bFytZaU0ooGRI3wYMcnfSm2Zk8hilBa/aSQIkYg==" saltValue="xcIXHk2JfC7ryaYgB7ySyg==" spinCount="100000" sheet="1" objects="1" scenarios="1"/>
  <protectedRanges>
    <protectedRange sqref="C3:E3" name="Plage1"/>
  </protectedRanges>
  <mergeCells count="4">
    <mergeCell ref="B6:F6"/>
    <mergeCell ref="B7:F7"/>
    <mergeCell ref="C3:E3"/>
    <mergeCell ref="B63:F68"/>
  </mergeCells>
  <printOptions horizontalCentered="1" verticalCentered="1"/>
  <pageMargins left="0.70866141732283472" right="0.70866141732283472" top="0.35433070866141736" bottom="0.35433070866141736" header="0.31496062992125984" footer="0.31496062992125984"/>
  <pageSetup paperSize="9" orientation="portrait"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00000000}">
          <x14:formula1>
            <xm:f>Paramètres!$A$64:$A$371</xm:f>
          </x14:formula1>
          <xm:sqref>C3</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euil4">
    <tabColor rgb="FF00B050"/>
  </sheetPr>
  <dimension ref="A1:CO317"/>
  <sheetViews>
    <sheetView zoomScaleNormal="100" workbookViewId="0">
      <pane xSplit="2" ySplit="6" topLeftCell="C7" activePane="bottomRight" state="frozen"/>
      <selection pane="topRight" activeCell="C1" sqref="C1"/>
      <selection pane="bottomLeft" activeCell="A7" sqref="A7"/>
      <selection pane="bottomRight" activeCell="P83" sqref="P83"/>
    </sheetView>
  </sheetViews>
  <sheetFormatPr baseColWidth="10" defaultColWidth="8.625" defaultRowHeight="15" x14ac:dyDescent="0.25"/>
  <cols>
    <col min="1" max="1" width="8.875" style="335" customWidth="1"/>
    <col min="2" max="2" width="20.375" style="15" bestFit="1" customWidth="1"/>
    <col min="3" max="3" width="15.375" style="329" bestFit="1" customWidth="1"/>
    <col min="4" max="4" width="14" style="15" bestFit="1" customWidth="1"/>
    <col min="5" max="5" width="12.125" style="15" bestFit="1" customWidth="1"/>
    <col min="6" max="6" width="11.25" style="15" bestFit="1" customWidth="1"/>
    <col min="7" max="7" width="18.375" style="362" bestFit="1" customWidth="1"/>
    <col min="8" max="8" width="13.375" style="362" bestFit="1" customWidth="1"/>
    <col min="9" max="9" width="13.875" style="15" customWidth="1"/>
    <col min="10" max="10" width="13" style="15" bestFit="1" customWidth="1"/>
    <col min="11" max="11" width="13.375" style="15" bestFit="1" customWidth="1"/>
    <col min="12" max="12" width="14.25" style="15" bestFit="1" customWidth="1"/>
    <col min="13" max="13" width="15.375" style="15" bestFit="1" customWidth="1"/>
    <col min="14" max="14" width="13" style="15" bestFit="1" customWidth="1"/>
    <col min="15" max="15" width="14" style="15" bestFit="1" customWidth="1"/>
    <col min="16" max="16" width="13" style="15" bestFit="1" customWidth="1"/>
    <col min="17" max="17" width="15.875" style="15" bestFit="1" customWidth="1"/>
    <col min="18" max="18" width="13" style="15" bestFit="1" customWidth="1"/>
    <col min="19" max="19" width="13" style="362" bestFit="1" customWidth="1"/>
    <col min="20" max="20" width="15.375" style="15" bestFit="1" customWidth="1"/>
    <col min="21" max="21" width="12" style="15" customWidth="1"/>
    <col min="22" max="22" width="10.875" style="6" bestFit="1" customWidth="1"/>
    <col min="23" max="23" width="12.125" style="15" bestFit="1" customWidth="1"/>
    <col min="24" max="24" width="11.25" style="15" bestFit="1" customWidth="1"/>
    <col min="25" max="25" width="11.875" style="15" bestFit="1" customWidth="1"/>
    <col min="26" max="26" width="7" style="15" bestFit="1" customWidth="1"/>
    <col min="27" max="27" width="12.5" style="436" bestFit="1" customWidth="1"/>
    <col min="28" max="28" width="11" style="436" bestFit="1" customWidth="1"/>
    <col min="29" max="29" width="8.875" style="436" bestFit="1" customWidth="1"/>
    <col min="30" max="30" width="11" style="436" bestFit="1" customWidth="1"/>
    <col min="31" max="31" width="11.625" style="521" bestFit="1" customWidth="1"/>
    <col min="32" max="32" width="10.75" style="521" bestFit="1" customWidth="1"/>
    <col min="33" max="34" width="7.125" style="521" bestFit="1" customWidth="1"/>
    <col min="35" max="35" width="12.125" style="436" bestFit="1" customWidth="1"/>
    <col min="36" max="36" width="13" style="436" bestFit="1" customWidth="1"/>
    <col min="37" max="38" width="12.125" style="436" bestFit="1" customWidth="1"/>
    <col min="39" max="39" width="8.625" style="436"/>
    <col min="40" max="40" width="9.25" style="436" bestFit="1" customWidth="1"/>
    <col min="41" max="41" width="13" style="436" bestFit="1" customWidth="1"/>
    <col min="42" max="42" width="12.125" style="436" bestFit="1" customWidth="1"/>
    <col min="43" max="43" width="10.625" style="436" bestFit="1" customWidth="1"/>
    <col min="44" max="44" width="4.625" style="436" bestFit="1" customWidth="1"/>
    <col min="45" max="45" width="9.75" style="436" bestFit="1" customWidth="1"/>
    <col min="46" max="46" width="12.125" style="436" bestFit="1" customWidth="1"/>
    <col min="47" max="47" width="9.75" style="436" bestFit="1" customWidth="1"/>
    <col min="48" max="48" width="9.75" style="6" customWidth="1"/>
    <col min="49" max="93" width="8.625" style="436"/>
    <col min="94" max="16384" width="8.625" style="15"/>
  </cols>
  <sheetData>
    <row r="1" spans="1:48" ht="21" x14ac:dyDescent="0.35">
      <c r="A1" s="330" t="s">
        <v>434</v>
      </c>
      <c r="B1" s="319"/>
      <c r="C1" s="320"/>
      <c r="D1" s="319"/>
      <c r="E1" s="319"/>
      <c r="F1" s="319"/>
      <c r="G1" s="319"/>
      <c r="H1" s="319"/>
      <c r="I1" s="319"/>
      <c r="J1" s="319"/>
      <c r="S1" s="319"/>
      <c r="U1" s="336"/>
    </row>
    <row r="2" spans="1:48" ht="21" x14ac:dyDescent="0.35">
      <c r="A2" s="330" t="str">
        <f>Paramètres!B5</f>
        <v>décompte provisoire 2021</v>
      </c>
      <c r="C2" s="321"/>
      <c r="D2" s="321"/>
      <c r="E2" s="321"/>
      <c r="F2" s="321"/>
      <c r="G2" s="321"/>
      <c r="H2" s="321"/>
      <c r="I2" s="321"/>
      <c r="J2" s="321"/>
      <c r="K2" s="321"/>
      <c r="L2" s="321"/>
      <c r="M2" s="321"/>
      <c r="N2" s="321"/>
      <c r="O2" s="321"/>
      <c r="P2" s="321"/>
      <c r="Q2" s="321"/>
      <c r="R2" s="321"/>
      <c r="S2" s="321"/>
      <c r="T2" s="321"/>
      <c r="U2" s="321"/>
      <c r="V2" s="321"/>
      <c r="W2" s="321"/>
      <c r="X2" s="321"/>
      <c r="Y2" s="321"/>
      <c r="Z2" s="321"/>
      <c r="AA2" s="321"/>
      <c r="AB2" s="321"/>
      <c r="AC2" s="321"/>
      <c r="AD2" s="321"/>
      <c r="AE2" s="522"/>
      <c r="AF2" s="522"/>
      <c r="AG2" s="522"/>
      <c r="AH2" s="522"/>
    </row>
    <row r="3" spans="1:48" x14ac:dyDescent="0.25">
      <c r="A3" s="331"/>
      <c r="B3" s="319"/>
      <c r="C3" s="320"/>
      <c r="D3" s="319"/>
      <c r="E3" s="319"/>
      <c r="F3" s="319"/>
      <c r="G3" s="319"/>
      <c r="H3" s="319"/>
      <c r="I3" s="319"/>
      <c r="J3" s="319"/>
      <c r="L3" s="322"/>
      <c r="S3" s="319"/>
      <c r="U3" s="336"/>
    </row>
    <row r="4" spans="1:48" s="323" customFormat="1" ht="38.1" customHeight="1" x14ac:dyDescent="0.2">
      <c r="A4" s="553" t="s">
        <v>46</v>
      </c>
      <c r="B4" s="556" t="s">
        <v>543</v>
      </c>
      <c r="C4" s="551" t="s">
        <v>398</v>
      </c>
      <c r="D4" s="560" t="s">
        <v>399</v>
      </c>
      <c r="E4" s="547" t="s">
        <v>251</v>
      </c>
      <c r="F4" s="547" t="s">
        <v>252</v>
      </c>
      <c r="G4" s="547" t="s">
        <v>521</v>
      </c>
      <c r="H4" s="547" t="s">
        <v>522</v>
      </c>
      <c r="I4" s="547" t="s">
        <v>400</v>
      </c>
      <c r="J4" s="547" t="s">
        <v>371</v>
      </c>
      <c r="K4" s="547" t="s">
        <v>372</v>
      </c>
      <c r="L4" s="547" t="s">
        <v>373</v>
      </c>
      <c r="M4" s="547" t="s">
        <v>189</v>
      </c>
      <c r="N4" s="547" t="s">
        <v>190</v>
      </c>
      <c r="O4" s="547" t="s">
        <v>191</v>
      </c>
      <c r="P4" s="547" t="s">
        <v>192</v>
      </c>
      <c r="Q4" s="547" t="s">
        <v>401</v>
      </c>
      <c r="R4" s="547" t="s">
        <v>193</v>
      </c>
      <c r="S4" s="549" t="s">
        <v>520</v>
      </c>
      <c r="T4" s="547" t="s">
        <v>136</v>
      </c>
      <c r="U4" s="551" t="s">
        <v>77</v>
      </c>
      <c r="V4" s="562" t="s">
        <v>433</v>
      </c>
      <c r="W4" s="547" t="s">
        <v>239</v>
      </c>
      <c r="X4" s="547" t="s">
        <v>240</v>
      </c>
      <c r="Y4" s="547" t="s">
        <v>241</v>
      </c>
      <c r="Z4" s="547" t="s">
        <v>479</v>
      </c>
      <c r="AA4" s="488"/>
      <c r="AB4" s="488"/>
      <c r="AC4" s="488"/>
      <c r="AD4" s="488"/>
      <c r="AE4" s="523"/>
      <c r="AF4" s="523"/>
      <c r="AG4" s="524"/>
      <c r="AH4" s="524"/>
      <c r="AV4" s="451"/>
    </row>
    <row r="5" spans="1:48" s="323" customFormat="1" ht="44.25" customHeight="1" x14ac:dyDescent="0.2">
      <c r="A5" s="554"/>
      <c r="B5" s="557"/>
      <c r="C5" s="552"/>
      <c r="D5" s="561"/>
      <c r="E5" s="548"/>
      <c r="F5" s="548"/>
      <c r="G5" s="548"/>
      <c r="H5" s="548"/>
      <c r="I5" s="548"/>
      <c r="J5" s="548"/>
      <c r="K5" s="548"/>
      <c r="L5" s="548"/>
      <c r="M5" s="548"/>
      <c r="N5" s="548"/>
      <c r="O5" s="548"/>
      <c r="P5" s="548"/>
      <c r="Q5" s="559"/>
      <c r="R5" s="548"/>
      <c r="S5" s="550"/>
      <c r="T5" s="548"/>
      <c r="U5" s="552"/>
      <c r="V5" s="563"/>
      <c r="W5" s="559"/>
      <c r="X5" s="559"/>
      <c r="Y5" s="559"/>
      <c r="Z5" s="559"/>
      <c r="AA5" s="488"/>
      <c r="AB5" s="488"/>
      <c r="AC5" s="488"/>
      <c r="AD5" s="488"/>
      <c r="AE5" s="523"/>
      <c r="AF5" s="523"/>
      <c r="AG5" s="524"/>
      <c r="AH5" s="524"/>
      <c r="AM5" s="452"/>
      <c r="AO5" s="452"/>
      <c r="AV5" s="451"/>
    </row>
    <row r="6" spans="1:48" s="319" customFormat="1" x14ac:dyDescent="0.25">
      <c r="A6" s="555"/>
      <c r="B6" s="558"/>
      <c r="C6" s="337" t="s">
        <v>402</v>
      </c>
      <c r="D6" s="338" t="s">
        <v>403</v>
      </c>
      <c r="E6" s="324" t="s">
        <v>78</v>
      </c>
      <c r="F6" s="324" t="s">
        <v>79</v>
      </c>
      <c r="G6" s="324" t="s">
        <v>404</v>
      </c>
      <c r="H6" s="324" t="s">
        <v>405</v>
      </c>
      <c r="I6" s="324" t="s">
        <v>81</v>
      </c>
      <c r="J6" s="324" t="s">
        <v>82</v>
      </c>
      <c r="K6" s="324" t="s">
        <v>83</v>
      </c>
      <c r="L6" s="324" t="s">
        <v>84</v>
      </c>
      <c r="M6" s="324" t="s">
        <v>85</v>
      </c>
      <c r="N6" s="324" t="s">
        <v>86</v>
      </c>
      <c r="O6" s="324" t="s">
        <v>87</v>
      </c>
      <c r="P6" s="324" t="s">
        <v>88</v>
      </c>
      <c r="Q6" s="548"/>
      <c r="R6" s="324" t="s">
        <v>89</v>
      </c>
      <c r="S6" s="376"/>
      <c r="T6" s="324" t="s">
        <v>90</v>
      </c>
      <c r="U6" s="343">
        <f>+Paramètres!B8</f>
        <v>2021</v>
      </c>
      <c r="V6" s="339">
        <f>+Paramètres!B7</f>
        <v>43099</v>
      </c>
      <c r="W6" s="548"/>
      <c r="X6" s="548"/>
      <c r="Y6" s="559"/>
      <c r="Z6" s="559"/>
      <c r="AA6" s="488"/>
      <c r="AB6" s="488"/>
      <c r="AC6" s="488"/>
      <c r="AD6" s="488"/>
      <c r="AE6" s="523"/>
      <c r="AF6" s="523"/>
      <c r="AG6" s="525"/>
      <c r="AH6" s="525"/>
      <c r="AI6" s="319" t="s">
        <v>297</v>
      </c>
      <c r="AV6" s="5"/>
    </row>
    <row r="7" spans="1:48" x14ac:dyDescent="0.25">
      <c r="A7" s="332">
        <v>5401</v>
      </c>
      <c r="B7" s="459" t="s">
        <v>254</v>
      </c>
      <c r="C7" s="380">
        <v>12422451.02</v>
      </c>
      <c r="D7" s="380">
        <v>2014234.93</v>
      </c>
      <c r="E7" s="380"/>
      <c r="F7" s="518"/>
      <c r="G7" s="382">
        <v>1321441.6000000001</v>
      </c>
      <c r="H7" s="382">
        <v>120642.4</v>
      </c>
      <c r="I7" s="382">
        <v>55943.199999999997</v>
      </c>
      <c r="J7" s="382">
        <v>596061.34</v>
      </c>
      <c r="K7" s="382">
        <v>242822.05</v>
      </c>
      <c r="L7" s="382">
        <v>2208859.85</v>
      </c>
      <c r="M7" s="325">
        <f t="shared" ref="M7:M69" si="0">SUM(C7:L7)</f>
        <v>18982456.390000001</v>
      </c>
      <c r="N7" s="384">
        <v>1208164.8999999999</v>
      </c>
      <c r="O7" s="385">
        <v>410971.7</v>
      </c>
      <c r="P7" s="385">
        <v>1358488.4</v>
      </c>
      <c r="Q7" s="514">
        <v>78593.5</v>
      </c>
      <c r="R7" s="386">
        <v>428650.15</v>
      </c>
      <c r="S7" s="371">
        <v>163333.5</v>
      </c>
      <c r="T7" s="326">
        <f t="shared" ref="T7:T70" si="1">SUM(M7:S7)</f>
        <v>22630658.539999995</v>
      </c>
      <c r="U7" s="388">
        <v>66</v>
      </c>
      <c r="V7" s="391">
        <f>VLOOKUP(B7,'[1]2021'!$C:$D,2,FALSE)</f>
        <v>10828</v>
      </c>
      <c r="W7" s="393">
        <v>-301234.81</v>
      </c>
      <c r="X7" s="443"/>
      <c r="Y7" s="443">
        <v>-9568.57</v>
      </c>
      <c r="Z7" s="446">
        <v>1.2</v>
      </c>
      <c r="AA7" s="484">
        <v>22630658.539999999</v>
      </c>
      <c r="AB7" s="484">
        <v>-301234.81</v>
      </c>
      <c r="AC7" s="484">
        <v>0</v>
      </c>
      <c r="AD7" s="484">
        <v>-9568.57</v>
      </c>
      <c r="AE7" s="526">
        <f>+T7-AA7</f>
        <v>0</v>
      </c>
      <c r="AF7" s="526">
        <f>+AB7-W7</f>
        <v>0</v>
      </c>
      <c r="AG7" s="527">
        <f>+AC7-X7</f>
        <v>0</v>
      </c>
      <c r="AH7" s="527">
        <f>+AD7-Y7</f>
        <v>0</v>
      </c>
      <c r="AI7" s="489">
        <v>10828</v>
      </c>
      <c r="AJ7" s="489">
        <f>+AI7-V7</f>
        <v>0</v>
      </c>
      <c r="AK7" s="489"/>
      <c r="AL7" s="489"/>
      <c r="AM7" s="489"/>
      <c r="AN7" s="489"/>
    </row>
    <row r="8" spans="1:48" x14ac:dyDescent="0.25">
      <c r="A8" s="332">
        <v>5402</v>
      </c>
      <c r="B8" s="459" t="s">
        <v>255</v>
      </c>
      <c r="C8" s="382">
        <v>9504770.8900000006</v>
      </c>
      <c r="D8" s="382">
        <v>1557004.18</v>
      </c>
      <c r="E8" s="380"/>
      <c r="F8" s="518"/>
      <c r="G8" s="382">
        <v>690452.05</v>
      </c>
      <c r="H8" s="382">
        <v>144246.85</v>
      </c>
      <c r="I8" s="382">
        <v>117061.85</v>
      </c>
      <c r="J8" s="382">
        <v>311170.89</v>
      </c>
      <c r="K8" s="382">
        <v>109103.9</v>
      </c>
      <c r="L8" s="382">
        <v>1715893.25</v>
      </c>
      <c r="M8" s="325">
        <f t="shared" si="0"/>
        <v>14149703.860000001</v>
      </c>
      <c r="N8" s="386">
        <v>360746.15</v>
      </c>
      <c r="O8" s="386">
        <v>9093.9</v>
      </c>
      <c r="P8" s="386">
        <v>1061413.8500000001</v>
      </c>
      <c r="Q8" s="386">
        <v>76761.88</v>
      </c>
      <c r="R8" s="386">
        <v>515474.3</v>
      </c>
      <c r="S8" s="371">
        <v>94539.77</v>
      </c>
      <c r="T8" s="439">
        <f t="shared" si="1"/>
        <v>16267733.710000003</v>
      </c>
      <c r="U8" s="387">
        <v>71</v>
      </c>
      <c r="V8" s="390">
        <f>VLOOKUP(B8,'[1]2021'!$C:$D,2,FALSE)</f>
        <v>8063</v>
      </c>
      <c r="W8" s="436">
        <v>-291750.38</v>
      </c>
      <c r="X8" s="442"/>
      <c r="Y8" s="442">
        <v>-3880.84</v>
      </c>
      <c r="Z8" s="447">
        <v>1.25</v>
      </c>
      <c r="AA8" s="484">
        <v>16267733.710000001</v>
      </c>
      <c r="AB8" s="484">
        <v>-291750.38</v>
      </c>
      <c r="AC8" s="484"/>
      <c r="AD8" s="484">
        <v>-3880.84</v>
      </c>
      <c r="AE8" s="526">
        <f t="shared" ref="AE8:AE71" si="2">+T8-AA8</f>
        <v>0</v>
      </c>
      <c r="AF8" s="526">
        <f t="shared" ref="AF8:AF71" si="3">+AB8-W8</f>
        <v>0</v>
      </c>
      <c r="AG8" s="527">
        <f t="shared" ref="AG8:AG71" si="4">+AC8-X8</f>
        <v>0</v>
      </c>
      <c r="AH8" s="527">
        <f t="shared" ref="AH8:AH71" si="5">+AD8-Y8</f>
        <v>0</v>
      </c>
      <c r="AI8" s="489">
        <v>8063</v>
      </c>
      <c r="AJ8" s="489">
        <f t="shared" ref="AJ8:AJ71" si="6">+AI8-V8</f>
        <v>0</v>
      </c>
      <c r="AK8" s="489"/>
      <c r="AL8" s="489"/>
      <c r="AM8" s="489"/>
      <c r="AN8" s="489"/>
    </row>
    <row r="9" spans="1:48" x14ac:dyDescent="0.25">
      <c r="A9" s="332">
        <v>5403</v>
      </c>
      <c r="B9" s="459" t="s">
        <v>110</v>
      </c>
      <c r="C9" s="382">
        <v>561479.42000000004</v>
      </c>
      <c r="D9" s="382">
        <v>92599.49</v>
      </c>
      <c r="E9" s="380"/>
      <c r="F9" s="518"/>
      <c r="G9" s="382">
        <v>105721.5</v>
      </c>
      <c r="H9" s="382">
        <v>1436.95</v>
      </c>
      <c r="I9" s="382"/>
      <c r="J9" s="382">
        <v>38914.879999999997</v>
      </c>
      <c r="K9" s="382">
        <v>7613.8</v>
      </c>
      <c r="L9" s="382">
        <v>89239.7</v>
      </c>
      <c r="M9" s="325">
        <f t="shared" si="0"/>
        <v>897005.74</v>
      </c>
      <c r="N9" s="386">
        <v>5448.25</v>
      </c>
      <c r="O9" s="386">
        <v>9021</v>
      </c>
      <c r="P9" s="386">
        <v>69123.399999999994</v>
      </c>
      <c r="Q9" s="386">
        <v>-631.95000000000005</v>
      </c>
      <c r="R9" s="386">
        <v>-305.2</v>
      </c>
      <c r="S9" s="371">
        <v>12136.99</v>
      </c>
      <c r="T9" s="439">
        <f t="shared" si="1"/>
        <v>991798.2300000001</v>
      </c>
      <c r="U9" s="387">
        <v>74</v>
      </c>
      <c r="V9" s="390">
        <f>VLOOKUP(B9,'[1]2021'!$C:$D,2,FALSE)</f>
        <v>497</v>
      </c>
      <c r="W9" s="436">
        <v>-13826.16</v>
      </c>
      <c r="X9" s="442"/>
      <c r="Y9" s="442">
        <v>0</v>
      </c>
      <c r="Z9" s="447">
        <v>1</v>
      </c>
      <c r="AA9" s="484">
        <v>991798.23</v>
      </c>
      <c r="AB9" s="484">
        <v>-13826.16</v>
      </c>
      <c r="AC9" s="484"/>
      <c r="AD9" s="484">
        <v>0</v>
      </c>
      <c r="AE9" s="526">
        <f t="shared" si="2"/>
        <v>0</v>
      </c>
      <c r="AF9" s="526">
        <f t="shared" si="3"/>
        <v>0</v>
      </c>
      <c r="AG9" s="527">
        <f t="shared" si="4"/>
        <v>0</v>
      </c>
      <c r="AH9" s="527">
        <f t="shared" si="5"/>
        <v>0</v>
      </c>
      <c r="AI9" s="489">
        <v>497</v>
      </c>
      <c r="AJ9" s="489">
        <f t="shared" si="6"/>
        <v>0</v>
      </c>
      <c r="AK9" s="489"/>
      <c r="AL9" s="489"/>
      <c r="AM9" s="489"/>
      <c r="AN9" s="489"/>
    </row>
    <row r="10" spans="1:48" x14ac:dyDescent="0.25">
      <c r="A10" s="332">
        <v>5404</v>
      </c>
      <c r="B10" s="459" t="s">
        <v>111</v>
      </c>
      <c r="C10" s="382">
        <v>619426.31999999995</v>
      </c>
      <c r="D10" s="382">
        <v>140928.51</v>
      </c>
      <c r="E10" s="380"/>
      <c r="F10" s="518"/>
      <c r="G10" s="382">
        <v>273.05</v>
      </c>
      <c r="H10" s="382">
        <v>6621.65</v>
      </c>
      <c r="I10" s="382"/>
      <c r="J10" s="382">
        <v>2548.21</v>
      </c>
      <c r="K10" s="382">
        <v>1699.05</v>
      </c>
      <c r="L10" s="382">
        <v>133133.85</v>
      </c>
      <c r="M10" s="325">
        <f t="shared" si="0"/>
        <v>904630.64</v>
      </c>
      <c r="N10" s="386">
        <v>20708.849999999999</v>
      </c>
      <c r="O10" s="386">
        <v>49601.3</v>
      </c>
      <c r="P10" s="386">
        <v>22659.1</v>
      </c>
      <c r="Q10" s="386"/>
      <c r="R10" s="386">
        <v>24811.85</v>
      </c>
      <c r="S10" s="371">
        <v>780.91</v>
      </c>
      <c r="T10" s="439">
        <f t="shared" si="1"/>
        <v>1023192.65</v>
      </c>
      <c r="U10" s="387">
        <v>74</v>
      </c>
      <c r="V10" s="390">
        <f>VLOOKUP(B10,'[1]2021'!$C:$D,2,FALSE)</f>
        <v>439</v>
      </c>
      <c r="W10" s="436">
        <v>-3920.21</v>
      </c>
      <c r="X10" s="442"/>
      <c r="Y10" s="442">
        <v>-110.6</v>
      </c>
      <c r="Z10" s="447">
        <v>1.5</v>
      </c>
      <c r="AA10" s="484">
        <v>1023192.65</v>
      </c>
      <c r="AB10" s="484">
        <v>-3920.21</v>
      </c>
      <c r="AC10" s="484"/>
      <c r="AD10" s="484">
        <v>-110.6</v>
      </c>
      <c r="AE10" s="526">
        <f t="shared" si="2"/>
        <v>0</v>
      </c>
      <c r="AF10" s="526">
        <f t="shared" si="3"/>
        <v>0</v>
      </c>
      <c r="AG10" s="527">
        <f t="shared" si="4"/>
        <v>0</v>
      </c>
      <c r="AH10" s="527">
        <f t="shared" si="5"/>
        <v>0</v>
      </c>
      <c r="AI10" s="489">
        <v>439</v>
      </c>
      <c r="AJ10" s="489">
        <f t="shared" si="6"/>
        <v>0</v>
      </c>
      <c r="AK10" s="489"/>
      <c r="AL10" s="489"/>
      <c r="AM10" s="489"/>
      <c r="AN10" s="489"/>
    </row>
    <row r="11" spans="1:48" x14ac:dyDescent="0.25">
      <c r="A11" s="332">
        <v>5405</v>
      </c>
      <c r="B11" s="459" t="s">
        <v>112</v>
      </c>
      <c r="C11" s="382">
        <v>2987706.78</v>
      </c>
      <c r="D11" s="382">
        <v>1368999.81</v>
      </c>
      <c r="E11" s="380"/>
      <c r="F11" s="518"/>
      <c r="G11" s="382">
        <v>90253.15</v>
      </c>
      <c r="H11" s="382">
        <v>5021.95</v>
      </c>
      <c r="I11" s="382">
        <v>386758.04</v>
      </c>
      <c r="J11" s="382">
        <v>112374.65</v>
      </c>
      <c r="K11" s="382">
        <v>-747.3</v>
      </c>
      <c r="L11" s="382">
        <v>1205640.6000000001</v>
      </c>
      <c r="M11" s="325">
        <f t="shared" si="0"/>
        <v>6156007.6800000016</v>
      </c>
      <c r="N11" s="386">
        <v>4448.5</v>
      </c>
      <c r="O11" s="514">
        <v>51326.7</v>
      </c>
      <c r="P11" s="514">
        <v>756851.5</v>
      </c>
      <c r="Q11" s="386">
        <v>23617.99</v>
      </c>
      <c r="R11" s="386">
        <v>645085.5</v>
      </c>
      <c r="S11" s="371">
        <v>10791.06</v>
      </c>
      <c r="T11" s="439">
        <f t="shared" si="1"/>
        <v>7648128.9300000016</v>
      </c>
      <c r="U11" s="387">
        <v>73.5</v>
      </c>
      <c r="V11" s="390">
        <f>VLOOKUP(B11,'[1]2021'!$C:$D,2,FALSE)</f>
        <v>1382</v>
      </c>
      <c r="W11" s="436">
        <v>-44847.199999999997</v>
      </c>
      <c r="X11" s="442"/>
      <c r="Y11" s="442">
        <v>-2520.9</v>
      </c>
      <c r="Z11" s="447">
        <v>1.5</v>
      </c>
      <c r="AA11" s="484">
        <v>7648128.9299999997</v>
      </c>
      <c r="AB11" s="484">
        <v>-44847.199999999997</v>
      </c>
      <c r="AC11" s="484"/>
      <c r="AD11" s="484">
        <v>-2520.9</v>
      </c>
      <c r="AE11" s="526">
        <f t="shared" si="2"/>
        <v>0</v>
      </c>
      <c r="AF11" s="526">
        <f t="shared" si="3"/>
        <v>0</v>
      </c>
      <c r="AG11" s="527">
        <f t="shared" si="4"/>
        <v>0</v>
      </c>
      <c r="AH11" s="527">
        <f t="shared" si="5"/>
        <v>0</v>
      </c>
      <c r="AI11" s="489">
        <v>1382</v>
      </c>
      <c r="AJ11" s="489">
        <f t="shared" si="6"/>
        <v>0</v>
      </c>
      <c r="AK11" s="489"/>
      <c r="AL11" s="489"/>
      <c r="AM11" s="489"/>
      <c r="AN11" s="489"/>
    </row>
    <row r="12" spans="1:48" x14ac:dyDescent="0.25">
      <c r="A12" s="332">
        <v>5406</v>
      </c>
      <c r="B12" s="459" t="s">
        <v>113</v>
      </c>
      <c r="C12" s="382">
        <v>1133296.45</v>
      </c>
      <c r="D12" s="382">
        <v>170643.02</v>
      </c>
      <c r="E12" s="380"/>
      <c r="F12" s="518"/>
      <c r="G12" s="382">
        <v>30933</v>
      </c>
      <c r="H12" s="382">
        <v>10633.55</v>
      </c>
      <c r="I12" s="382"/>
      <c r="J12" s="382">
        <v>53070.03</v>
      </c>
      <c r="K12" s="382">
        <v>10325.5</v>
      </c>
      <c r="L12" s="382">
        <v>203746.2</v>
      </c>
      <c r="M12" s="325">
        <f t="shared" si="0"/>
        <v>1612647.75</v>
      </c>
      <c r="N12" s="386">
        <v>1948.95</v>
      </c>
      <c r="O12" s="386">
        <v>11382</v>
      </c>
      <c r="P12" s="386">
        <v>81126.600000000006</v>
      </c>
      <c r="Q12" s="386">
        <v>528.94000000000005</v>
      </c>
      <c r="R12" s="386">
        <v>7487.45</v>
      </c>
      <c r="S12" s="371">
        <v>4707.92</v>
      </c>
      <c r="T12" s="439">
        <f t="shared" si="1"/>
        <v>1719829.6099999999</v>
      </c>
      <c r="U12" s="387">
        <v>71.5</v>
      </c>
      <c r="V12" s="390">
        <f>VLOOKUP(B12,'[1]2021'!$C:$D,2,FALSE)</f>
        <v>966</v>
      </c>
      <c r="W12" s="436">
        <v>-32622.91</v>
      </c>
      <c r="X12" s="442"/>
      <c r="Y12" s="442">
        <v>-5.0599999999999996</v>
      </c>
      <c r="Z12" s="447">
        <v>1.3</v>
      </c>
      <c r="AA12" s="484">
        <v>1719829.61</v>
      </c>
      <c r="AB12" s="484">
        <v>-32622.91</v>
      </c>
      <c r="AC12" s="484"/>
      <c r="AD12" s="484">
        <v>-5.0599999999999996</v>
      </c>
      <c r="AE12" s="526">
        <f t="shared" si="2"/>
        <v>0</v>
      </c>
      <c r="AF12" s="526">
        <f t="shared" si="3"/>
        <v>0</v>
      </c>
      <c r="AG12" s="527">
        <f t="shared" si="4"/>
        <v>0</v>
      </c>
      <c r="AH12" s="527">
        <f t="shared" si="5"/>
        <v>0</v>
      </c>
      <c r="AI12" s="489">
        <v>966</v>
      </c>
      <c r="AJ12" s="489">
        <f t="shared" si="6"/>
        <v>0</v>
      </c>
      <c r="AK12" s="489"/>
      <c r="AL12" s="489"/>
      <c r="AM12" s="489"/>
      <c r="AN12" s="489"/>
    </row>
    <row r="13" spans="1:48" x14ac:dyDescent="0.25">
      <c r="A13" s="332">
        <v>5407</v>
      </c>
      <c r="B13" s="459" t="s">
        <v>114</v>
      </c>
      <c r="C13" s="382">
        <v>4270722.7699999996</v>
      </c>
      <c r="D13" s="382">
        <v>1063755.97</v>
      </c>
      <c r="E13" s="380"/>
      <c r="F13" s="518"/>
      <c r="G13" s="382">
        <v>97531.85</v>
      </c>
      <c r="H13" s="382">
        <v>126084.6</v>
      </c>
      <c r="I13" s="382">
        <v>211498.75</v>
      </c>
      <c r="J13" s="382">
        <v>456345.87</v>
      </c>
      <c r="K13" s="382">
        <v>56260.45</v>
      </c>
      <c r="L13" s="382">
        <v>1273794.1000000001</v>
      </c>
      <c r="M13" s="325">
        <f t="shared" si="0"/>
        <v>7555994.3599999994</v>
      </c>
      <c r="N13" s="386">
        <v>85323.25</v>
      </c>
      <c r="O13" s="386">
        <v>260687.7</v>
      </c>
      <c r="P13" s="386">
        <v>500748.79999999999</v>
      </c>
      <c r="Q13" s="386">
        <v>11033.17</v>
      </c>
      <c r="R13" s="386">
        <v>341066.9</v>
      </c>
      <c r="S13" s="371">
        <v>25327.27</v>
      </c>
      <c r="T13" s="439">
        <f t="shared" si="1"/>
        <v>8780181.4499999993</v>
      </c>
      <c r="U13" s="387">
        <v>78</v>
      </c>
      <c r="V13" s="390">
        <f>VLOOKUP(B13,'[1]2021'!$C:$D,2,FALSE)</f>
        <v>3637</v>
      </c>
      <c r="W13" s="436">
        <v>-89906.13</v>
      </c>
      <c r="X13" s="442"/>
      <c r="Y13" s="442">
        <v>-4230.0200000000004</v>
      </c>
      <c r="Z13" s="447">
        <v>1.5</v>
      </c>
      <c r="AA13" s="484">
        <v>8780181.4499999993</v>
      </c>
      <c r="AB13" s="484">
        <v>-89906.13</v>
      </c>
      <c r="AC13" s="484"/>
      <c r="AD13" s="484">
        <v>-4230.0200000000004</v>
      </c>
      <c r="AE13" s="526">
        <f t="shared" si="2"/>
        <v>0</v>
      </c>
      <c r="AF13" s="526">
        <f t="shared" si="3"/>
        <v>0</v>
      </c>
      <c r="AG13" s="527">
        <f t="shared" si="4"/>
        <v>0</v>
      </c>
      <c r="AH13" s="527">
        <f t="shared" si="5"/>
        <v>0</v>
      </c>
      <c r="AI13" s="489">
        <v>3637</v>
      </c>
      <c r="AJ13" s="489">
        <f t="shared" si="6"/>
        <v>0</v>
      </c>
      <c r="AK13" s="489"/>
      <c r="AL13" s="489"/>
      <c r="AM13" s="489"/>
      <c r="AN13" s="489"/>
    </row>
    <row r="14" spans="1:48" x14ac:dyDescent="0.25">
      <c r="A14" s="332">
        <v>5408</v>
      </c>
      <c r="B14" s="459" t="s">
        <v>115</v>
      </c>
      <c r="C14" s="382">
        <v>2238809.2200000002</v>
      </c>
      <c r="D14" s="382">
        <v>344695.73</v>
      </c>
      <c r="E14" s="380"/>
      <c r="F14" s="518"/>
      <c r="G14" s="382">
        <v>212558.7</v>
      </c>
      <c r="H14" s="382">
        <v>28951.35</v>
      </c>
      <c r="I14" s="382"/>
      <c r="J14" s="382">
        <v>58629.81</v>
      </c>
      <c r="K14" s="382">
        <v>25719.3</v>
      </c>
      <c r="L14" s="382">
        <v>518029.6</v>
      </c>
      <c r="M14" s="325">
        <f t="shared" si="0"/>
        <v>3427393.7100000004</v>
      </c>
      <c r="N14" s="386">
        <v>139810.25</v>
      </c>
      <c r="O14" s="386"/>
      <c r="P14" s="386">
        <v>378889</v>
      </c>
      <c r="Q14" s="386">
        <v>548.74</v>
      </c>
      <c r="R14" s="386">
        <v>65793.05</v>
      </c>
      <c r="S14" s="371">
        <v>27353.94</v>
      </c>
      <c r="T14" s="439">
        <f t="shared" si="1"/>
        <v>4039788.6900000004</v>
      </c>
      <c r="U14" s="387">
        <v>78.5</v>
      </c>
      <c r="V14" s="390">
        <f>VLOOKUP(B14,'[1]2021'!$C:$D,2,FALSE)</f>
        <v>1169</v>
      </c>
      <c r="W14" s="436">
        <v>-33424.71</v>
      </c>
      <c r="X14" s="442"/>
      <c r="Y14" s="442">
        <v>-123.9</v>
      </c>
      <c r="Z14" s="447">
        <v>1.5</v>
      </c>
      <c r="AA14" s="484">
        <v>4039788.69</v>
      </c>
      <c r="AB14" s="484">
        <v>-33424.71</v>
      </c>
      <c r="AC14" s="484"/>
      <c r="AD14" s="484">
        <v>-123.9</v>
      </c>
      <c r="AE14" s="526">
        <f t="shared" si="2"/>
        <v>0</v>
      </c>
      <c r="AF14" s="526">
        <f t="shared" si="3"/>
        <v>0</v>
      </c>
      <c r="AG14" s="527">
        <f t="shared" si="4"/>
        <v>0</v>
      </c>
      <c r="AH14" s="527">
        <f t="shared" si="5"/>
        <v>0</v>
      </c>
      <c r="AI14" s="489">
        <v>1169</v>
      </c>
      <c r="AJ14" s="489">
        <f t="shared" si="6"/>
        <v>0</v>
      </c>
      <c r="AK14" s="489"/>
      <c r="AL14" s="489"/>
      <c r="AM14" s="489"/>
      <c r="AN14" s="489"/>
    </row>
    <row r="15" spans="1:48" x14ac:dyDescent="0.25">
      <c r="A15" s="332">
        <v>5409</v>
      </c>
      <c r="B15" s="459" t="s">
        <v>116</v>
      </c>
      <c r="C15" s="382">
        <v>15221501.82</v>
      </c>
      <c r="D15" s="382">
        <v>6786359.1200000001</v>
      </c>
      <c r="E15" s="380"/>
      <c r="F15" s="518"/>
      <c r="G15" s="382">
        <v>680316.1</v>
      </c>
      <c r="H15" s="382">
        <v>95595.05</v>
      </c>
      <c r="I15" s="382">
        <v>2580549.39</v>
      </c>
      <c r="J15" s="382">
        <v>665284.18000000005</v>
      </c>
      <c r="K15" s="382">
        <v>76424.5</v>
      </c>
      <c r="L15" s="382">
        <v>4155077.85</v>
      </c>
      <c r="M15" s="325">
        <f t="shared" si="0"/>
        <v>30261108.010000005</v>
      </c>
      <c r="N15" s="386">
        <v>83657.55</v>
      </c>
      <c r="O15" s="386">
        <v>3308119.65</v>
      </c>
      <c r="P15" s="386">
        <v>2981009.85</v>
      </c>
      <c r="Q15" s="386">
        <v>258393.78</v>
      </c>
      <c r="R15" s="386">
        <v>1526736</v>
      </c>
      <c r="S15" s="371">
        <v>87881.35</v>
      </c>
      <c r="T15" s="439">
        <f t="shared" si="1"/>
        <v>38506906.190000013</v>
      </c>
      <c r="U15" s="387">
        <v>68</v>
      </c>
      <c r="V15" s="390">
        <f>VLOOKUP(B15,'[1]2021'!$C:$D,2,FALSE)</f>
        <v>7904</v>
      </c>
      <c r="W15" s="436">
        <v>-491179.55</v>
      </c>
      <c r="X15" s="442"/>
      <c r="Y15" s="442">
        <v>-35458.14</v>
      </c>
      <c r="Z15" s="447">
        <v>1.3</v>
      </c>
      <c r="AA15" s="484">
        <v>38506906.189999998</v>
      </c>
      <c r="AB15" s="484">
        <v>-491179.55</v>
      </c>
      <c r="AC15" s="484"/>
      <c r="AD15" s="484">
        <v>-35458.14</v>
      </c>
      <c r="AE15" s="526">
        <f t="shared" si="2"/>
        <v>0</v>
      </c>
      <c r="AF15" s="526">
        <f t="shared" si="3"/>
        <v>0</v>
      </c>
      <c r="AG15" s="527">
        <f t="shared" si="4"/>
        <v>0</v>
      </c>
      <c r="AH15" s="527">
        <f t="shared" si="5"/>
        <v>0</v>
      </c>
      <c r="AI15" s="489">
        <v>7904</v>
      </c>
      <c r="AJ15" s="489">
        <f t="shared" si="6"/>
        <v>0</v>
      </c>
      <c r="AK15" s="489"/>
      <c r="AL15" s="489"/>
      <c r="AM15" s="489"/>
      <c r="AN15" s="489"/>
    </row>
    <row r="16" spans="1:48" x14ac:dyDescent="0.25">
      <c r="A16" s="332">
        <v>5410</v>
      </c>
      <c r="B16" s="459" t="s">
        <v>128</v>
      </c>
      <c r="C16" s="382">
        <v>1826918.67</v>
      </c>
      <c r="D16" s="382">
        <v>597142.54</v>
      </c>
      <c r="E16" s="380"/>
      <c r="F16" s="518"/>
      <c r="G16" s="382">
        <v>28854.3</v>
      </c>
      <c r="H16" s="382">
        <v>3703.1</v>
      </c>
      <c r="I16" s="382"/>
      <c r="J16" s="382">
        <v>57273.55</v>
      </c>
      <c r="K16" s="382">
        <v>12013.85</v>
      </c>
      <c r="L16" s="382">
        <v>588981.6</v>
      </c>
      <c r="M16" s="325">
        <f t="shared" si="0"/>
        <v>3114887.61</v>
      </c>
      <c r="N16" s="386">
        <v>13127.75</v>
      </c>
      <c r="O16" s="386">
        <v>209907.6</v>
      </c>
      <c r="P16" s="386">
        <v>222863.15</v>
      </c>
      <c r="Q16" s="386">
        <v>68947.58</v>
      </c>
      <c r="R16" s="386">
        <v>217531.4</v>
      </c>
      <c r="S16" s="371">
        <v>3687.52</v>
      </c>
      <c r="T16" s="439">
        <f t="shared" si="1"/>
        <v>3850952.61</v>
      </c>
      <c r="U16" s="387">
        <v>77</v>
      </c>
      <c r="V16" s="390">
        <f>VLOOKUP(B16,'[1]2021'!$C:$D,2,FALSE)</f>
        <v>1162</v>
      </c>
      <c r="W16" s="436">
        <v>-18212.55</v>
      </c>
      <c r="X16" s="442"/>
      <c r="Y16" s="442">
        <v>-228.16</v>
      </c>
      <c r="Z16" s="447">
        <v>1.5</v>
      </c>
      <c r="AA16" s="484">
        <v>3850952.61</v>
      </c>
      <c r="AB16" s="484">
        <v>-18212.55</v>
      </c>
      <c r="AC16" s="484"/>
      <c r="AD16" s="484">
        <v>-228.16</v>
      </c>
      <c r="AE16" s="526">
        <f t="shared" si="2"/>
        <v>0</v>
      </c>
      <c r="AF16" s="526">
        <f t="shared" si="3"/>
        <v>0</v>
      </c>
      <c r="AG16" s="527">
        <f t="shared" si="4"/>
        <v>0</v>
      </c>
      <c r="AH16" s="527">
        <f t="shared" si="5"/>
        <v>0</v>
      </c>
      <c r="AI16" s="489">
        <v>1162</v>
      </c>
      <c r="AJ16" s="489">
        <f t="shared" si="6"/>
        <v>0</v>
      </c>
      <c r="AK16" s="489"/>
      <c r="AL16" s="489"/>
      <c r="AM16" s="489"/>
      <c r="AN16" s="489"/>
    </row>
    <row r="17" spans="1:40" x14ac:dyDescent="0.25">
      <c r="A17" s="332">
        <v>5411</v>
      </c>
      <c r="B17" s="459" t="s">
        <v>129</v>
      </c>
      <c r="C17" s="382">
        <v>3282407.15</v>
      </c>
      <c r="D17" s="382">
        <v>1412427.06</v>
      </c>
      <c r="E17" s="380"/>
      <c r="F17" s="518"/>
      <c r="G17" s="382">
        <v>83187.75</v>
      </c>
      <c r="H17" s="382">
        <v>21352.55</v>
      </c>
      <c r="I17" s="382">
        <v>118306.4</v>
      </c>
      <c r="J17" s="382">
        <v>142093.76999999999</v>
      </c>
      <c r="K17" s="382">
        <v>14419.25</v>
      </c>
      <c r="L17" s="382">
        <v>1273088.8999999999</v>
      </c>
      <c r="M17" s="325">
        <f t="shared" si="0"/>
        <v>6347282.8300000001</v>
      </c>
      <c r="N17" s="386">
        <v>8538.2000000000007</v>
      </c>
      <c r="O17" s="386">
        <v>46659.6</v>
      </c>
      <c r="P17" s="386">
        <v>527910.9</v>
      </c>
      <c r="Q17" s="386">
        <v>5781.12</v>
      </c>
      <c r="R17" s="386">
        <v>451099.35</v>
      </c>
      <c r="S17" s="371">
        <v>11840.46</v>
      </c>
      <c r="T17" s="439">
        <f t="shared" si="1"/>
        <v>7399112.46</v>
      </c>
      <c r="U17" s="387">
        <v>76</v>
      </c>
      <c r="V17" s="390">
        <f>VLOOKUP(B17,'[1]2021'!$C:$D,2,FALSE)</f>
        <v>1451</v>
      </c>
      <c r="W17" s="436">
        <v>-53846.27</v>
      </c>
      <c r="X17" s="442"/>
      <c r="Y17" s="442">
        <v>-3427.92</v>
      </c>
      <c r="Z17" s="447">
        <v>1.5</v>
      </c>
      <c r="AA17" s="520">
        <v>7399112.46</v>
      </c>
      <c r="AB17" s="484">
        <v>-53846.27</v>
      </c>
      <c r="AC17" s="484"/>
      <c r="AD17" s="484">
        <v>-3427.92</v>
      </c>
      <c r="AE17" s="526">
        <f t="shared" si="2"/>
        <v>0</v>
      </c>
      <c r="AF17" s="526">
        <f t="shared" si="3"/>
        <v>0</v>
      </c>
      <c r="AG17" s="527">
        <f t="shared" si="4"/>
        <v>0</v>
      </c>
      <c r="AH17" s="527">
        <f t="shared" si="5"/>
        <v>0</v>
      </c>
      <c r="AI17" s="489">
        <v>1451</v>
      </c>
      <c r="AJ17" s="489">
        <f t="shared" si="6"/>
        <v>0</v>
      </c>
      <c r="AK17" s="489"/>
      <c r="AL17" s="489"/>
      <c r="AM17" s="489"/>
      <c r="AN17" s="489"/>
    </row>
    <row r="18" spans="1:40" x14ac:dyDescent="0.25">
      <c r="A18" s="332">
        <v>5412</v>
      </c>
      <c r="B18" s="459" t="s">
        <v>130</v>
      </c>
      <c r="C18" s="382">
        <v>1179470.7</v>
      </c>
      <c r="D18" s="382">
        <v>143282.57999999999</v>
      </c>
      <c r="E18" s="380"/>
      <c r="F18" s="518"/>
      <c r="G18" s="382">
        <v>173237.2</v>
      </c>
      <c r="H18" s="382">
        <v>9813.9</v>
      </c>
      <c r="I18" s="382"/>
      <c r="J18" s="382">
        <v>92707.5</v>
      </c>
      <c r="K18" s="382">
        <v>48156.45</v>
      </c>
      <c r="L18" s="382">
        <v>352477.6</v>
      </c>
      <c r="M18" s="325">
        <f t="shared" si="0"/>
        <v>1999145.9299999997</v>
      </c>
      <c r="N18" s="386">
        <v>939726.85</v>
      </c>
      <c r="O18" s="386"/>
      <c r="P18" s="386">
        <v>72356.100000000006</v>
      </c>
      <c r="Q18" s="386">
        <v>266.27999999999997</v>
      </c>
      <c r="R18" s="386">
        <v>50258.15</v>
      </c>
      <c r="S18" s="371">
        <v>20732.759999999998</v>
      </c>
      <c r="T18" s="439">
        <f t="shared" si="1"/>
        <v>3082486.0699999994</v>
      </c>
      <c r="U18" s="387">
        <v>69</v>
      </c>
      <c r="V18" s="390">
        <f>VLOOKUP(B18,'[1]2021'!$C:$D,2,FALSE)</f>
        <v>883</v>
      </c>
      <c r="W18" s="436">
        <v>-27629.17</v>
      </c>
      <c r="X18" s="442"/>
      <c r="Y18" s="442">
        <v>-71.84</v>
      </c>
      <c r="Z18" s="447">
        <v>1</v>
      </c>
      <c r="AA18" s="484">
        <v>3082486.07</v>
      </c>
      <c r="AB18" s="484">
        <v>-27629.17</v>
      </c>
      <c r="AC18" s="484"/>
      <c r="AD18" s="484">
        <v>-71.84</v>
      </c>
      <c r="AE18" s="526">
        <f t="shared" si="2"/>
        <v>0</v>
      </c>
      <c r="AF18" s="526">
        <f t="shared" si="3"/>
        <v>0</v>
      </c>
      <c r="AG18" s="527">
        <f t="shared" si="4"/>
        <v>0</v>
      </c>
      <c r="AH18" s="527">
        <f t="shared" si="5"/>
        <v>0</v>
      </c>
      <c r="AI18" s="489">
        <v>883</v>
      </c>
      <c r="AJ18" s="489">
        <f t="shared" si="6"/>
        <v>0</v>
      </c>
      <c r="AK18" s="489"/>
      <c r="AL18" s="489"/>
      <c r="AM18" s="489"/>
      <c r="AN18" s="489"/>
    </row>
    <row r="19" spans="1:40" x14ac:dyDescent="0.25">
      <c r="A19" s="332">
        <v>5413</v>
      </c>
      <c r="B19" s="459" t="s">
        <v>131</v>
      </c>
      <c r="C19" s="382">
        <v>2251085.61</v>
      </c>
      <c r="D19" s="382">
        <v>191822.61</v>
      </c>
      <c r="E19" s="380"/>
      <c r="F19" s="518"/>
      <c r="G19" s="382">
        <v>128199.75</v>
      </c>
      <c r="H19" s="382">
        <v>7631.15</v>
      </c>
      <c r="I19" s="382"/>
      <c r="J19" s="382">
        <v>79364.179999999993</v>
      </c>
      <c r="K19" s="382">
        <v>33412.050000000003</v>
      </c>
      <c r="L19" s="382">
        <v>341588.85</v>
      </c>
      <c r="M19" s="325">
        <f t="shared" si="0"/>
        <v>3033104.1999999997</v>
      </c>
      <c r="N19" s="386">
        <v>228687.95</v>
      </c>
      <c r="O19" s="386">
        <v>675121.8</v>
      </c>
      <c r="P19" s="386">
        <v>130658.45</v>
      </c>
      <c r="Q19" s="386">
        <v>14864.84</v>
      </c>
      <c r="R19" s="386">
        <v>59414.85</v>
      </c>
      <c r="S19" s="371">
        <v>15384.5</v>
      </c>
      <c r="T19" s="439">
        <f t="shared" si="1"/>
        <v>4157236.5900000003</v>
      </c>
      <c r="U19" s="387">
        <v>68</v>
      </c>
      <c r="V19" s="390">
        <f>VLOOKUP(B19,'[1]2021'!$C:$D,2,FALSE)</f>
        <v>1874</v>
      </c>
      <c r="W19" s="436">
        <v>-72050.83</v>
      </c>
      <c r="X19" s="442"/>
      <c r="Y19" s="442">
        <v>-270.43</v>
      </c>
      <c r="Z19" s="447">
        <v>1.2</v>
      </c>
      <c r="AA19" s="484">
        <v>4157236.59</v>
      </c>
      <c r="AB19" s="484">
        <v>-72050.83</v>
      </c>
      <c r="AC19" s="484"/>
      <c r="AD19" s="484">
        <v>-270.43</v>
      </c>
      <c r="AE19" s="526">
        <f t="shared" si="2"/>
        <v>0</v>
      </c>
      <c r="AF19" s="526">
        <f t="shared" si="3"/>
        <v>0</v>
      </c>
      <c r="AG19" s="527">
        <f t="shared" si="4"/>
        <v>0</v>
      </c>
      <c r="AH19" s="527">
        <f t="shared" si="5"/>
        <v>0</v>
      </c>
      <c r="AI19" s="489">
        <v>1874</v>
      </c>
      <c r="AJ19" s="489">
        <f t="shared" si="6"/>
        <v>0</v>
      </c>
      <c r="AK19" s="489"/>
      <c r="AL19" s="489"/>
      <c r="AM19" s="489"/>
      <c r="AN19" s="489"/>
    </row>
    <row r="20" spans="1:40" x14ac:dyDescent="0.25">
      <c r="A20" s="332">
        <v>5414</v>
      </c>
      <c r="B20" s="459" t="s">
        <v>132</v>
      </c>
      <c r="C20" s="382">
        <v>7586340.4699999997</v>
      </c>
      <c r="D20" s="382">
        <v>1389159.9</v>
      </c>
      <c r="E20" s="380"/>
      <c r="F20" s="518"/>
      <c r="G20" s="382">
        <v>1119346.3500000001</v>
      </c>
      <c r="H20" s="382">
        <v>617167.65</v>
      </c>
      <c r="I20" s="382">
        <v>105516.83</v>
      </c>
      <c r="J20" s="382">
        <v>287772.21000000002</v>
      </c>
      <c r="K20" s="382">
        <v>166580.79999999999</v>
      </c>
      <c r="L20" s="382">
        <v>1279790.05</v>
      </c>
      <c r="M20" s="325">
        <f t="shared" si="0"/>
        <v>12551674.260000002</v>
      </c>
      <c r="N20" s="386">
        <v>1493353.75</v>
      </c>
      <c r="O20" s="386">
        <v>383509.6</v>
      </c>
      <c r="P20" s="386">
        <v>790753.4</v>
      </c>
      <c r="Q20" s="386">
        <v>48284.82</v>
      </c>
      <c r="R20" s="386">
        <v>513080.9</v>
      </c>
      <c r="S20" s="371">
        <v>196681.27</v>
      </c>
      <c r="T20" s="439">
        <f t="shared" si="1"/>
        <v>15977338.000000002</v>
      </c>
      <c r="U20" s="387">
        <v>67.5</v>
      </c>
      <c r="V20" s="390">
        <f>VLOOKUP(B20,'[1]2021'!$C:$D,2,FALSE)</f>
        <v>5921</v>
      </c>
      <c r="W20" s="436">
        <v>-256999.15</v>
      </c>
      <c r="X20" s="442"/>
      <c r="Y20" s="442">
        <v>-4067.22</v>
      </c>
      <c r="Z20" s="447">
        <v>1</v>
      </c>
      <c r="AA20" s="484">
        <v>15977338</v>
      </c>
      <c r="AB20" s="484">
        <v>-256999.15</v>
      </c>
      <c r="AC20" s="484"/>
      <c r="AD20" s="484">
        <v>-4067.22</v>
      </c>
      <c r="AE20" s="526">
        <f t="shared" si="2"/>
        <v>0</v>
      </c>
      <c r="AF20" s="526">
        <f t="shared" si="3"/>
        <v>0</v>
      </c>
      <c r="AG20" s="527">
        <f t="shared" si="4"/>
        <v>0</v>
      </c>
      <c r="AH20" s="527">
        <f t="shared" si="5"/>
        <v>0</v>
      </c>
      <c r="AI20" s="489">
        <v>5921</v>
      </c>
      <c r="AJ20" s="489">
        <f t="shared" si="6"/>
        <v>0</v>
      </c>
      <c r="AK20" s="489"/>
      <c r="AL20" s="489"/>
      <c r="AM20" s="489"/>
      <c r="AN20" s="489"/>
    </row>
    <row r="21" spans="1:40" x14ac:dyDescent="0.25">
      <c r="A21" s="332">
        <v>5415</v>
      </c>
      <c r="B21" s="459" t="s">
        <v>71</v>
      </c>
      <c r="C21" s="382">
        <v>1780737.35</v>
      </c>
      <c r="D21" s="382">
        <v>357400.28</v>
      </c>
      <c r="E21" s="380"/>
      <c r="F21" s="518"/>
      <c r="G21" s="382">
        <v>112040.2</v>
      </c>
      <c r="H21" s="382">
        <v>4793.6000000000004</v>
      </c>
      <c r="I21" s="382">
        <v>2064.5</v>
      </c>
      <c r="J21" s="382">
        <v>54660.11</v>
      </c>
      <c r="K21" s="382">
        <v>12842.7</v>
      </c>
      <c r="L21" s="382">
        <v>355676.05</v>
      </c>
      <c r="M21" s="325">
        <f t="shared" si="0"/>
        <v>2680214.79</v>
      </c>
      <c r="N21" s="386">
        <v>34692.85</v>
      </c>
      <c r="O21" s="386">
        <v>187794.7</v>
      </c>
      <c r="P21" s="386">
        <v>171774.5</v>
      </c>
      <c r="Q21" s="386">
        <v>7899.57</v>
      </c>
      <c r="R21" s="386">
        <v>187309.7</v>
      </c>
      <c r="S21" s="371">
        <v>13232.84</v>
      </c>
      <c r="T21" s="439">
        <f t="shared" si="1"/>
        <v>3282918.95</v>
      </c>
      <c r="U21" s="387">
        <v>71.5</v>
      </c>
      <c r="V21" s="390">
        <f>VLOOKUP(B21,'[1]2021'!$C:$D,2,FALSE)</f>
        <v>1038</v>
      </c>
      <c r="W21" s="436">
        <v>-15188.45</v>
      </c>
      <c r="X21" s="442"/>
      <c r="Y21" s="442">
        <v>-15.43</v>
      </c>
      <c r="Z21" s="447">
        <v>1.5</v>
      </c>
      <c r="AA21" s="484">
        <v>3282918.95</v>
      </c>
      <c r="AB21" s="484">
        <v>-15188.45</v>
      </c>
      <c r="AC21" s="484"/>
      <c r="AD21" s="484">
        <v>-15.43</v>
      </c>
      <c r="AE21" s="526">
        <f t="shared" si="2"/>
        <v>0</v>
      </c>
      <c r="AF21" s="526">
        <f t="shared" si="3"/>
        <v>0</v>
      </c>
      <c r="AG21" s="527">
        <f t="shared" si="4"/>
        <v>0</v>
      </c>
      <c r="AH21" s="527">
        <f t="shared" si="5"/>
        <v>0</v>
      </c>
      <c r="AI21" s="489">
        <v>1038</v>
      </c>
      <c r="AJ21" s="489">
        <f t="shared" si="6"/>
        <v>0</v>
      </c>
      <c r="AK21" s="489"/>
      <c r="AL21" s="489"/>
      <c r="AM21" s="489"/>
      <c r="AN21" s="489"/>
    </row>
    <row r="22" spans="1:40" x14ac:dyDescent="0.25">
      <c r="A22" s="332">
        <v>5421</v>
      </c>
      <c r="B22" s="459" t="s">
        <v>72</v>
      </c>
      <c r="C22" s="513">
        <v>3659734.47</v>
      </c>
      <c r="D22" s="382">
        <v>755278.06</v>
      </c>
      <c r="E22" s="380"/>
      <c r="F22" s="518"/>
      <c r="G22" s="382">
        <v>70160.850000000006</v>
      </c>
      <c r="H22" s="382">
        <v>-1965.05</v>
      </c>
      <c r="I22" s="382">
        <v>67515.199999999997</v>
      </c>
      <c r="J22" s="382">
        <v>248770.09</v>
      </c>
      <c r="K22" s="382">
        <v>12159.5</v>
      </c>
      <c r="L22" s="382">
        <v>304550.09999999998</v>
      </c>
      <c r="M22" s="325">
        <f t="shared" si="0"/>
        <v>5116203.22</v>
      </c>
      <c r="N22" s="386">
        <v>45116.9</v>
      </c>
      <c r="O22" s="386">
        <v>327824</v>
      </c>
      <c r="P22" s="386">
        <v>277414.15000000002</v>
      </c>
      <c r="Q22" s="386">
        <v>481.99</v>
      </c>
      <c r="R22" s="386">
        <v>220334.4</v>
      </c>
      <c r="S22" s="371">
        <v>7724</v>
      </c>
      <c r="T22" s="439">
        <f t="shared" si="1"/>
        <v>5995098.6600000011</v>
      </c>
      <c r="U22" s="387">
        <v>74</v>
      </c>
      <c r="V22" s="390">
        <v>1469</v>
      </c>
      <c r="W22" s="436">
        <v>-47532.639999999999</v>
      </c>
      <c r="X22" s="442"/>
      <c r="Y22" s="442">
        <v>-5534.6</v>
      </c>
      <c r="Z22" s="447">
        <v>1</v>
      </c>
      <c r="AA22" s="484">
        <v>5995098.6600000001</v>
      </c>
      <c r="AB22" s="484">
        <v>-47532.639999999999</v>
      </c>
      <c r="AC22" s="484"/>
      <c r="AD22" s="484">
        <v>-5534.6</v>
      </c>
      <c r="AE22" s="526">
        <f t="shared" si="2"/>
        <v>0</v>
      </c>
      <c r="AF22" s="526">
        <f t="shared" si="3"/>
        <v>0</v>
      </c>
      <c r="AG22" s="527">
        <f t="shared" si="4"/>
        <v>0</v>
      </c>
      <c r="AH22" s="527">
        <f t="shared" si="5"/>
        <v>0</v>
      </c>
      <c r="AI22" s="489">
        <v>1469</v>
      </c>
      <c r="AJ22" s="489">
        <f t="shared" si="6"/>
        <v>0</v>
      </c>
      <c r="AK22" s="489"/>
      <c r="AL22" s="489"/>
      <c r="AM22" s="489"/>
      <c r="AN22" s="489"/>
    </row>
    <row r="23" spans="1:40" x14ac:dyDescent="0.25">
      <c r="A23" s="332">
        <v>5422</v>
      </c>
      <c r="B23" s="459" t="s">
        <v>73</v>
      </c>
      <c r="C23" s="382">
        <v>10262114.060000001</v>
      </c>
      <c r="D23" s="382">
        <v>1587644.92</v>
      </c>
      <c r="E23" s="380"/>
      <c r="F23" s="518"/>
      <c r="G23" s="382">
        <v>10700136.550000001</v>
      </c>
      <c r="H23" s="382">
        <v>237262.6</v>
      </c>
      <c r="I23" s="382">
        <v>213869.35</v>
      </c>
      <c r="J23" s="382">
        <v>355439.33</v>
      </c>
      <c r="K23" s="382">
        <v>133262.20000000001</v>
      </c>
      <c r="L23" s="382">
        <v>1109072.3700000001</v>
      </c>
      <c r="M23" s="325">
        <f t="shared" si="0"/>
        <v>24598801.380000003</v>
      </c>
      <c r="N23" s="386">
        <v>962173.15</v>
      </c>
      <c r="O23" s="514">
        <v>889968.1</v>
      </c>
      <c r="P23" s="514">
        <v>346638.6</v>
      </c>
      <c r="Q23" s="386">
        <v>11849.31</v>
      </c>
      <c r="R23" s="386">
        <v>227086.8</v>
      </c>
      <c r="S23" s="371">
        <v>1238793.07</v>
      </c>
      <c r="T23" s="439">
        <f t="shared" si="1"/>
        <v>28275310.410000004</v>
      </c>
      <c r="U23" s="387">
        <v>70</v>
      </c>
      <c r="V23" s="390">
        <f>VLOOKUP(B23,'[1]2021'!$C:$D,2,FALSE)</f>
        <v>3781</v>
      </c>
      <c r="W23" s="436">
        <v>-311685.46999999997</v>
      </c>
      <c r="X23" s="442"/>
      <c r="Y23" s="442">
        <v>-8304.34</v>
      </c>
      <c r="Z23" s="447">
        <v>1</v>
      </c>
      <c r="AA23" s="484">
        <v>28275310.41</v>
      </c>
      <c r="AB23" s="484">
        <v>-311685.46999999997</v>
      </c>
      <c r="AC23" s="484"/>
      <c r="AD23" s="484">
        <v>-8304.34</v>
      </c>
      <c r="AE23" s="526">
        <f t="shared" si="2"/>
        <v>0</v>
      </c>
      <c r="AF23" s="526">
        <f t="shared" si="3"/>
        <v>0</v>
      </c>
      <c r="AG23" s="527">
        <f t="shared" si="4"/>
        <v>0</v>
      </c>
      <c r="AH23" s="527">
        <f t="shared" si="5"/>
        <v>0</v>
      </c>
      <c r="AI23" s="489">
        <v>3781</v>
      </c>
      <c r="AJ23" s="489">
        <f t="shared" si="6"/>
        <v>0</v>
      </c>
      <c r="AK23" s="489"/>
      <c r="AL23" s="489"/>
      <c r="AM23" s="489"/>
      <c r="AN23" s="489"/>
    </row>
    <row r="24" spans="1:40" x14ac:dyDescent="0.25">
      <c r="A24" s="332">
        <v>5423</v>
      </c>
      <c r="B24" s="459" t="s">
        <v>74</v>
      </c>
      <c r="C24" s="382">
        <v>941804.45</v>
      </c>
      <c r="D24" s="382">
        <v>131352.92000000001</v>
      </c>
      <c r="E24" s="380"/>
      <c r="F24" s="518"/>
      <c r="G24" s="382">
        <v>6790.5</v>
      </c>
      <c r="H24" s="382">
        <v>848.2</v>
      </c>
      <c r="I24" s="382"/>
      <c r="J24" s="382">
        <v>43203.64</v>
      </c>
      <c r="K24" s="382">
        <v>2520.85</v>
      </c>
      <c r="L24" s="382">
        <v>40647.5</v>
      </c>
      <c r="M24" s="325">
        <f t="shared" si="0"/>
        <v>1167168.0599999998</v>
      </c>
      <c r="N24" s="386">
        <v>23690.6</v>
      </c>
      <c r="O24" s="386"/>
      <c r="P24" s="514">
        <v>50178.5</v>
      </c>
      <c r="Q24" s="386"/>
      <c r="R24" s="386">
        <v>95709.2</v>
      </c>
      <c r="S24" s="371">
        <v>865.18</v>
      </c>
      <c r="T24" s="439">
        <f t="shared" si="1"/>
        <v>1337611.5399999998</v>
      </c>
      <c r="U24" s="387">
        <v>73</v>
      </c>
      <c r="V24" s="390">
        <f>VLOOKUP(B24,'[1]2021'!$C:$D,2,FALSE)</f>
        <v>567</v>
      </c>
      <c r="W24" s="436">
        <v>-26486.6</v>
      </c>
      <c r="X24" s="442"/>
      <c r="Y24" s="442">
        <v>0</v>
      </c>
      <c r="Z24" s="447">
        <v>0.5</v>
      </c>
      <c r="AA24" s="484">
        <v>1337611.54</v>
      </c>
      <c r="AB24" s="484">
        <v>-26486.6</v>
      </c>
      <c r="AC24" s="484"/>
      <c r="AD24" s="484">
        <v>0</v>
      </c>
      <c r="AE24" s="526">
        <f t="shared" si="2"/>
        <v>0</v>
      </c>
      <c r="AF24" s="526">
        <f t="shared" si="3"/>
        <v>0</v>
      </c>
      <c r="AG24" s="527">
        <f t="shared" si="4"/>
        <v>0</v>
      </c>
      <c r="AH24" s="527">
        <f t="shared" si="5"/>
        <v>0</v>
      </c>
      <c r="AI24" s="489">
        <v>567</v>
      </c>
      <c r="AJ24" s="489">
        <f t="shared" si="6"/>
        <v>0</v>
      </c>
      <c r="AK24" s="489"/>
      <c r="AL24" s="489"/>
      <c r="AM24" s="489"/>
      <c r="AN24" s="489"/>
    </row>
    <row r="25" spans="1:40" x14ac:dyDescent="0.25">
      <c r="A25" s="332">
        <v>5424</v>
      </c>
      <c r="B25" s="459" t="s">
        <v>75</v>
      </c>
      <c r="C25" s="382">
        <v>514059.66</v>
      </c>
      <c r="D25" s="382">
        <v>55965.24</v>
      </c>
      <c r="E25" s="380"/>
      <c r="F25" s="518"/>
      <c r="G25" s="382">
        <v>2430.9499999999998</v>
      </c>
      <c r="H25" s="382">
        <v>602.9</v>
      </c>
      <c r="I25" s="382">
        <v>46446.65</v>
      </c>
      <c r="J25" s="382">
        <v>9616.0499999999993</v>
      </c>
      <c r="K25" s="382">
        <v>766</v>
      </c>
      <c r="L25" s="382">
        <v>50516.6</v>
      </c>
      <c r="M25" s="325">
        <f t="shared" si="0"/>
        <v>680404.05</v>
      </c>
      <c r="N25" s="386"/>
      <c r="O25" s="514">
        <v>2072.3000000000002</v>
      </c>
      <c r="P25" s="514">
        <v>26028.2</v>
      </c>
      <c r="Q25" s="386"/>
      <c r="R25" s="386">
        <v>3468.45</v>
      </c>
      <c r="S25" s="371">
        <v>343.62</v>
      </c>
      <c r="T25" s="439">
        <f t="shared" si="1"/>
        <v>712316.62</v>
      </c>
      <c r="U25" s="387">
        <v>75.5</v>
      </c>
      <c r="V25" s="390">
        <f>VLOOKUP(B25,'[1]2021'!$C:$D,2,FALSE)</f>
        <v>308</v>
      </c>
      <c r="W25" s="436">
        <v>-53783.7</v>
      </c>
      <c r="X25" s="442"/>
      <c r="Y25" s="442">
        <v>-172.9</v>
      </c>
      <c r="Z25" s="447">
        <v>1</v>
      </c>
      <c r="AA25" s="484">
        <v>712316.62</v>
      </c>
      <c r="AB25" s="484">
        <v>-53783.7</v>
      </c>
      <c r="AC25" s="484"/>
      <c r="AD25" s="484">
        <v>-172.9</v>
      </c>
      <c r="AE25" s="526">
        <f t="shared" si="2"/>
        <v>0</v>
      </c>
      <c r="AF25" s="526">
        <f t="shared" si="3"/>
        <v>0</v>
      </c>
      <c r="AG25" s="527">
        <f t="shared" si="4"/>
        <v>0</v>
      </c>
      <c r="AH25" s="527">
        <f t="shared" si="5"/>
        <v>0</v>
      </c>
      <c r="AI25" s="489">
        <v>308</v>
      </c>
      <c r="AJ25" s="489">
        <f t="shared" si="6"/>
        <v>0</v>
      </c>
      <c r="AK25" s="489"/>
      <c r="AL25" s="489"/>
      <c r="AM25" s="489"/>
      <c r="AN25" s="489"/>
    </row>
    <row r="26" spans="1:40" x14ac:dyDescent="0.25">
      <c r="A26" s="332">
        <v>5425</v>
      </c>
      <c r="B26" s="459" t="s">
        <v>76</v>
      </c>
      <c r="C26" s="382">
        <v>2313458.9700000002</v>
      </c>
      <c r="D26" s="382">
        <v>280521.11</v>
      </c>
      <c r="E26" s="380"/>
      <c r="F26" s="518"/>
      <c r="G26" s="382">
        <v>258664.8</v>
      </c>
      <c r="H26" s="382">
        <v>34672.85</v>
      </c>
      <c r="I26" s="382"/>
      <c r="J26" s="382">
        <v>67129.86</v>
      </c>
      <c r="K26" s="382">
        <v>17852.900000000001</v>
      </c>
      <c r="L26" s="382">
        <v>124893.1</v>
      </c>
      <c r="M26" s="325">
        <f t="shared" si="0"/>
        <v>3097193.59</v>
      </c>
      <c r="N26" s="386">
        <v>73221.8</v>
      </c>
      <c r="O26" s="514">
        <v>74117.899999999994</v>
      </c>
      <c r="P26" s="514">
        <v>108800.15</v>
      </c>
      <c r="Q26" s="386">
        <v>5589.58</v>
      </c>
      <c r="R26" s="386">
        <v>99329</v>
      </c>
      <c r="S26" s="371">
        <v>33224.050000000003</v>
      </c>
      <c r="T26" s="439">
        <f t="shared" si="1"/>
        <v>3491476.0699999994</v>
      </c>
      <c r="U26" s="387">
        <v>69</v>
      </c>
      <c r="V26" s="390">
        <f>VLOOKUP(B26,'[1]2021'!$C:$D,2,FALSE)</f>
        <v>1634</v>
      </c>
      <c r="W26" s="436">
        <v>-174243.94</v>
      </c>
      <c r="X26" s="442"/>
      <c r="Y26" s="442">
        <v>-298.74</v>
      </c>
      <c r="Z26" s="447">
        <v>0.57999999999999996</v>
      </c>
      <c r="AA26" s="484">
        <v>3491476.07</v>
      </c>
      <c r="AB26" s="484">
        <v>-174243.94</v>
      </c>
      <c r="AC26" s="484"/>
      <c r="AD26" s="484">
        <v>-298.74</v>
      </c>
      <c r="AE26" s="526">
        <f t="shared" si="2"/>
        <v>0</v>
      </c>
      <c r="AF26" s="526">
        <f t="shared" si="3"/>
        <v>0</v>
      </c>
      <c r="AG26" s="527">
        <f t="shared" si="4"/>
        <v>0</v>
      </c>
      <c r="AH26" s="527">
        <f t="shared" si="5"/>
        <v>0</v>
      </c>
      <c r="AI26" s="489">
        <v>1634</v>
      </c>
      <c r="AJ26" s="489">
        <f t="shared" si="6"/>
        <v>0</v>
      </c>
      <c r="AK26" s="489"/>
      <c r="AL26" s="489"/>
      <c r="AM26" s="489"/>
      <c r="AN26" s="489"/>
    </row>
    <row r="27" spans="1:40" x14ac:dyDescent="0.25">
      <c r="A27" s="332">
        <v>5426</v>
      </c>
      <c r="B27" s="459" t="s">
        <v>70</v>
      </c>
      <c r="C27" s="382">
        <v>1771140.38</v>
      </c>
      <c r="D27" s="382">
        <v>612801.13</v>
      </c>
      <c r="E27" s="380"/>
      <c r="F27" s="518"/>
      <c r="G27" s="382">
        <v>4513.6499999999996</v>
      </c>
      <c r="H27" s="382">
        <v>2542.6</v>
      </c>
      <c r="I27" s="382">
        <v>736141.55</v>
      </c>
      <c r="J27" s="382">
        <v>6633.74</v>
      </c>
      <c r="K27" s="382">
        <v>4216.3</v>
      </c>
      <c r="L27" s="382">
        <v>357752.05</v>
      </c>
      <c r="M27" s="325">
        <f t="shared" si="0"/>
        <v>3495741.3999999994</v>
      </c>
      <c r="N27" s="386">
        <v>12144.3</v>
      </c>
      <c r="O27" s="386">
        <v>1955529</v>
      </c>
      <c r="P27" s="386">
        <v>183230.2</v>
      </c>
      <c r="Q27" s="386"/>
      <c r="R27" s="386">
        <v>69511.05</v>
      </c>
      <c r="S27" s="371">
        <v>799.21</v>
      </c>
      <c r="T27" s="439">
        <f t="shared" si="1"/>
        <v>5716955.1599999992</v>
      </c>
      <c r="U27" s="387">
        <v>64.5</v>
      </c>
      <c r="V27" s="390">
        <f>VLOOKUP(B27,'[1]2021'!$C:$D,2,FALSE)</f>
        <v>497</v>
      </c>
      <c r="W27" s="436">
        <v>-9230.2999999999993</v>
      </c>
      <c r="X27" s="442"/>
      <c r="Y27" s="442">
        <v>-6365.13</v>
      </c>
      <c r="Z27" s="447">
        <v>1.2</v>
      </c>
      <c r="AA27" s="484">
        <v>5716955.1600000001</v>
      </c>
      <c r="AB27" s="484">
        <v>-9230.2999999999993</v>
      </c>
      <c r="AC27" s="484"/>
      <c r="AD27" s="484">
        <v>-6365.13</v>
      </c>
      <c r="AE27" s="526">
        <f t="shared" si="2"/>
        <v>0</v>
      </c>
      <c r="AF27" s="526">
        <f t="shared" si="3"/>
        <v>0</v>
      </c>
      <c r="AG27" s="527">
        <f t="shared" si="4"/>
        <v>0</v>
      </c>
      <c r="AH27" s="527">
        <f t="shared" si="5"/>
        <v>0</v>
      </c>
      <c r="AI27" s="489">
        <v>497</v>
      </c>
      <c r="AJ27" s="489">
        <f t="shared" si="6"/>
        <v>0</v>
      </c>
      <c r="AK27" s="489"/>
      <c r="AL27" s="489"/>
      <c r="AM27" s="489"/>
      <c r="AN27" s="489"/>
    </row>
    <row r="28" spans="1:40" x14ac:dyDescent="0.25">
      <c r="A28" s="332">
        <v>5427</v>
      </c>
      <c r="B28" s="459" t="s">
        <v>334</v>
      </c>
      <c r="C28" s="513">
        <v>3335667.7</v>
      </c>
      <c r="D28" s="513">
        <v>1020425.85</v>
      </c>
      <c r="E28" s="380"/>
      <c r="F28" s="518"/>
      <c r="G28" s="382">
        <v>57118.7</v>
      </c>
      <c r="H28" s="382">
        <v>8063.25</v>
      </c>
      <c r="I28" s="513">
        <v>836549.25</v>
      </c>
      <c r="J28" s="382">
        <v>48332.75</v>
      </c>
      <c r="K28" s="382">
        <v>0</v>
      </c>
      <c r="L28" s="382">
        <v>471371.6</v>
      </c>
      <c r="M28" s="325">
        <f t="shared" si="0"/>
        <v>5777529.0999999996</v>
      </c>
      <c r="N28" s="386">
        <v>12746.65</v>
      </c>
      <c r="O28" s="514">
        <v>5395.5</v>
      </c>
      <c r="P28" s="514">
        <v>224038.1</v>
      </c>
      <c r="Q28" s="386">
        <v>486.65</v>
      </c>
      <c r="R28" s="386">
        <v>196256.7</v>
      </c>
      <c r="S28" s="371">
        <v>7382.65</v>
      </c>
      <c r="T28" s="439">
        <f t="shared" si="1"/>
        <v>6223835.3500000006</v>
      </c>
      <c r="U28" s="387">
        <v>64</v>
      </c>
      <c r="V28" s="390">
        <f>VLOOKUP(B28,'[1]2021'!$C:$D,2,FALSE)</f>
        <v>893</v>
      </c>
      <c r="W28" s="515">
        <v>-29525.919999999998</v>
      </c>
      <c r="X28" s="442"/>
      <c r="Y28" s="442">
        <v>-1109.8499999999999</v>
      </c>
      <c r="Z28" s="447">
        <v>1.3</v>
      </c>
      <c r="AA28" s="484">
        <v>6223835.3499999996</v>
      </c>
      <c r="AB28" s="484">
        <v>-29525.919999999998</v>
      </c>
      <c r="AC28" s="484"/>
      <c r="AD28" s="484">
        <v>-1109.8499999999999</v>
      </c>
      <c r="AE28" s="526">
        <f t="shared" si="2"/>
        <v>0</v>
      </c>
      <c r="AF28" s="526">
        <f t="shared" si="3"/>
        <v>0</v>
      </c>
      <c r="AG28" s="527">
        <f t="shared" si="4"/>
        <v>0</v>
      </c>
      <c r="AH28" s="527">
        <f t="shared" si="5"/>
        <v>0</v>
      </c>
      <c r="AI28" s="489">
        <v>893</v>
      </c>
      <c r="AJ28" s="489">
        <f t="shared" si="6"/>
        <v>0</v>
      </c>
      <c r="AK28" s="489"/>
      <c r="AL28" s="489"/>
      <c r="AM28" s="489"/>
      <c r="AN28" s="489"/>
    </row>
    <row r="29" spans="1:40" x14ac:dyDescent="0.25">
      <c r="A29" s="332">
        <v>5428</v>
      </c>
      <c r="B29" s="459" t="s">
        <v>335</v>
      </c>
      <c r="C29" s="382">
        <v>4244196.3899999997</v>
      </c>
      <c r="D29" s="382">
        <v>511785.94</v>
      </c>
      <c r="E29" s="380"/>
      <c r="F29" s="518"/>
      <c r="G29" s="382">
        <v>15522.4</v>
      </c>
      <c r="H29" s="382">
        <v>7893.65</v>
      </c>
      <c r="I29" s="382"/>
      <c r="J29" s="382">
        <v>132596.54</v>
      </c>
      <c r="K29" s="382">
        <v>13774.6</v>
      </c>
      <c r="L29" s="382">
        <v>477035.3</v>
      </c>
      <c r="M29" s="325">
        <f t="shared" si="0"/>
        <v>5402804.8200000003</v>
      </c>
      <c r="N29" s="386">
        <v>253111.45</v>
      </c>
      <c r="O29" s="386">
        <v>150717.29999999999</v>
      </c>
      <c r="P29" s="386">
        <v>295624.59999999998</v>
      </c>
      <c r="Q29" s="386">
        <v>29101.13</v>
      </c>
      <c r="R29" s="386">
        <v>242105.65</v>
      </c>
      <c r="S29" s="371">
        <v>2652.15</v>
      </c>
      <c r="T29" s="439">
        <f t="shared" si="1"/>
        <v>6376117.1000000006</v>
      </c>
      <c r="U29" s="387">
        <v>74.5</v>
      </c>
      <c r="V29" s="390">
        <f>VLOOKUP(B29,'[1]2021'!$C:$D,2,FALSE)</f>
        <v>2402</v>
      </c>
      <c r="W29" s="436">
        <v>-98183.12</v>
      </c>
      <c r="X29" s="442"/>
      <c r="Y29" s="442">
        <v>-246.03</v>
      </c>
      <c r="Z29" s="447">
        <v>1.2</v>
      </c>
      <c r="AA29" s="484">
        <v>6376117.0999999996</v>
      </c>
      <c r="AB29" s="484">
        <v>-98183.12</v>
      </c>
      <c r="AC29" s="484"/>
      <c r="AD29" s="484">
        <v>-246.03</v>
      </c>
      <c r="AE29" s="526">
        <f t="shared" si="2"/>
        <v>0</v>
      </c>
      <c r="AF29" s="526">
        <f t="shared" si="3"/>
        <v>0</v>
      </c>
      <c r="AG29" s="527">
        <f t="shared" si="4"/>
        <v>0</v>
      </c>
      <c r="AH29" s="527">
        <f t="shared" si="5"/>
        <v>0</v>
      </c>
      <c r="AI29" s="489">
        <v>2402</v>
      </c>
      <c r="AJ29" s="489">
        <f t="shared" si="6"/>
        <v>0</v>
      </c>
      <c r="AK29" s="489"/>
      <c r="AL29" s="489"/>
      <c r="AM29" s="489"/>
      <c r="AN29" s="489"/>
    </row>
    <row r="30" spans="1:40" x14ac:dyDescent="0.25">
      <c r="A30" s="332">
        <v>5429</v>
      </c>
      <c r="B30" s="459" t="s">
        <v>353</v>
      </c>
      <c r="C30" s="382">
        <v>1148772.25</v>
      </c>
      <c r="D30" s="382">
        <v>144238.94</v>
      </c>
      <c r="E30" s="380"/>
      <c r="F30" s="518"/>
      <c r="G30" s="382">
        <v>8322.2999999999993</v>
      </c>
      <c r="H30" s="382">
        <v>3544.4</v>
      </c>
      <c r="I30" s="382"/>
      <c r="J30" s="382">
        <v>32135.82</v>
      </c>
      <c r="K30" s="382">
        <v>1218.25</v>
      </c>
      <c r="L30" s="382">
        <v>107227.9</v>
      </c>
      <c r="M30" s="325">
        <f t="shared" si="0"/>
        <v>1445459.8599999999</v>
      </c>
      <c r="N30" s="386">
        <v>2875.4</v>
      </c>
      <c r="O30" s="386"/>
      <c r="P30" s="386">
        <v>103709.6</v>
      </c>
      <c r="Q30" s="386"/>
      <c r="R30" s="386">
        <v>57181.75</v>
      </c>
      <c r="S30" s="371">
        <v>1344.05</v>
      </c>
      <c r="T30" s="439">
        <f t="shared" si="1"/>
        <v>1610570.66</v>
      </c>
      <c r="U30" s="387">
        <v>77.5</v>
      </c>
      <c r="V30" s="390">
        <f>VLOOKUP(B30,'[1]2021'!$C:$D,2,FALSE)</f>
        <v>520</v>
      </c>
      <c r="W30" s="436">
        <v>-7283.85</v>
      </c>
      <c r="X30" s="442"/>
      <c r="Y30" s="442">
        <v>0</v>
      </c>
      <c r="Z30" s="447">
        <v>1</v>
      </c>
      <c r="AA30" s="484">
        <f>1506861.06+103709.6</f>
        <v>1610570.6600000001</v>
      </c>
      <c r="AB30" s="484">
        <v>-7283.85</v>
      </c>
      <c r="AC30" s="484"/>
      <c r="AD30" s="484">
        <v>0</v>
      </c>
      <c r="AE30" s="526">
        <f t="shared" si="2"/>
        <v>0</v>
      </c>
      <c r="AF30" s="526">
        <f t="shared" si="3"/>
        <v>0</v>
      </c>
      <c r="AG30" s="527">
        <f t="shared" si="4"/>
        <v>0</v>
      </c>
      <c r="AH30" s="527">
        <f t="shared" si="5"/>
        <v>0</v>
      </c>
      <c r="AI30" s="489">
        <v>520</v>
      </c>
      <c r="AJ30" s="489">
        <f t="shared" si="6"/>
        <v>0</v>
      </c>
      <c r="AK30" s="489"/>
      <c r="AL30" s="489"/>
      <c r="AM30" s="489"/>
      <c r="AN30" s="489"/>
    </row>
    <row r="31" spans="1:40" x14ac:dyDescent="0.25">
      <c r="A31" s="332">
        <v>5430</v>
      </c>
      <c r="B31" s="459" t="s">
        <v>354</v>
      </c>
      <c r="C31" s="382">
        <v>1001317.39</v>
      </c>
      <c r="D31" s="382">
        <v>105027.7</v>
      </c>
      <c r="E31" s="380"/>
      <c r="F31" s="518"/>
      <c r="G31" s="382">
        <v>5758.7</v>
      </c>
      <c r="H31" s="382">
        <v>2740.7</v>
      </c>
      <c r="I31" s="382"/>
      <c r="J31" s="382">
        <v>6430.09</v>
      </c>
      <c r="K31" s="382">
        <v>1254.3</v>
      </c>
      <c r="L31" s="382">
        <v>93941.5</v>
      </c>
      <c r="M31" s="325">
        <f t="shared" si="0"/>
        <v>1216470.3800000001</v>
      </c>
      <c r="N31" s="386">
        <v>3411.95</v>
      </c>
      <c r="O31" s="386">
        <v>1739.6</v>
      </c>
      <c r="P31" s="386">
        <v>68959.55</v>
      </c>
      <c r="Q31" s="386">
        <v>17.59</v>
      </c>
      <c r="R31" s="386">
        <v>22824.75</v>
      </c>
      <c r="S31" s="371">
        <v>962.66</v>
      </c>
      <c r="T31" s="439">
        <f t="shared" si="1"/>
        <v>1314386.4800000002</v>
      </c>
      <c r="U31" s="387">
        <v>77.5</v>
      </c>
      <c r="V31" s="390">
        <f>VLOOKUP(B31,'[1]2021'!$C:$D,2,FALSE)</f>
        <v>485</v>
      </c>
      <c r="W31" s="436">
        <v>-9726.2199999999993</v>
      </c>
      <c r="X31" s="442"/>
      <c r="Y31" s="442">
        <v>-198.34</v>
      </c>
      <c r="Z31" s="447">
        <v>1</v>
      </c>
      <c r="AA31" s="484">
        <v>1314386.48</v>
      </c>
      <c r="AB31" s="484">
        <v>-9726.2199999999993</v>
      </c>
      <c r="AC31" s="484"/>
      <c r="AD31" s="484">
        <v>-198.34</v>
      </c>
      <c r="AE31" s="526">
        <f t="shared" si="2"/>
        <v>0</v>
      </c>
      <c r="AF31" s="526">
        <f t="shared" si="3"/>
        <v>0</v>
      </c>
      <c r="AG31" s="527">
        <f t="shared" si="4"/>
        <v>0</v>
      </c>
      <c r="AH31" s="527">
        <f t="shared" si="5"/>
        <v>0</v>
      </c>
      <c r="AI31" s="489">
        <v>485</v>
      </c>
      <c r="AJ31" s="489">
        <f t="shared" si="6"/>
        <v>0</v>
      </c>
      <c r="AK31" s="489"/>
      <c r="AL31" s="489"/>
      <c r="AM31" s="489"/>
      <c r="AN31" s="489"/>
    </row>
    <row r="32" spans="1:40" x14ac:dyDescent="0.25">
      <c r="A32" s="332">
        <v>5431</v>
      </c>
      <c r="B32" s="459" t="s">
        <v>355</v>
      </c>
      <c r="C32" s="382">
        <v>619965.16</v>
      </c>
      <c r="D32" s="382">
        <v>76820.53</v>
      </c>
      <c r="E32" s="380"/>
      <c r="F32" s="518"/>
      <c r="G32" s="382">
        <v>483.7</v>
      </c>
      <c r="H32" s="382">
        <v>297.25</v>
      </c>
      <c r="I32" s="382"/>
      <c r="J32" s="382">
        <v>24529.14</v>
      </c>
      <c r="K32" s="382">
        <v>833.85</v>
      </c>
      <c r="L32" s="382">
        <v>53281.25</v>
      </c>
      <c r="M32" s="325">
        <f t="shared" si="0"/>
        <v>776210.88</v>
      </c>
      <c r="N32" s="386">
        <v>304.2</v>
      </c>
      <c r="O32" s="386"/>
      <c r="P32" s="386">
        <v>19687.75</v>
      </c>
      <c r="Q32" s="386"/>
      <c r="R32" s="386">
        <v>14464.35</v>
      </c>
      <c r="S32" s="371">
        <v>88.45</v>
      </c>
      <c r="T32" s="439">
        <f t="shared" si="1"/>
        <v>810755.62999999989</v>
      </c>
      <c r="U32" s="387">
        <v>74</v>
      </c>
      <c r="V32" s="390">
        <f>VLOOKUP(B32,'[1]2021'!$C:$D,2,FALSE)</f>
        <v>319</v>
      </c>
      <c r="W32" s="436">
        <v>-1138.93</v>
      </c>
      <c r="X32" s="442"/>
      <c r="Y32" s="442">
        <v>-752.43</v>
      </c>
      <c r="Z32" s="447">
        <v>1</v>
      </c>
      <c r="AA32" s="484">
        <v>810755.62999999989</v>
      </c>
      <c r="AB32" s="484">
        <v>-1138.93</v>
      </c>
      <c r="AC32" s="484"/>
      <c r="AD32" s="484">
        <v>-752.43</v>
      </c>
      <c r="AE32" s="526">
        <f t="shared" si="2"/>
        <v>0</v>
      </c>
      <c r="AF32" s="526">
        <f t="shared" si="3"/>
        <v>0</v>
      </c>
      <c r="AG32" s="527">
        <f t="shared" si="4"/>
        <v>0</v>
      </c>
      <c r="AH32" s="527">
        <f t="shared" si="5"/>
        <v>0</v>
      </c>
      <c r="AI32" s="489">
        <v>319</v>
      </c>
      <c r="AJ32" s="489">
        <f t="shared" si="6"/>
        <v>0</v>
      </c>
      <c r="AK32" s="489"/>
      <c r="AL32" s="489"/>
      <c r="AM32" s="489"/>
      <c r="AN32" s="489"/>
    </row>
    <row r="33" spans="1:40" x14ac:dyDescent="0.25">
      <c r="A33" s="332">
        <v>5434</v>
      </c>
      <c r="B33" s="459" t="s">
        <v>356</v>
      </c>
      <c r="C33" s="513">
        <v>2712040.59</v>
      </c>
      <c r="D33" s="382"/>
      <c r="E33" s="380"/>
      <c r="F33" s="518"/>
      <c r="G33" s="382">
        <v>12862.25</v>
      </c>
      <c r="H33" s="382">
        <v>3552.1</v>
      </c>
      <c r="I33" s="382"/>
      <c r="J33" s="382">
        <v>58202.59</v>
      </c>
      <c r="K33" s="382">
        <v>3394.7</v>
      </c>
      <c r="L33" s="382">
        <v>289753.84999999998</v>
      </c>
      <c r="M33" s="325">
        <f t="shared" si="0"/>
        <v>3079806.08</v>
      </c>
      <c r="N33" s="386">
        <v>35327.85</v>
      </c>
      <c r="O33" s="514">
        <v>20257.900000000001</v>
      </c>
      <c r="P33" s="514">
        <v>115133.35</v>
      </c>
      <c r="Q33" s="386"/>
      <c r="R33" s="386">
        <v>128749.55</v>
      </c>
      <c r="S33" s="371">
        <v>1859.12</v>
      </c>
      <c r="T33" s="439">
        <f t="shared" si="1"/>
        <v>3381133.85</v>
      </c>
      <c r="U33" s="387">
        <v>69.5</v>
      </c>
      <c r="V33" s="390">
        <f>VLOOKUP(B33,'[1]2021'!$C:$D,2,FALSE)</f>
        <v>1072</v>
      </c>
      <c r="W33" s="515">
        <v>-6435.52</v>
      </c>
      <c r="X33" s="442"/>
      <c r="Y33" s="442">
        <v>-577.35</v>
      </c>
      <c r="Z33" s="447">
        <v>1.2</v>
      </c>
      <c r="AA33" s="484">
        <v>3381133.85</v>
      </c>
      <c r="AB33" s="484">
        <v>-6435.52</v>
      </c>
      <c r="AC33" s="484"/>
      <c r="AD33" s="484">
        <v>-577.35</v>
      </c>
      <c r="AE33" s="526">
        <f t="shared" si="2"/>
        <v>0</v>
      </c>
      <c r="AF33" s="526">
        <f t="shared" si="3"/>
        <v>0</v>
      </c>
      <c r="AG33" s="527">
        <f t="shared" si="4"/>
        <v>0</v>
      </c>
      <c r="AH33" s="527">
        <f t="shared" si="5"/>
        <v>0</v>
      </c>
      <c r="AI33" s="489">
        <v>1072</v>
      </c>
      <c r="AJ33" s="489">
        <f t="shared" si="6"/>
        <v>0</v>
      </c>
      <c r="AK33" s="489"/>
      <c r="AL33" s="489"/>
      <c r="AM33" s="489"/>
      <c r="AN33" s="489"/>
    </row>
    <row r="34" spans="1:40" x14ac:dyDescent="0.25">
      <c r="A34" s="332">
        <v>5435</v>
      </c>
      <c r="B34" s="459" t="s">
        <v>336</v>
      </c>
      <c r="C34" s="382">
        <v>1501072.09</v>
      </c>
      <c r="D34" s="382">
        <v>168163.35</v>
      </c>
      <c r="E34" s="380"/>
      <c r="F34" s="518"/>
      <c r="G34" s="382">
        <v>9511.1</v>
      </c>
      <c r="H34" s="382">
        <v>248.35</v>
      </c>
      <c r="I34" s="382"/>
      <c r="J34" s="382">
        <v>17216.53</v>
      </c>
      <c r="K34" s="382"/>
      <c r="L34" s="382">
        <v>128517.7</v>
      </c>
      <c r="M34" s="325">
        <f t="shared" si="0"/>
        <v>1824729.1200000003</v>
      </c>
      <c r="N34" s="386">
        <v>17237.5</v>
      </c>
      <c r="O34" s="514">
        <v>5557</v>
      </c>
      <c r="P34" s="514">
        <v>135732.4</v>
      </c>
      <c r="Q34" s="386"/>
      <c r="R34" s="386">
        <v>122333.55</v>
      </c>
      <c r="S34" s="371">
        <v>1105.3800000000001</v>
      </c>
      <c r="T34" s="439">
        <f t="shared" si="1"/>
        <v>2106694.9500000002</v>
      </c>
      <c r="U34" s="387">
        <v>69</v>
      </c>
      <c r="V34" s="390">
        <f>VLOOKUP(B34,'[1]2021'!$C:$D,2,FALSE)</f>
        <v>674</v>
      </c>
      <c r="W34" s="515">
        <v>-41272.65</v>
      </c>
      <c r="X34" s="442"/>
      <c r="Y34" s="442">
        <v>-614.47</v>
      </c>
      <c r="Z34" s="447">
        <v>1</v>
      </c>
      <c r="AA34" s="484">
        <v>2106694.9500000002</v>
      </c>
      <c r="AB34" s="484">
        <v>-41272.65</v>
      </c>
      <c r="AC34" s="484"/>
      <c r="AD34" s="484">
        <v>-614.47</v>
      </c>
      <c r="AE34" s="526">
        <f t="shared" si="2"/>
        <v>0</v>
      </c>
      <c r="AF34" s="526">
        <f t="shared" si="3"/>
        <v>0</v>
      </c>
      <c r="AG34" s="527">
        <f t="shared" si="4"/>
        <v>0</v>
      </c>
      <c r="AH34" s="527">
        <f t="shared" si="5"/>
        <v>0</v>
      </c>
      <c r="AI34" s="489">
        <v>674</v>
      </c>
      <c r="AJ34" s="489">
        <f t="shared" si="6"/>
        <v>0</v>
      </c>
      <c r="AK34" s="489"/>
      <c r="AL34" s="489"/>
      <c r="AM34" s="489"/>
      <c r="AN34" s="489"/>
    </row>
    <row r="35" spans="1:40" x14ac:dyDescent="0.25">
      <c r="A35" s="332">
        <v>5436</v>
      </c>
      <c r="B35" s="459" t="s">
        <v>337</v>
      </c>
      <c r="C35" s="382">
        <v>1181921.1499999999</v>
      </c>
      <c r="D35" s="382">
        <v>71886.600000000006</v>
      </c>
      <c r="E35" s="380"/>
      <c r="F35" s="518"/>
      <c r="G35" s="382">
        <v>4432.3</v>
      </c>
      <c r="H35" s="382">
        <v>-78.25</v>
      </c>
      <c r="I35" s="382"/>
      <c r="J35" s="382">
        <v>32225.58</v>
      </c>
      <c r="K35" s="382"/>
      <c r="L35" s="382">
        <v>72534.8</v>
      </c>
      <c r="M35" s="325">
        <f t="shared" si="0"/>
        <v>1362922.1800000002</v>
      </c>
      <c r="N35" s="386"/>
      <c r="O35" s="386">
        <v>69500</v>
      </c>
      <c r="P35" s="386">
        <v>40975</v>
      </c>
      <c r="Q35" s="386"/>
      <c r="R35" s="386">
        <v>41167</v>
      </c>
      <c r="S35" s="371">
        <v>493.15</v>
      </c>
      <c r="T35" s="439">
        <f t="shared" si="1"/>
        <v>1515057.33</v>
      </c>
      <c r="U35" s="387">
        <v>81</v>
      </c>
      <c r="V35" s="390">
        <f>VLOOKUP(B35,'[1]2021'!$C:$D,2,FALSE)</f>
        <v>458</v>
      </c>
      <c r="W35" s="436">
        <v>-14241.17</v>
      </c>
      <c r="X35" s="442"/>
      <c r="Y35" s="442">
        <v>-972.35</v>
      </c>
      <c r="Z35" s="447">
        <v>0.8</v>
      </c>
      <c r="AA35" s="484">
        <v>1515057.33</v>
      </c>
      <c r="AB35" s="484">
        <v>-14241.17</v>
      </c>
      <c r="AC35" s="484"/>
      <c r="AD35" s="484">
        <v>-972.35</v>
      </c>
      <c r="AE35" s="526">
        <f t="shared" si="2"/>
        <v>0</v>
      </c>
      <c r="AF35" s="526">
        <f t="shared" si="3"/>
        <v>0</v>
      </c>
      <c r="AG35" s="527">
        <f t="shared" si="4"/>
        <v>0</v>
      </c>
      <c r="AH35" s="527">
        <f t="shared" si="5"/>
        <v>0</v>
      </c>
      <c r="AI35" s="489">
        <v>458</v>
      </c>
      <c r="AJ35" s="489">
        <f t="shared" si="6"/>
        <v>0</v>
      </c>
      <c r="AK35" s="489"/>
      <c r="AL35" s="489"/>
      <c r="AM35" s="489"/>
      <c r="AN35" s="489"/>
    </row>
    <row r="36" spans="1:40" x14ac:dyDescent="0.25">
      <c r="A36" s="332">
        <v>5437</v>
      </c>
      <c r="B36" s="459" t="s">
        <v>338</v>
      </c>
      <c r="C36" s="382">
        <v>910759.95</v>
      </c>
      <c r="D36" s="382">
        <v>79161.72</v>
      </c>
      <c r="E36" s="380"/>
      <c r="F36" s="518"/>
      <c r="G36" s="382">
        <v>14292.4</v>
      </c>
      <c r="H36" s="382">
        <v>492.2</v>
      </c>
      <c r="I36" s="382"/>
      <c r="J36" s="382">
        <v>13661.14</v>
      </c>
      <c r="K36" s="382">
        <v>791.85</v>
      </c>
      <c r="L36" s="382">
        <v>70137.45</v>
      </c>
      <c r="M36" s="325">
        <f t="shared" si="0"/>
        <v>1089296.71</v>
      </c>
      <c r="N36" s="386"/>
      <c r="O36" s="386">
        <v>91417.4</v>
      </c>
      <c r="P36" s="386">
        <v>156395.45000000001</v>
      </c>
      <c r="Q36" s="386"/>
      <c r="R36" s="386">
        <v>69247.350000000006</v>
      </c>
      <c r="S36" s="371">
        <v>1674.54</v>
      </c>
      <c r="T36" s="439">
        <f t="shared" si="1"/>
        <v>1408031.45</v>
      </c>
      <c r="U36" s="387">
        <v>80</v>
      </c>
      <c r="V36" s="390">
        <f>VLOOKUP(B36,'[1]2021'!$C:$D,2,FALSE)</f>
        <v>444</v>
      </c>
      <c r="W36" s="436">
        <v>-6812.87</v>
      </c>
      <c r="X36" s="442"/>
      <c r="Y36" s="442">
        <v>-17.79</v>
      </c>
      <c r="Z36" s="447">
        <v>1</v>
      </c>
      <c r="AA36" s="484">
        <f>1337894+70137.45</f>
        <v>1408031.45</v>
      </c>
      <c r="AB36" s="484">
        <v>-6812.87</v>
      </c>
      <c r="AC36" s="484"/>
      <c r="AD36" s="484">
        <v>-17.79</v>
      </c>
      <c r="AE36" s="526">
        <f t="shared" si="2"/>
        <v>0</v>
      </c>
      <c r="AF36" s="526">
        <f t="shared" si="3"/>
        <v>0</v>
      </c>
      <c r="AG36" s="527">
        <f t="shared" si="4"/>
        <v>0</v>
      </c>
      <c r="AH36" s="527">
        <f t="shared" si="5"/>
        <v>0</v>
      </c>
      <c r="AI36" s="489">
        <v>444</v>
      </c>
      <c r="AJ36" s="489">
        <f t="shared" si="6"/>
        <v>0</v>
      </c>
      <c r="AK36" s="489"/>
      <c r="AL36" s="489"/>
      <c r="AM36" s="489"/>
      <c r="AN36" s="489"/>
    </row>
    <row r="37" spans="1:40" x14ac:dyDescent="0.25">
      <c r="A37" s="332">
        <v>5451</v>
      </c>
      <c r="B37" s="459" t="s">
        <v>339</v>
      </c>
      <c r="C37" s="382">
        <v>5009328.8600000003</v>
      </c>
      <c r="D37" s="382">
        <v>603521.75</v>
      </c>
      <c r="E37" s="380"/>
      <c r="F37" s="518"/>
      <c r="G37" s="382">
        <v>1939123.65</v>
      </c>
      <c r="H37" s="382">
        <v>37474.449999999997</v>
      </c>
      <c r="I37" s="382"/>
      <c r="J37" s="382">
        <v>436798.86</v>
      </c>
      <c r="K37" s="382">
        <v>146076.35</v>
      </c>
      <c r="L37" s="382">
        <v>1450748.75</v>
      </c>
      <c r="M37" s="325">
        <f t="shared" si="0"/>
        <v>9623072.6699999999</v>
      </c>
      <c r="N37" s="386">
        <v>562337.4</v>
      </c>
      <c r="O37" s="386">
        <v>21825.5</v>
      </c>
      <c r="P37" s="386">
        <v>600691.75</v>
      </c>
      <c r="Q37" s="386">
        <v>128391.92</v>
      </c>
      <c r="R37" s="386">
        <v>171738.8</v>
      </c>
      <c r="S37" s="371">
        <v>223873.7</v>
      </c>
      <c r="T37" s="439">
        <f t="shared" si="1"/>
        <v>11331931.74</v>
      </c>
      <c r="U37" s="387">
        <v>66.5</v>
      </c>
      <c r="V37" s="390">
        <f>VLOOKUP(B37,'[1]2021'!$C:$D,2,FALSE)</f>
        <v>4616</v>
      </c>
      <c r="W37" s="436">
        <v>-321439.74</v>
      </c>
      <c r="X37" s="442"/>
      <c r="Y37" s="442">
        <v>-574.02</v>
      </c>
      <c r="Z37" s="447">
        <v>1.5</v>
      </c>
      <c r="AA37" s="484">
        <v>11331931.74</v>
      </c>
      <c r="AB37" s="484">
        <v>-321439.74</v>
      </c>
      <c r="AC37" s="484"/>
      <c r="AD37" s="484">
        <v>-574.02</v>
      </c>
      <c r="AE37" s="526">
        <f t="shared" si="2"/>
        <v>0</v>
      </c>
      <c r="AF37" s="526">
        <f t="shared" si="3"/>
        <v>0</v>
      </c>
      <c r="AG37" s="527">
        <f t="shared" si="4"/>
        <v>0</v>
      </c>
      <c r="AH37" s="527">
        <f t="shared" si="5"/>
        <v>0</v>
      </c>
      <c r="AI37" s="489">
        <v>4616</v>
      </c>
      <c r="AJ37" s="489">
        <f t="shared" si="6"/>
        <v>0</v>
      </c>
      <c r="AK37" s="489"/>
      <c r="AL37" s="489"/>
      <c r="AM37" s="489"/>
      <c r="AN37" s="489"/>
    </row>
    <row r="38" spans="1:40" x14ac:dyDescent="0.25">
      <c r="A38" s="332">
        <v>5456</v>
      </c>
      <c r="B38" s="459" t="s">
        <v>340</v>
      </c>
      <c r="C38" s="382">
        <v>3029771.66</v>
      </c>
      <c r="D38" s="382">
        <v>317950.07</v>
      </c>
      <c r="E38" s="380"/>
      <c r="F38" s="518"/>
      <c r="G38" s="382">
        <v>39520.199999999997</v>
      </c>
      <c r="H38" s="382">
        <v>2180.5500000000002</v>
      </c>
      <c r="I38" s="382"/>
      <c r="J38" s="382">
        <v>52329.66</v>
      </c>
      <c r="K38" s="382">
        <v>10849.65</v>
      </c>
      <c r="L38" s="382">
        <v>531103.80000000005</v>
      </c>
      <c r="M38" s="325">
        <f t="shared" si="0"/>
        <v>3983705.59</v>
      </c>
      <c r="N38" s="386">
        <v>5267</v>
      </c>
      <c r="O38" s="386">
        <v>10898.2</v>
      </c>
      <c r="P38" s="386">
        <v>195993.75</v>
      </c>
      <c r="Q38" s="386">
        <v>80211.77</v>
      </c>
      <c r="R38" s="386">
        <v>188890.3</v>
      </c>
      <c r="S38" s="371">
        <v>4723.12</v>
      </c>
      <c r="T38" s="439">
        <f t="shared" si="1"/>
        <v>4469689.7299999995</v>
      </c>
      <c r="U38" s="387">
        <v>59</v>
      </c>
      <c r="V38" s="390">
        <f>VLOOKUP(B38,'[1]2021'!$C:$D,2,FALSE)</f>
        <v>1836</v>
      </c>
      <c r="W38" s="436">
        <v>-106547.49</v>
      </c>
      <c r="X38" s="442"/>
      <c r="Y38" s="442">
        <v>-506.24</v>
      </c>
      <c r="Z38" s="447">
        <v>1.5</v>
      </c>
      <c r="AA38" s="484">
        <v>4469689.7300000004</v>
      </c>
      <c r="AB38" s="484">
        <v>-106547.49</v>
      </c>
      <c r="AC38" s="484"/>
      <c r="AD38" s="484">
        <v>-506.24</v>
      </c>
      <c r="AE38" s="526">
        <f t="shared" si="2"/>
        <v>0</v>
      </c>
      <c r="AF38" s="526">
        <f t="shared" si="3"/>
        <v>0</v>
      </c>
      <c r="AG38" s="527">
        <f t="shared" si="4"/>
        <v>0</v>
      </c>
      <c r="AH38" s="527">
        <f t="shared" si="5"/>
        <v>0</v>
      </c>
      <c r="AI38" s="489">
        <v>1836</v>
      </c>
      <c r="AJ38" s="489">
        <f t="shared" si="6"/>
        <v>0</v>
      </c>
      <c r="AK38" s="489"/>
      <c r="AL38" s="489"/>
      <c r="AM38" s="489"/>
      <c r="AN38" s="489"/>
    </row>
    <row r="39" spans="1:40" x14ac:dyDescent="0.25">
      <c r="A39" s="332">
        <v>5458</v>
      </c>
      <c r="B39" s="459" t="s">
        <v>341</v>
      </c>
      <c r="C39" s="382">
        <v>1674822.35</v>
      </c>
      <c r="D39" s="382">
        <v>290751.75</v>
      </c>
      <c r="E39" s="380"/>
      <c r="F39" s="518"/>
      <c r="G39" s="382">
        <v>24617.55</v>
      </c>
      <c r="H39" s="382">
        <v>1373.6</v>
      </c>
      <c r="I39" s="382"/>
      <c r="J39" s="382">
        <v>59073.19</v>
      </c>
      <c r="K39" s="382">
        <v>12888.25</v>
      </c>
      <c r="L39" s="382">
        <v>284886.15000000002</v>
      </c>
      <c r="M39" s="325">
        <f t="shared" si="0"/>
        <v>2348412.8400000003</v>
      </c>
      <c r="N39" s="386">
        <v>1661.35</v>
      </c>
      <c r="O39" s="386">
        <v>120558.8</v>
      </c>
      <c r="P39" s="386">
        <v>55638.45</v>
      </c>
      <c r="Q39" s="386">
        <v>14872.5</v>
      </c>
      <c r="R39" s="386">
        <v>71087.399999999994</v>
      </c>
      <c r="S39" s="371">
        <v>2943.81</v>
      </c>
      <c r="T39" s="439">
        <f t="shared" si="1"/>
        <v>2615175.1500000004</v>
      </c>
      <c r="U39" s="387">
        <v>65</v>
      </c>
      <c r="V39" s="390">
        <f>VLOOKUP(B39,'[1]2021'!$C:$D,2,FALSE)</f>
        <v>866</v>
      </c>
      <c r="W39" s="436">
        <v>-14228.07</v>
      </c>
      <c r="X39" s="442"/>
      <c r="Y39" s="442">
        <v>-151.1</v>
      </c>
      <c r="Z39" s="447">
        <v>1.5</v>
      </c>
      <c r="AA39" s="484">
        <v>2615175.15</v>
      </c>
      <c r="AB39" s="484">
        <v>-14228.07</v>
      </c>
      <c r="AC39" s="484"/>
      <c r="AD39" s="484">
        <v>-151.1</v>
      </c>
      <c r="AE39" s="526">
        <f t="shared" si="2"/>
        <v>0</v>
      </c>
      <c r="AF39" s="526">
        <f t="shared" si="3"/>
        <v>0</v>
      </c>
      <c r="AG39" s="527">
        <f t="shared" si="4"/>
        <v>0</v>
      </c>
      <c r="AH39" s="527">
        <f t="shared" si="5"/>
        <v>0</v>
      </c>
      <c r="AI39" s="489">
        <v>866</v>
      </c>
      <c r="AJ39" s="489">
        <f t="shared" si="6"/>
        <v>0</v>
      </c>
      <c r="AK39" s="489"/>
      <c r="AL39" s="489"/>
      <c r="AM39" s="489"/>
      <c r="AN39" s="489"/>
    </row>
    <row r="40" spans="1:40" x14ac:dyDescent="0.25">
      <c r="A40" s="332">
        <v>5464</v>
      </c>
      <c r="B40" s="459" t="s">
        <v>415</v>
      </c>
      <c r="C40" s="382">
        <v>6002531.6100000003</v>
      </c>
      <c r="D40" s="382">
        <v>1145557.5900000001</v>
      </c>
      <c r="E40" s="380"/>
      <c r="F40" s="518"/>
      <c r="G40" s="382">
        <v>39239.35</v>
      </c>
      <c r="H40" s="382">
        <v>8188.45</v>
      </c>
      <c r="I40" s="382">
        <v>5716.2</v>
      </c>
      <c r="J40" s="382">
        <v>132675.49</v>
      </c>
      <c r="K40" s="382">
        <v>28110.75</v>
      </c>
      <c r="L40" s="382">
        <v>1055533.5</v>
      </c>
      <c r="M40" s="325">
        <f t="shared" si="0"/>
        <v>8417552.9400000013</v>
      </c>
      <c r="N40" s="386">
        <v>340.45</v>
      </c>
      <c r="O40" s="386">
        <v>166459.1</v>
      </c>
      <c r="P40" s="386">
        <v>904420.85</v>
      </c>
      <c r="Q40" s="386">
        <v>16393.46</v>
      </c>
      <c r="R40" s="386">
        <v>409718.55</v>
      </c>
      <c r="S40" s="371">
        <v>5371.77</v>
      </c>
      <c r="T40" s="439">
        <f t="shared" si="1"/>
        <v>9920257.120000001</v>
      </c>
      <c r="U40" s="387">
        <v>67</v>
      </c>
      <c r="V40" s="390">
        <f>VLOOKUP(B40,'[1]2021'!$C:$D,2,FALSE)</f>
        <v>3465</v>
      </c>
      <c r="W40" s="436">
        <v>-98442.41</v>
      </c>
      <c r="X40" s="442"/>
      <c r="Y40" s="442">
        <v>-4687.72</v>
      </c>
      <c r="Z40" s="447">
        <v>1.5</v>
      </c>
      <c r="AA40" s="484">
        <v>9920257.1199999992</v>
      </c>
      <c r="AB40" s="484">
        <v>-98442.41</v>
      </c>
      <c r="AC40" s="484"/>
      <c r="AD40" s="484">
        <v>-4687.72</v>
      </c>
      <c r="AE40" s="526">
        <f t="shared" si="2"/>
        <v>0</v>
      </c>
      <c r="AF40" s="526">
        <f t="shared" si="3"/>
        <v>0</v>
      </c>
      <c r="AG40" s="527">
        <f t="shared" si="4"/>
        <v>0</v>
      </c>
      <c r="AH40" s="527">
        <f t="shared" si="5"/>
        <v>0</v>
      </c>
      <c r="AI40" s="489">
        <v>3465</v>
      </c>
      <c r="AJ40" s="489">
        <f t="shared" si="6"/>
        <v>0</v>
      </c>
      <c r="AK40" s="489"/>
      <c r="AL40" s="489"/>
      <c r="AM40" s="489"/>
      <c r="AN40" s="489"/>
    </row>
    <row r="41" spans="1:40" x14ac:dyDescent="0.25">
      <c r="A41" s="332">
        <v>5471</v>
      </c>
      <c r="B41" s="459" t="s">
        <v>342</v>
      </c>
      <c r="C41" s="382">
        <v>1171278.3700000001</v>
      </c>
      <c r="D41" s="382">
        <v>143008.88</v>
      </c>
      <c r="E41" s="380"/>
      <c r="F41" s="518"/>
      <c r="G41" s="382">
        <v>114347.85</v>
      </c>
      <c r="H41" s="382">
        <v>4031.45</v>
      </c>
      <c r="I41" s="382"/>
      <c r="J41" s="382">
        <v>24741.16</v>
      </c>
      <c r="K41" s="382">
        <v>4233.25</v>
      </c>
      <c r="L41" s="382">
        <v>123504.65</v>
      </c>
      <c r="M41" s="325">
        <f t="shared" si="0"/>
        <v>1585145.6099999999</v>
      </c>
      <c r="N41" s="386">
        <v>9506.5499999999993</v>
      </c>
      <c r="O41" s="386">
        <v>4295.8</v>
      </c>
      <c r="P41" s="386">
        <v>60101.25</v>
      </c>
      <c r="Q41" s="386"/>
      <c r="R41" s="386">
        <v>10798.85</v>
      </c>
      <c r="S41" s="371">
        <v>13407.89</v>
      </c>
      <c r="T41" s="439">
        <f t="shared" si="1"/>
        <v>1683255.95</v>
      </c>
      <c r="U41" s="387">
        <v>70</v>
      </c>
      <c r="V41" s="390">
        <f>VLOOKUP(B41,'[1]2021'!$C:$D,2,FALSE)</f>
        <v>626</v>
      </c>
      <c r="W41" s="436">
        <v>-9720.76</v>
      </c>
      <c r="X41" s="442"/>
      <c r="Y41" s="442">
        <v>-43.82</v>
      </c>
      <c r="Z41" s="447">
        <v>0.9</v>
      </c>
      <c r="AA41" s="484">
        <v>1683255.95</v>
      </c>
      <c r="AB41" s="484">
        <v>-9720.76</v>
      </c>
      <c r="AC41" s="484"/>
      <c r="AD41" s="484">
        <v>-43.82</v>
      </c>
      <c r="AE41" s="526">
        <f t="shared" si="2"/>
        <v>0</v>
      </c>
      <c r="AF41" s="526">
        <f t="shared" si="3"/>
        <v>0</v>
      </c>
      <c r="AG41" s="527">
        <f t="shared" si="4"/>
        <v>0</v>
      </c>
      <c r="AH41" s="527">
        <f t="shared" si="5"/>
        <v>0</v>
      </c>
      <c r="AI41" s="489">
        <v>626</v>
      </c>
      <c r="AJ41" s="489">
        <f t="shared" si="6"/>
        <v>0</v>
      </c>
      <c r="AK41" s="489"/>
      <c r="AL41" s="489"/>
      <c r="AM41" s="489"/>
      <c r="AN41" s="489"/>
    </row>
    <row r="42" spans="1:40" x14ac:dyDescent="0.25">
      <c r="A42" s="332">
        <v>5472</v>
      </c>
      <c r="B42" s="459" t="s">
        <v>343</v>
      </c>
      <c r="C42" s="382">
        <v>1204103.9099999999</v>
      </c>
      <c r="D42" s="382">
        <v>192184.88</v>
      </c>
      <c r="E42" s="380"/>
      <c r="F42" s="518"/>
      <c r="G42" s="382">
        <v>61261.95</v>
      </c>
      <c r="H42" s="382">
        <v>279.3</v>
      </c>
      <c r="I42" s="382"/>
      <c r="J42" s="382">
        <v>13338.27</v>
      </c>
      <c r="K42" s="382">
        <v>1422.55</v>
      </c>
      <c r="L42" s="382">
        <v>111315.05</v>
      </c>
      <c r="M42" s="325">
        <f t="shared" si="0"/>
        <v>1583905.9100000001</v>
      </c>
      <c r="N42" s="386"/>
      <c r="O42" s="386">
        <v>96601.8</v>
      </c>
      <c r="P42" s="386">
        <v>57797.05</v>
      </c>
      <c r="Q42" s="386">
        <v>7994.49</v>
      </c>
      <c r="R42" s="386">
        <v>42353.45</v>
      </c>
      <c r="S42" s="371">
        <v>6970.29</v>
      </c>
      <c r="T42" s="439">
        <f t="shared" si="1"/>
        <v>1795622.9900000002</v>
      </c>
      <c r="U42" s="387">
        <v>72</v>
      </c>
      <c r="V42" s="390">
        <f>VLOOKUP(B42,'[1]2021'!$C:$D,2,FALSE)</f>
        <v>507</v>
      </c>
      <c r="W42" s="436">
        <v>-1565.35</v>
      </c>
      <c r="X42" s="442"/>
      <c r="Y42" s="442">
        <v>-457.52</v>
      </c>
      <c r="Z42" s="447">
        <v>1</v>
      </c>
      <c r="AA42" s="484">
        <v>1795622.99</v>
      </c>
      <c r="AB42" s="484">
        <v>-1565.35</v>
      </c>
      <c r="AC42" s="484"/>
      <c r="AD42" s="484">
        <v>-457.52</v>
      </c>
      <c r="AE42" s="526">
        <f t="shared" si="2"/>
        <v>0</v>
      </c>
      <c r="AF42" s="526">
        <f t="shared" si="3"/>
        <v>0</v>
      </c>
      <c r="AG42" s="527">
        <f t="shared" si="4"/>
        <v>0</v>
      </c>
      <c r="AH42" s="527">
        <f t="shared" si="5"/>
        <v>0</v>
      </c>
      <c r="AI42" s="489">
        <v>507</v>
      </c>
      <c r="AJ42" s="489">
        <f t="shared" si="6"/>
        <v>0</v>
      </c>
      <c r="AK42" s="489"/>
      <c r="AL42" s="489"/>
      <c r="AM42" s="489"/>
      <c r="AN42" s="489"/>
    </row>
    <row r="43" spans="1:40" x14ac:dyDescent="0.25">
      <c r="A43" s="332">
        <v>5473</v>
      </c>
      <c r="B43" s="459" t="s">
        <v>205</v>
      </c>
      <c r="C43" s="382">
        <v>2068139.82</v>
      </c>
      <c r="D43" s="382">
        <v>236761</v>
      </c>
      <c r="E43" s="380"/>
      <c r="F43" s="518"/>
      <c r="G43" s="382">
        <v>17400.95</v>
      </c>
      <c r="H43" s="382">
        <v>720.7</v>
      </c>
      <c r="I43" s="382"/>
      <c r="J43" s="382">
        <v>-4141.21</v>
      </c>
      <c r="K43" s="382">
        <v>8991.2000000000007</v>
      </c>
      <c r="L43" s="382">
        <v>192206.4</v>
      </c>
      <c r="M43" s="325">
        <f t="shared" si="0"/>
        <v>2520078.8600000008</v>
      </c>
      <c r="N43" s="386">
        <v>4238.3</v>
      </c>
      <c r="O43" s="386"/>
      <c r="P43" s="386">
        <v>133840.70000000001</v>
      </c>
      <c r="Q43" s="386">
        <v>24.58</v>
      </c>
      <c r="R43" s="386">
        <v>120047.15</v>
      </c>
      <c r="S43" s="371">
        <v>2052.5</v>
      </c>
      <c r="T43" s="439">
        <f t="shared" si="1"/>
        <v>2780282.0900000008</v>
      </c>
      <c r="U43" s="387">
        <v>67.5</v>
      </c>
      <c r="V43" s="390">
        <f>VLOOKUP(B43,'[1]2021'!$C:$D,2,FALSE)</f>
        <v>1001</v>
      </c>
      <c r="W43" s="436">
        <v>-20658.46</v>
      </c>
      <c r="X43" s="442"/>
      <c r="Y43" s="442">
        <v>-14.11</v>
      </c>
      <c r="Z43" s="447">
        <v>1</v>
      </c>
      <c r="AA43" s="484">
        <v>2780282.09</v>
      </c>
      <c r="AB43" s="484">
        <v>-20658.46</v>
      </c>
      <c r="AC43" s="484"/>
      <c r="AD43" s="484">
        <v>-14.11</v>
      </c>
      <c r="AE43" s="526">
        <f t="shared" si="2"/>
        <v>0</v>
      </c>
      <c r="AF43" s="526">
        <f t="shared" si="3"/>
        <v>0</v>
      </c>
      <c r="AG43" s="527">
        <f t="shared" si="4"/>
        <v>0</v>
      </c>
      <c r="AH43" s="527">
        <f t="shared" si="5"/>
        <v>0</v>
      </c>
      <c r="AI43" s="489">
        <v>1001</v>
      </c>
      <c r="AJ43" s="489">
        <f t="shared" si="6"/>
        <v>0</v>
      </c>
      <c r="AK43" s="489"/>
      <c r="AL43" s="489"/>
      <c r="AM43" s="489"/>
      <c r="AN43" s="489"/>
    </row>
    <row r="44" spans="1:40" x14ac:dyDescent="0.25">
      <c r="A44" s="332">
        <v>5474</v>
      </c>
      <c r="B44" s="459" t="s">
        <v>206</v>
      </c>
      <c r="C44" s="382">
        <v>830248.54</v>
      </c>
      <c r="D44" s="382">
        <v>98617.82</v>
      </c>
      <c r="E44" s="380"/>
      <c r="F44" s="518"/>
      <c r="G44" s="382">
        <v>9761.4500000000007</v>
      </c>
      <c r="H44" s="382">
        <v>4628.8999999999996</v>
      </c>
      <c r="I44" s="382">
        <v>-36561.5</v>
      </c>
      <c r="J44" s="382">
        <v>1142.73</v>
      </c>
      <c r="K44" s="382">
        <v>369</v>
      </c>
      <c r="L44" s="382">
        <v>89502.5</v>
      </c>
      <c r="M44" s="325">
        <f t="shared" si="0"/>
        <v>997709.44000000006</v>
      </c>
      <c r="N44" s="386">
        <v>2826.15</v>
      </c>
      <c r="O44" s="386">
        <v>248.4</v>
      </c>
      <c r="P44" s="386">
        <v>63041</v>
      </c>
      <c r="Q44" s="386">
        <v>2076</v>
      </c>
      <c r="R44" s="386">
        <v>29643.75</v>
      </c>
      <c r="S44" s="371">
        <v>1629.88</v>
      </c>
      <c r="T44" s="439">
        <f t="shared" si="1"/>
        <v>1097174.6200000001</v>
      </c>
      <c r="U44" s="387">
        <v>76</v>
      </c>
      <c r="V44" s="390">
        <f>VLOOKUP(B44,'[1]2021'!$C:$D,2,FALSE)</f>
        <v>398</v>
      </c>
      <c r="W44" s="436">
        <v>-5446.47</v>
      </c>
      <c r="X44" s="442"/>
      <c r="Y44" s="442">
        <v>-270.48</v>
      </c>
      <c r="Z44" s="447">
        <v>1.2</v>
      </c>
      <c r="AA44" s="484">
        <v>1097174.6200000001</v>
      </c>
      <c r="AB44" s="484">
        <v>-5446.47</v>
      </c>
      <c r="AC44" s="484"/>
      <c r="AD44" s="484">
        <v>-270.48</v>
      </c>
      <c r="AE44" s="526">
        <f t="shared" si="2"/>
        <v>0</v>
      </c>
      <c r="AF44" s="526">
        <f t="shared" si="3"/>
        <v>0</v>
      </c>
      <c r="AG44" s="527">
        <f t="shared" si="4"/>
        <v>0</v>
      </c>
      <c r="AH44" s="527">
        <f t="shared" si="5"/>
        <v>0</v>
      </c>
      <c r="AI44" s="489">
        <v>398</v>
      </c>
      <c r="AJ44" s="489">
        <f t="shared" si="6"/>
        <v>0</v>
      </c>
      <c r="AK44" s="489"/>
      <c r="AL44" s="489"/>
      <c r="AM44" s="489"/>
      <c r="AN44" s="489"/>
    </row>
    <row r="45" spans="1:40" x14ac:dyDescent="0.25">
      <c r="A45" s="332">
        <v>5475</v>
      </c>
      <c r="B45" s="459" t="s">
        <v>361</v>
      </c>
      <c r="C45" s="382">
        <v>253400.1</v>
      </c>
      <c r="D45" s="382">
        <v>42955.33</v>
      </c>
      <c r="E45" s="380"/>
      <c r="F45" s="518"/>
      <c r="G45" s="382">
        <v>303.3</v>
      </c>
      <c r="H45" s="382">
        <v>43</v>
      </c>
      <c r="I45" s="382"/>
      <c r="J45" s="382">
        <v>738.72</v>
      </c>
      <c r="K45" s="382"/>
      <c r="L45" s="382">
        <v>25399.3</v>
      </c>
      <c r="M45" s="325">
        <f t="shared" si="0"/>
        <v>322839.74999999994</v>
      </c>
      <c r="N45" s="386"/>
      <c r="O45" s="386"/>
      <c r="P45" s="386">
        <v>910.7</v>
      </c>
      <c r="Q45" s="386">
        <v>61.03</v>
      </c>
      <c r="R45" s="386">
        <v>8489.85</v>
      </c>
      <c r="S45" s="371">
        <v>39.22</v>
      </c>
      <c r="T45" s="439">
        <f t="shared" si="1"/>
        <v>332340.54999999993</v>
      </c>
      <c r="U45" s="387">
        <v>75</v>
      </c>
      <c r="V45" s="390">
        <f>VLOOKUP(B45,'[1]2021'!$C:$D,2,FALSE)</f>
        <v>155</v>
      </c>
      <c r="W45" s="436">
        <v>-2144.58</v>
      </c>
      <c r="X45" s="442"/>
      <c r="Y45" s="442">
        <v>0</v>
      </c>
      <c r="Z45" s="447">
        <v>1</v>
      </c>
      <c r="AA45" s="484">
        <v>332340.55</v>
      </c>
      <c r="AB45" s="484">
        <v>-2144.58</v>
      </c>
      <c r="AC45" s="484"/>
      <c r="AD45" s="484">
        <v>0</v>
      </c>
      <c r="AE45" s="526">
        <f t="shared" si="2"/>
        <v>0</v>
      </c>
      <c r="AF45" s="526">
        <f t="shared" si="3"/>
        <v>0</v>
      </c>
      <c r="AG45" s="527">
        <f t="shared" si="4"/>
        <v>0</v>
      </c>
      <c r="AH45" s="527">
        <f t="shared" si="5"/>
        <v>0</v>
      </c>
      <c r="AI45" s="489">
        <v>155</v>
      </c>
      <c r="AJ45" s="489">
        <f t="shared" si="6"/>
        <v>0</v>
      </c>
      <c r="AK45" s="489"/>
      <c r="AL45" s="489"/>
      <c r="AM45" s="489"/>
      <c r="AN45" s="489"/>
    </row>
    <row r="46" spans="1:40" x14ac:dyDescent="0.25">
      <c r="A46" s="332">
        <v>5476</v>
      </c>
      <c r="B46" s="459" t="s">
        <v>362</v>
      </c>
      <c r="C46" s="382">
        <v>738808.12</v>
      </c>
      <c r="D46" s="382">
        <v>74910.12</v>
      </c>
      <c r="E46" s="380"/>
      <c r="F46" s="518"/>
      <c r="G46" s="382">
        <v>319.3</v>
      </c>
      <c r="H46" s="382">
        <v>-4343.1499999999996</v>
      </c>
      <c r="I46" s="382"/>
      <c r="J46" s="382">
        <v>8338.2800000000007</v>
      </c>
      <c r="K46" s="382"/>
      <c r="L46" s="382">
        <v>61737.3</v>
      </c>
      <c r="M46" s="325">
        <f t="shared" si="0"/>
        <v>879769.97000000009</v>
      </c>
      <c r="N46" s="386"/>
      <c r="O46" s="386"/>
      <c r="P46" s="386">
        <v>47404.15</v>
      </c>
      <c r="Q46" s="386"/>
      <c r="R46" s="386">
        <v>41817.9</v>
      </c>
      <c r="S46" s="371">
        <v>-455.75</v>
      </c>
      <c r="T46" s="439">
        <f t="shared" si="1"/>
        <v>968536.27000000014</v>
      </c>
      <c r="U46" s="387">
        <v>72.5</v>
      </c>
      <c r="V46" s="390">
        <f>VLOOKUP(B46,'[1]2021'!$C:$D,2,FALSE)</f>
        <v>322</v>
      </c>
      <c r="W46" s="436">
        <v>-3599.73</v>
      </c>
      <c r="X46" s="442"/>
      <c r="Y46" s="442">
        <v>-254.69</v>
      </c>
      <c r="Z46" s="447">
        <v>1</v>
      </c>
      <c r="AA46" s="484">
        <v>968536.27</v>
      </c>
      <c r="AB46" s="484">
        <v>-3599.73</v>
      </c>
      <c r="AC46" s="484"/>
      <c r="AD46" s="484">
        <v>-254.69</v>
      </c>
      <c r="AE46" s="526">
        <f t="shared" si="2"/>
        <v>0</v>
      </c>
      <c r="AF46" s="526">
        <f t="shared" si="3"/>
        <v>0</v>
      </c>
      <c r="AG46" s="527">
        <f t="shared" si="4"/>
        <v>0</v>
      </c>
      <c r="AH46" s="527">
        <f t="shared" si="5"/>
        <v>0</v>
      </c>
      <c r="AI46" s="489">
        <v>322</v>
      </c>
      <c r="AJ46" s="489">
        <f t="shared" si="6"/>
        <v>0</v>
      </c>
      <c r="AK46" s="489"/>
      <c r="AL46" s="489"/>
      <c r="AM46" s="489"/>
      <c r="AN46" s="489"/>
    </row>
    <row r="47" spans="1:40" x14ac:dyDescent="0.25">
      <c r="A47" s="332">
        <v>5477</v>
      </c>
      <c r="B47" s="459" t="s">
        <v>363</v>
      </c>
      <c r="C47" s="382">
        <v>7793073.3899999997</v>
      </c>
      <c r="D47" s="382">
        <v>976168.19</v>
      </c>
      <c r="E47" s="380"/>
      <c r="F47" s="518"/>
      <c r="G47" s="382">
        <v>416291.7</v>
      </c>
      <c r="H47" s="382">
        <v>15636.75</v>
      </c>
      <c r="I47" s="382"/>
      <c r="J47" s="382">
        <v>171591.45</v>
      </c>
      <c r="K47" s="382">
        <v>58880.4</v>
      </c>
      <c r="L47" s="382">
        <v>754712.75</v>
      </c>
      <c r="M47" s="325">
        <f t="shared" si="0"/>
        <v>10186354.629999999</v>
      </c>
      <c r="N47" s="386">
        <v>116740.25</v>
      </c>
      <c r="O47" s="386">
        <v>155937.70000000001</v>
      </c>
      <c r="P47" s="386">
        <v>425939.65</v>
      </c>
      <c r="Q47" s="386">
        <v>57373.19</v>
      </c>
      <c r="R47" s="386">
        <v>484737.1</v>
      </c>
      <c r="S47" s="371">
        <v>48921.13</v>
      </c>
      <c r="T47" s="439">
        <f t="shared" si="1"/>
        <v>11476003.649999999</v>
      </c>
      <c r="U47" s="387">
        <v>69.5</v>
      </c>
      <c r="V47" s="390">
        <f>VLOOKUP(B47,'[1]2021'!$C:$D,2,FALSE)</f>
        <v>4326</v>
      </c>
      <c r="W47" s="436">
        <v>-380726.05</v>
      </c>
      <c r="X47" s="442"/>
      <c r="Y47" s="442">
        <v>-1363.04</v>
      </c>
      <c r="Z47" s="447">
        <v>1</v>
      </c>
      <c r="AA47" s="484">
        <v>11476003.65</v>
      </c>
      <c r="AB47" s="484">
        <v>-380726.05</v>
      </c>
      <c r="AC47" s="484"/>
      <c r="AD47" s="484">
        <v>-1363.04</v>
      </c>
      <c r="AE47" s="526">
        <f t="shared" si="2"/>
        <v>0</v>
      </c>
      <c r="AF47" s="526">
        <f t="shared" si="3"/>
        <v>0</v>
      </c>
      <c r="AG47" s="527">
        <f t="shared" si="4"/>
        <v>0</v>
      </c>
      <c r="AH47" s="527">
        <f t="shared" si="5"/>
        <v>0</v>
      </c>
      <c r="AI47" s="489">
        <v>4326</v>
      </c>
      <c r="AJ47" s="489">
        <f t="shared" si="6"/>
        <v>0</v>
      </c>
      <c r="AK47" s="489"/>
      <c r="AL47" s="489"/>
      <c r="AM47" s="489"/>
      <c r="AN47" s="489"/>
    </row>
    <row r="48" spans="1:40" x14ac:dyDescent="0.25">
      <c r="A48" s="332">
        <v>5478</v>
      </c>
      <c r="B48" s="459" t="s">
        <v>234</v>
      </c>
      <c r="C48" s="382">
        <v>905949.07</v>
      </c>
      <c r="D48" s="382">
        <v>154851.44</v>
      </c>
      <c r="E48" s="380"/>
      <c r="F48" s="518"/>
      <c r="G48" s="382">
        <v>3573.75</v>
      </c>
      <c r="H48" s="382">
        <v>225.45</v>
      </c>
      <c r="I48" s="382"/>
      <c r="J48" s="382">
        <v>27824.06</v>
      </c>
      <c r="K48" s="382">
        <v>250</v>
      </c>
      <c r="L48" s="382">
        <v>79917.5</v>
      </c>
      <c r="M48" s="325">
        <f t="shared" si="0"/>
        <v>1172591.27</v>
      </c>
      <c r="N48" s="386">
        <v>519.25</v>
      </c>
      <c r="O48" s="386"/>
      <c r="P48" s="386">
        <v>15493.5</v>
      </c>
      <c r="Q48" s="386"/>
      <c r="R48" s="386">
        <v>35312.5</v>
      </c>
      <c r="S48" s="371">
        <v>430.31</v>
      </c>
      <c r="T48" s="439">
        <f t="shared" si="1"/>
        <v>1224346.83</v>
      </c>
      <c r="U48" s="387">
        <v>74</v>
      </c>
      <c r="V48" s="390">
        <v>484</v>
      </c>
      <c r="W48" s="436">
        <v>-8027.52</v>
      </c>
      <c r="X48" s="442"/>
      <c r="Y48" s="442">
        <v>-143.1</v>
      </c>
      <c r="Z48" s="447">
        <v>1</v>
      </c>
      <c r="AA48" s="484">
        <v>1224346.83</v>
      </c>
      <c r="AB48" s="484">
        <v>-8027.52</v>
      </c>
      <c r="AC48" s="484"/>
      <c r="AD48" s="484">
        <v>-143.1</v>
      </c>
      <c r="AE48" s="526">
        <f t="shared" si="2"/>
        <v>0</v>
      </c>
      <c r="AF48" s="526">
        <f t="shared" si="3"/>
        <v>0</v>
      </c>
      <c r="AG48" s="527">
        <f t="shared" si="4"/>
        <v>0</v>
      </c>
      <c r="AH48" s="527">
        <f t="shared" si="5"/>
        <v>0</v>
      </c>
      <c r="AI48" s="489">
        <v>484</v>
      </c>
      <c r="AJ48" s="489">
        <f t="shared" si="6"/>
        <v>0</v>
      </c>
      <c r="AK48" s="489"/>
      <c r="AL48" s="489"/>
      <c r="AM48" s="489"/>
      <c r="AN48" s="489"/>
    </row>
    <row r="49" spans="1:40" x14ac:dyDescent="0.25">
      <c r="A49" s="332">
        <v>5479</v>
      </c>
      <c r="B49" s="459" t="s">
        <v>235</v>
      </c>
      <c r="C49" s="382">
        <v>1237762.04</v>
      </c>
      <c r="D49" s="382">
        <v>112447.46</v>
      </c>
      <c r="E49" s="380"/>
      <c r="F49" s="518"/>
      <c r="G49" s="382">
        <v>9132.65</v>
      </c>
      <c r="H49" s="382">
        <v>16.5</v>
      </c>
      <c r="I49" s="382">
        <v>-25685.4</v>
      </c>
      <c r="J49" s="382">
        <v>15477.41</v>
      </c>
      <c r="K49" s="382">
        <v>1464.25</v>
      </c>
      <c r="L49" s="382">
        <v>90803.45</v>
      </c>
      <c r="M49" s="325">
        <f t="shared" si="0"/>
        <v>1441418.3599999999</v>
      </c>
      <c r="N49" s="386">
        <v>7894.9</v>
      </c>
      <c r="O49" s="386">
        <v>53272.3</v>
      </c>
      <c r="P49" s="386">
        <v>46290.75</v>
      </c>
      <c r="Q49" s="386"/>
      <c r="R49" s="386">
        <v>15856.95</v>
      </c>
      <c r="S49" s="371">
        <v>1036.25</v>
      </c>
      <c r="T49" s="439">
        <f t="shared" si="1"/>
        <v>1565769.5099999998</v>
      </c>
      <c r="U49" s="387">
        <v>77</v>
      </c>
      <c r="V49" s="390">
        <f>VLOOKUP(B49,'[1]2021'!$C:$D,2,FALSE)</f>
        <v>531</v>
      </c>
      <c r="W49" s="436">
        <v>-57619.12</v>
      </c>
      <c r="X49" s="442"/>
      <c r="Y49" s="442">
        <v>0</v>
      </c>
      <c r="Z49" s="447">
        <v>1</v>
      </c>
      <c r="AA49" s="484">
        <v>1565769.51</v>
      </c>
      <c r="AB49" s="484">
        <v>-57619.12</v>
      </c>
      <c r="AC49" s="484"/>
      <c r="AD49" s="484">
        <v>0</v>
      </c>
      <c r="AE49" s="526">
        <f t="shared" si="2"/>
        <v>0</v>
      </c>
      <c r="AF49" s="526">
        <f t="shared" si="3"/>
        <v>0</v>
      </c>
      <c r="AG49" s="527">
        <f t="shared" si="4"/>
        <v>0</v>
      </c>
      <c r="AH49" s="527">
        <f t="shared" si="5"/>
        <v>0</v>
      </c>
      <c r="AI49" s="489">
        <v>531</v>
      </c>
      <c r="AJ49" s="489">
        <f t="shared" si="6"/>
        <v>0</v>
      </c>
      <c r="AK49" s="489"/>
      <c r="AL49" s="489"/>
      <c r="AM49" s="489"/>
      <c r="AN49" s="489"/>
    </row>
    <row r="50" spans="1:40" x14ac:dyDescent="0.25">
      <c r="A50" s="332">
        <v>5480</v>
      </c>
      <c r="B50" s="459" t="s">
        <v>236</v>
      </c>
      <c r="C50" s="382">
        <v>2123184.9300000002</v>
      </c>
      <c r="D50" s="382">
        <v>277454.71999999997</v>
      </c>
      <c r="E50" s="380"/>
      <c r="F50" s="518"/>
      <c r="G50" s="382">
        <v>-39909.800000000003</v>
      </c>
      <c r="H50" s="382">
        <v>14073.15</v>
      </c>
      <c r="I50" s="382"/>
      <c r="J50" s="382">
        <v>40898.230000000003</v>
      </c>
      <c r="K50" s="382">
        <v>12107.15</v>
      </c>
      <c r="L50" s="382">
        <v>375692.2</v>
      </c>
      <c r="M50" s="325">
        <f t="shared" si="0"/>
        <v>2803500.5800000005</v>
      </c>
      <c r="N50" s="386">
        <v>229974.39999999999</v>
      </c>
      <c r="O50" s="386"/>
      <c r="P50" s="386">
        <v>180519.15</v>
      </c>
      <c r="Q50" s="386">
        <v>49270.01</v>
      </c>
      <c r="R50" s="386">
        <v>118166.55</v>
      </c>
      <c r="S50" s="371">
        <v>-2926.31</v>
      </c>
      <c r="T50" s="439">
        <f t="shared" si="1"/>
        <v>3378504.38</v>
      </c>
      <c r="U50" s="387">
        <v>66</v>
      </c>
      <c r="V50" s="390">
        <f>VLOOKUP(B50,'[1]2021'!$C:$D,2,FALSE)</f>
        <v>1051</v>
      </c>
      <c r="W50" s="436">
        <v>-61393.75</v>
      </c>
      <c r="X50" s="442"/>
      <c r="Y50" s="442">
        <v>-1047.54</v>
      </c>
      <c r="Z50" s="447">
        <v>1.2</v>
      </c>
      <c r="AA50" s="484">
        <v>3378504.38</v>
      </c>
      <c r="AB50" s="484">
        <v>-61393.75</v>
      </c>
      <c r="AC50" s="484"/>
      <c r="AD50" s="484">
        <v>-1047.54</v>
      </c>
      <c r="AE50" s="526">
        <f t="shared" si="2"/>
        <v>0</v>
      </c>
      <c r="AF50" s="526">
        <f t="shared" si="3"/>
        <v>0</v>
      </c>
      <c r="AG50" s="527">
        <f t="shared" si="4"/>
        <v>0</v>
      </c>
      <c r="AH50" s="527">
        <f t="shared" si="5"/>
        <v>0</v>
      </c>
      <c r="AI50" s="489">
        <v>1051</v>
      </c>
      <c r="AJ50" s="489">
        <f t="shared" si="6"/>
        <v>0</v>
      </c>
      <c r="AK50" s="489"/>
      <c r="AL50" s="489"/>
      <c r="AM50" s="489"/>
      <c r="AN50" s="489"/>
    </row>
    <row r="51" spans="1:40" x14ac:dyDescent="0.25">
      <c r="A51" s="332">
        <v>5481</v>
      </c>
      <c r="B51" s="459" t="s">
        <v>237</v>
      </c>
      <c r="C51" s="382">
        <v>455686.95</v>
      </c>
      <c r="D51" s="382">
        <v>97788.61</v>
      </c>
      <c r="E51" s="380"/>
      <c r="F51" s="518"/>
      <c r="G51" s="382">
        <v>13007.8</v>
      </c>
      <c r="H51" s="382">
        <v>533.04999999999995</v>
      </c>
      <c r="I51" s="382"/>
      <c r="J51" s="382">
        <v>-833.47</v>
      </c>
      <c r="K51" s="382"/>
      <c r="L51" s="382">
        <v>41423.35</v>
      </c>
      <c r="M51" s="325">
        <f t="shared" si="0"/>
        <v>607606.29000000015</v>
      </c>
      <c r="N51" s="386"/>
      <c r="O51" s="386"/>
      <c r="P51" s="386">
        <v>16085.85</v>
      </c>
      <c r="Q51" s="386"/>
      <c r="R51" s="386">
        <v>1853.3</v>
      </c>
      <c r="S51" s="371">
        <v>1533.67</v>
      </c>
      <c r="T51" s="439">
        <f t="shared" si="1"/>
        <v>627079.11000000022</v>
      </c>
      <c r="U51" s="387">
        <v>75</v>
      </c>
      <c r="V51" s="390">
        <f>VLOOKUP(B51,'[1]2021'!$C:$D,2,FALSE)</f>
        <v>225</v>
      </c>
      <c r="W51" s="436">
        <v>-73.41</v>
      </c>
      <c r="X51" s="442"/>
      <c r="Y51" s="442">
        <v>0</v>
      </c>
      <c r="Z51" s="447">
        <v>1</v>
      </c>
      <c r="AA51" s="484">
        <v>627079.11</v>
      </c>
      <c r="AB51" s="484">
        <v>-73.41</v>
      </c>
      <c r="AC51" s="484"/>
      <c r="AD51" s="484">
        <v>0</v>
      </c>
      <c r="AE51" s="526">
        <f t="shared" si="2"/>
        <v>0</v>
      </c>
      <c r="AF51" s="526">
        <f t="shared" si="3"/>
        <v>0</v>
      </c>
      <c r="AG51" s="527">
        <f t="shared" si="4"/>
        <v>0</v>
      </c>
      <c r="AH51" s="527">
        <f t="shared" si="5"/>
        <v>0</v>
      </c>
      <c r="AI51" s="489">
        <v>225</v>
      </c>
      <c r="AJ51" s="489">
        <f t="shared" si="6"/>
        <v>0</v>
      </c>
      <c r="AK51" s="489"/>
      <c r="AL51" s="489"/>
      <c r="AM51" s="489"/>
      <c r="AN51" s="489"/>
    </row>
    <row r="52" spans="1:40" x14ac:dyDescent="0.25">
      <c r="A52" s="332">
        <v>5482</v>
      </c>
      <c r="B52" s="459" t="s">
        <v>238</v>
      </c>
      <c r="C52" s="382">
        <v>1465884.87</v>
      </c>
      <c r="D52" s="382">
        <v>102517.28</v>
      </c>
      <c r="E52" s="380"/>
      <c r="F52" s="518"/>
      <c r="G52" s="382">
        <v>339145.3</v>
      </c>
      <c r="H52" s="382">
        <v>23203.35</v>
      </c>
      <c r="I52" s="382"/>
      <c r="J52" s="382">
        <v>43014.7</v>
      </c>
      <c r="K52" s="382">
        <v>54198.35</v>
      </c>
      <c r="L52" s="382">
        <v>443951.55</v>
      </c>
      <c r="M52" s="325">
        <f t="shared" si="0"/>
        <v>2471915.4000000004</v>
      </c>
      <c r="N52" s="386">
        <v>311950.55</v>
      </c>
      <c r="O52" s="386">
        <v>29857</v>
      </c>
      <c r="P52" s="386">
        <v>149037.35</v>
      </c>
      <c r="Q52" s="386">
        <v>5313.64</v>
      </c>
      <c r="R52" s="386">
        <v>26578.95</v>
      </c>
      <c r="S52" s="371">
        <v>41040.379999999997</v>
      </c>
      <c r="T52" s="439">
        <f t="shared" si="1"/>
        <v>3035693.2700000005</v>
      </c>
      <c r="U52" s="387">
        <v>46</v>
      </c>
      <c r="V52" s="390">
        <f>VLOOKUP(B52,'[1]2021'!$C:$D,2,FALSE)</f>
        <v>1198</v>
      </c>
      <c r="W52" s="436">
        <v>-24344.36</v>
      </c>
      <c r="X52" s="442"/>
      <c r="Y52" s="442">
        <v>-893.6</v>
      </c>
      <c r="Z52" s="447">
        <v>1</v>
      </c>
      <c r="AA52" s="484">
        <v>3035693.27</v>
      </c>
      <c r="AB52" s="484">
        <v>-24344.36</v>
      </c>
      <c r="AC52" s="484"/>
      <c r="AD52" s="484">
        <v>-893.6</v>
      </c>
      <c r="AE52" s="526">
        <f t="shared" si="2"/>
        <v>0</v>
      </c>
      <c r="AF52" s="526">
        <f t="shared" si="3"/>
        <v>0</v>
      </c>
      <c r="AG52" s="527">
        <f t="shared" si="4"/>
        <v>0</v>
      </c>
      <c r="AH52" s="527">
        <f t="shared" si="5"/>
        <v>0</v>
      </c>
      <c r="AI52" s="489">
        <v>1198</v>
      </c>
      <c r="AJ52" s="489">
        <f t="shared" si="6"/>
        <v>0</v>
      </c>
      <c r="AK52" s="489"/>
      <c r="AL52" s="489"/>
      <c r="AM52" s="489"/>
      <c r="AN52" s="489"/>
    </row>
    <row r="53" spans="1:40" x14ac:dyDescent="0.25">
      <c r="A53" s="332">
        <v>5483</v>
      </c>
      <c r="B53" s="459" t="s">
        <v>138</v>
      </c>
      <c r="C53" s="382">
        <v>668207.48</v>
      </c>
      <c r="D53" s="382">
        <v>80851.03</v>
      </c>
      <c r="E53" s="380"/>
      <c r="F53" s="518"/>
      <c r="G53" s="382">
        <v>1712.6</v>
      </c>
      <c r="H53" s="382">
        <v>698.8</v>
      </c>
      <c r="I53" s="382"/>
      <c r="J53" s="382">
        <v>2470.9699999999998</v>
      </c>
      <c r="K53" s="382">
        <v>175.5</v>
      </c>
      <c r="L53" s="382">
        <v>57093.4</v>
      </c>
      <c r="M53" s="325">
        <f t="shared" si="0"/>
        <v>811209.78</v>
      </c>
      <c r="N53" s="386"/>
      <c r="O53" s="386"/>
      <c r="P53" s="386">
        <v>7370.05</v>
      </c>
      <c r="Q53" s="386"/>
      <c r="R53" s="386">
        <v>5726.6</v>
      </c>
      <c r="S53" s="371">
        <v>273.12</v>
      </c>
      <c r="T53" s="439">
        <f t="shared" si="1"/>
        <v>824579.55</v>
      </c>
      <c r="U53" s="387">
        <v>76</v>
      </c>
      <c r="V53" s="390">
        <f>VLOOKUP(B53,'[1]2021'!$C:$D,2,FALSE)</f>
        <v>319</v>
      </c>
      <c r="W53" s="436">
        <v>-9810.84</v>
      </c>
      <c r="X53" s="442"/>
      <c r="Y53" s="442">
        <v>-850.75</v>
      </c>
      <c r="Z53" s="447">
        <v>1</v>
      </c>
      <c r="AA53" s="484">
        <v>824579.55</v>
      </c>
      <c r="AB53" s="484">
        <v>-9810.84</v>
      </c>
      <c r="AC53" s="484"/>
      <c r="AD53" s="484">
        <v>-850.75</v>
      </c>
      <c r="AE53" s="526">
        <f t="shared" si="2"/>
        <v>0</v>
      </c>
      <c r="AF53" s="526">
        <f t="shared" si="3"/>
        <v>0</v>
      </c>
      <c r="AG53" s="527">
        <f t="shared" si="4"/>
        <v>0</v>
      </c>
      <c r="AH53" s="527">
        <f t="shared" si="5"/>
        <v>0</v>
      </c>
      <c r="AI53" s="489">
        <v>319</v>
      </c>
      <c r="AJ53" s="489">
        <f t="shared" si="6"/>
        <v>0</v>
      </c>
      <c r="AK53" s="489"/>
      <c r="AL53" s="489"/>
      <c r="AM53" s="489"/>
      <c r="AN53" s="489"/>
    </row>
    <row r="54" spans="1:40" x14ac:dyDescent="0.25">
      <c r="A54" s="332">
        <v>5484</v>
      </c>
      <c r="B54" s="459" t="s">
        <v>139</v>
      </c>
      <c r="C54" s="382">
        <v>2129014.9900000002</v>
      </c>
      <c r="D54" s="382">
        <v>255931.75</v>
      </c>
      <c r="E54" s="380"/>
      <c r="F54" s="518"/>
      <c r="G54" s="382">
        <v>31895.599999999999</v>
      </c>
      <c r="H54" s="382">
        <v>2658.85</v>
      </c>
      <c r="I54" s="382"/>
      <c r="J54" s="382">
        <v>23138.720000000001</v>
      </c>
      <c r="K54" s="382">
        <v>6192.35</v>
      </c>
      <c r="L54" s="382">
        <v>199256.8</v>
      </c>
      <c r="M54" s="325">
        <f t="shared" si="0"/>
        <v>2648089.0600000005</v>
      </c>
      <c r="N54" s="386">
        <v>32793.65</v>
      </c>
      <c r="O54" s="386">
        <v>5997.1</v>
      </c>
      <c r="P54" s="386">
        <v>144022.6</v>
      </c>
      <c r="Q54" s="386">
        <v>23617.33</v>
      </c>
      <c r="R54" s="386">
        <v>88519.15</v>
      </c>
      <c r="S54" s="371">
        <v>3913.71</v>
      </c>
      <c r="T54" s="439">
        <f t="shared" si="1"/>
        <v>2946952.6000000006</v>
      </c>
      <c r="U54" s="387">
        <v>74</v>
      </c>
      <c r="V54" s="390">
        <f>VLOOKUP(B54,'[1]2021'!$C:$D,2,FALSE)</f>
        <v>1018</v>
      </c>
      <c r="W54" s="436">
        <v>-15238.01</v>
      </c>
      <c r="X54" s="442"/>
      <c r="Y54" s="442">
        <v>-32.799999999999997</v>
      </c>
      <c r="Z54" s="447">
        <v>1</v>
      </c>
      <c r="AA54" s="484">
        <v>2946952.6</v>
      </c>
      <c r="AB54" s="484">
        <v>-15238.01</v>
      </c>
      <c r="AC54" s="484"/>
      <c r="AD54" s="484">
        <v>-32.799999999999997</v>
      </c>
      <c r="AE54" s="526">
        <f t="shared" si="2"/>
        <v>0</v>
      </c>
      <c r="AF54" s="526">
        <f t="shared" si="3"/>
        <v>0</v>
      </c>
      <c r="AG54" s="527">
        <f t="shared" si="4"/>
        <v>0</v>
      </c>
      <c r="AH54" s="527">
        <f t="shared" si="5"/>
        <v>0</v>
      </c>
      <c r="AI54" s="489">
        <v>1018</v>
      </c>
      <c r="AJ54" s="489">
        <f t="shared" si="6"/>
        <v>0</v>
      </c>
      <c r="AK54" s="489"/>
      <c r="AL54" s="489"/>
      <c r="AM54" s="489"/>
      <c r="AN54" s="489"/>
    </row>
    <row r="55" spans="1:40" x14ac:dyDescent="0.25">
      <c r="A55" s="332">
        <v>5485</v>
      </c>
      <c r="B55" s="459" t="s">
        <v>140</v>
      </c>
      <c r="C55" s="382">
        <v>1424211.48</v>
      </c>
      <c r="D55" s="382">
        <v>174516.12</v>
      </c>
      <c r="E55" s="380"/>
      <c r="F55" s="518"/>
      <c r="G55" s="382">
        <v>37892.400000000001</v>
      </c>
      <c r="H55" s="382">
        <v>1033.75</v>
      </c>
      <c r="I55" s="382"/>
      <c r="J55" s="382">
        <v>887.65</v>
      </c>
      <c r="K55" s="382">
        <v>-244</v>
      </c>
      <c r="L55" s="382">
        <v>79438.55</v>
      </c>
      <c r="M55" s="325">
        <f t="shared" si="0"/>
        <v>1717735.95</v>
      </c>
      <c r="N55" s="386">
        <v>12308.85</v>
      </c>
      <c r="O55" s="386">
        <v>1.4</v>
      </c>
      <c r="P55" s="386">
        <v>85562.8</v>
      </c>
      <c r="Q55" s="386">
        <v>1394.72</v>
      </c>
      <c r="R55" s="386">
        <v>57300.15</v>
      </c>
      <c r="S55" s="371">
        <v>4408.8599999999997</v>
      </c>
      <c r="T55" s="439">
        <f t="shared" si="1"/>
        <v>1878712.73</v>
      </c>
      <c r="U55" s="387">
        <v>70</v>
      </c>
      <c r="V55" s="390">
        <f>VLOOKUP(B55,'[1]2021'!$C:$D,2,FALSE)</f>
        <v>445</v>
      </c>
      <c r="W55" s="436">
        <v>-9064.44</v>
      </c>
      <c r="X55" s="442"/>
      <c r="Y55" s="442">
        <v>-268.92</v>
      </c>
      <c r="Z55" s="447">
        <v>1</v>
      </c>
      <c r="AA55" s="484">
        <v>1878712.73</v>
      </c>
      <c r="AB55" s="484">
        <v>-9064.44</v>
      </c>
      <c r="AC55" s="484"/>
      <c r="AD55" s="484">
        <v>-268.92</v>
      </c>
      <c r="AE55" s="526">
        <f t="shared" si="2"/>
        <v>0</v>
      </c>
      <c r="AF55" s="526">
        <f t="shared" si="3"/>
        <v>0</v>
      </c>
      <c r="AG55" s="527">
        <f t="shared" si="4"/>
        <v>0</v>
      </c>
      <c r="AH55" s="527">
        <f t="shared" si="5"/>
        <v>0</v>
      </c>
      <c r="AI55" s="489">
        <v>445</v>
      </c>
      <c r="AJ55" s="489">
        <f t="shared" si="6"/>
        <v>0</v>
      </c>
      <c r="AK55" s="489"/>
      <c r="AL55" s="489"/>
      <c r="AM55" s="489"/>
      <c r="AN55" s="489"/>
    </row>
    <row r="56" spans="1:40" x14ac:dyDescent="0.25">
      <c r="A56" s="332">
        <v>5486</v>
      </c>
      <c r="B56" s="459" t="s">
        <v>1</v>
      </c>
      <c r="C56" s="382">
        <v>1659115.49</v>
      </c>
      <c r="D56" s="382">
        <v>339466.74</v>
      </c>
      <c r="E56" s="380"/>
      <c r="F56" s="518"/>
      <c r="G56" s="382">
        <v>40384.65</v>
      </c>
      <c r="H56" s="382">
        <v>4801.1000000000004</v>
      </c>
      <c r="I56" s="382">
        <v>-34441</v>
      </c>
      <c r="J56" s="382">
        <v>35680.080000000002</v>
      </c>
      <c r="K56" s="382">
        <v>11348.3</v>
      </c>
      <c r="L56" s="382">
        <v>201357.5</v>
      </c>
      <c r="M56" s="325">
        <f t="shared" si="0"/>
        <v>2257712.8600000003</v>
      </c>
      <c r="N56" s="386">
        <v>49479.55</v>
      </c>
      <c r="O56" s="386">
        <v>31401.5</v>
      </c>
      <c r="P56" s="386">
        <v>129063</v>
      </c>
      <c r="Q56" s="386">
        <v>5560.12</v>
      </c>
      <c r="R56" s="386">
        <v>164204.70000000001</v>
      </c>
      <c r="S56" s="371">
        <v>5117.83</v>
      </c>
      <c r="T56" s="439">
        <f t="shared" si="1"/>
        <v>2642539.5600000005</v>
      </c>
      <c r="U56" s="387">
        <v>75</v>
      </c>
      <c r="V56" s="390">
        <f>VLOOKUP(B56,'[1]2021'!$C:$D,2,FALSE)</f>
        <v>1079</v>
      </c>
      <c r="W56" s="436">
        <v>-76024.160000000003</v>
      </c>
      <c r="X56" s="442"/>
      <c r="Y56" s="442">
        <v>-87.56</v>
      </c>
      <c r="Z56" s="447">
        <v>1</v>
      </c>
      <c r="AA56" s="484">
        <v>2642539.56</v>
      </c>
      <c r="AB56" s="484">
        <v>-76024.160000000003</v>
      </c>
      <c r="AC56" s="484"/>
      <c r="AD56" s="484">
        <v>-87.56</v>
      </c>
      <c r="AE56" s="526">
        <f t="shared" si="2"/>
        <v>0</v>
      </c>
      <c r="AF56" s="526">
        <f t="shared" si="3"/>
        <v>0</v>
      </c>
      <c r="AG56" s="527">
        <f t="shared" si="4"/>
        <v>0</v>
      </c>
      <c r="AH56" s="527">
        <f t="shared" si="5"/>
        <v>0</v>
      </c>
      <c r="AI56" s="489">
        <v>1079</v>
      </c>
      <c r="AJ56" s="489">
        <f t="shared" si="6"/>
        <v>0</v>
      </c>
      <c r="AK56" s="489"/>
      <c r="AL56" s="489"/>
      <c r="AM56" s="489"/>
      <c r="AN56" s="489"/>
    </row>
    <row r="57" spans="1:40" x14ac:dyDescent="0.25">
      <c r="A57" s="332">
        <v>5487</v>
      </c>
      <c r="B57" s="459" t="s">
        <v>2</v>
      </c>
      <c r="C57" s="382">
        <v>1043169.63</v>
      </c>
      <c r="D57" s="382">
        <v>121224.17</v>
      </c>
      <c r="E57" s="380"/>
      <c r="F57" s="518"/>
      <c r="G57" s="382">
        <v>5542.05</v>
      </c>
      <c r="H57" s="382">
        <v>39.65</v>
      </c>
      <c r="I57" s="382"/>
      <c r="J57" s="382">
        <v>331.33</v>
      </c>
      <c r="K57" s="382">
        <v>993.25</v>
      </c>
      <c r="L57" s="382">
        <v>84501.8</v>
      </c>
      <c r="M57" s="325">
        <f t="shared" si="0"/>
        <v>1255801.8800000001</v>
      </c>
      <c r="N57" s="386"/>
      <c r="O57" s="386">
        <v>1988.2</v>
      </c>
      <c r="P57" s="386">
        <v>24475</v>
      </c>
      <c r="Q57" s="386">
        <v>6371.44</v>
      </c>
      <c r="R57" s="386">
        <v>8625.2999999999993</v>
      </c>
      <c r="S57" s="371">
        <v>632.20000000000005</v>
      </c>
      <c r="T57" s="439">
        <f t="shared" si="1"/>
        <v>1297894.02</v>
      </c>
      <c r="U57" s="387">
        <v>75</v>
      </c>
      <c r="V57" s="390">
        <f>VLOOKUP(B57,'[1]2021'!$C:$D,2,FALSE)</f>
        <v>475</v>
      </c>
      <c r="W57" s="436">
        <v>-16121.17</v>
      </c>
      <c r="X57" s="442"/>
      <c r="Y57" s="442">
        <v>-1.21</v>
      </c>
      <c r="Z57" s="447">
        <v>1</v>
      </c>
      <c r="AA57" s="484">
        <v>1297894.02</v>
      </c>
      <c r="AB57" s="484">
        <v>-16121.17</v>
      </c>
      <c r="AC57" s="484"/>
      <c r="AD57" s="484">
        <v>-1.21</v>
      </c>
      <c r="AE57" s="526">
        <f t="shared" si="2"/>
        <v>0</v>
      </c>
      <c r="AF57" s="526">
        <f t="shared" si="3"/>
        <v>0</v>
      </c>
      <c r="AG57" s="527">
        <f t="shared" si="4"/>
        <v>0</v>
      </c>
      <c r="AH57" s="527">
        <f t="shared" si="5"/>
        <v>0</v>
      </c>
      <c r="AI57" s="489">
        <v>475</v>
      </c>
      <c r="AJ57" s="489">
        <f t="shared" si="6"/>
        <v>0</v>
      </c>
      <c r="AK57" s="489"/>
      <c r="AL57" s="489"/>
      <c r="AM57" s="489"/>
      <c r="AN57" s="489"/>
    </row>
    <row r="58" spans="1:40" x14ac:dyDescent="0.25">
      <c r="A58" s="332">
        <v>5488</v>
      </c>
      <c r="B58" s="459" t="s">
        <v>3</v>
      </c>
      <c r="C58" s="382">
        <v>116463.69</v>
      </c>
      <c r="D58" s="382">
        <v>9517.4500000000007</v>
      </c>
      <c r="E58" s="380"/>
      <c r="F58" s="518"/>
      <c r="G58" s="382">
        <v>465.15</v>
      </c>
      <c r="H58" s="382">
        <v>155</v>
      </c>
      <c r="I58" s="382"/>
      <c r="J58" s="382">
        <v>-2075.6799999999998</v>
      </c>
      <c r="K58" s="382"/>
      <c r="L58" s="382">
        <v>8582</v>
      </c>
      <c r="M58" s="325">
        <f t="shared" si="0"/>
        <v>133107.60999999999</v>
      </c>
      <c r="N58" s="386"/>
      <c r="O58" s="386"/>
      <c r="P58" s="386"/>
      <c r="Q58" s="386"/>
      <c r="R58" s="386"/>
      <c r="S58" s="371">
        <v>70.239999999999995</v>
      </c>
      <c r="T58" s="439">
        <f t="shared" si="1"/>
        <v>133177.84999999998</v>
      </c>
      <c r="U58" s="387">
        <v>77</v>
      </c>
      <c r="V58" s="390">
        <f>VLOOKUP(B58,'[1]2021'!$C:$D,2,FALSE)</f>
        <v>60</v>
      </c>
      <c r="W58" s="436">
        <v>-12.59</v>
      </c>
      <c r="X58" s="442"/>
      <c r="Y58" s="442">
        <v>-17.96</v>
      </c>
      <c r="Z58" s="447">
        <v>1</v>
      </c>
      <c r="AA58" s="484">
        <v>133177.85</v>
      </c>
      <c r="AB58" s="484">
        <v>-12.59</v>
      </c>
      <c r="AC58" s="484"/>
      <c r="AD58" s="484">
        <v>-17.96</v>
      </c>
      <c r="AE58" s="526">
        <f t="shared" si="2"/>
        <v>0</v>
      </c>
      <c r="AF58" s="526">
        <f t="shared" si="3"/>
        <v>0</v>
      </c>
      <c r="AG58" s="527">
        <f t="shared" si="4"/>
        <v>0</v>
      </c>
      <c r="AH58" s="527">
        <f t="shared" si="5"/>
        <v>0</v>
      </c>
      <c r="AI58" s="489">
        <v>60</v>
      </c>
      <c r="AJ58" s="489">
        <f t="shared" si="6"/>
        <v>0</v>
      </c>
      <c r="AK58" s="489"/>
      <c r="AL58" s="489"/>
      <c r="AM58" s="489"/>
      <c r="AN58" s="489"/>
    </row>
    <row r="59" spans="1:40" x14ac:dyDescent="0.25">
      <c r="A59" s="332">
        <v>5489</v>
      </c>
      <c r="B59" s="459" t="s">
        <v>4</v>
      </c>
      <c r="C59" s="382">
        <v>1722710.11</v>
      </c>
      <c r="D59" s="382">
        <v>717822.44</v>
      </c>
      <c r="E59" s="380"/>
      <c r="F59" s="518"/>
      <c r="G59" s="513">
        <v>152718.20000000001</v>
      </c>
      <c r="H59" s="513">
        <v>82003.850000000006</v>
      </c>
      <c r="I59" s="382"/>
      <c r="J59" s="382">
        <v>80272.08</v>
      </c>
      <c r="K59" s="382">
        <v>6591.5</v>
      </c>
      <c r="L59" s="382">
        <v>299794.45</v>
      </c>
      <c r="M59" s="325">
        <f t="shared" si="0"/>
        <v>3061912.6300000004</v>
      </c>
      <c r="N59" s="514">
        <v>165302.79999999999</v>
      </c>
      <c r="O59" s="386"/>
      <c r="P59" s="386">
        <v>165655.6</v>
      </c>
      <c r="Q59" s="386">
        <v>11010.02</v>
      </c>
      <c r="R59" s="386">
        <v>118495.25</v>
      </c>
      <c r="S59" s="513">
        <v>26585.1</v>
      </c>
      <c r="T59" s="439">
        <f t="shared" si="1"/>
        <v>3548961.4000000004</v>
      </c>
      <c r="U59" s="387">
        <v>59.5</v>
      </c>
      <c r="V59" s="390">
        <f>VLOOKUP(B59,'[1]2021'!$C:$D,2,FALSE)</f>
        <v>795</v>
      </c>
      <c r="W59" s="436">
        <v>-23124.43</v>
      </c>
      <c r="X59" s="442"/>
      <c r="Y59" s="442">
        <v>-49027.49</v>
      </c>
      <c r="Z59" s="447">
        <v>1</v>
      </c>
      <c r="AA59" s="484">
        <v>3548961.4</v>
      </c>
      <c r="AB59" s="484">
        <v>-23124.43</v>
      </c>
      <c r="AC59" s="484"/>
      <c r="AD59" s="484">
        <v>-49027.49</v>
      </c>
      <c r="AE59" s="526">
        <f t="shared" si="2"/>
        <v>0</v>
      </c>
      <c r="AF59" s="526">
        <f t="shared" si="3"/>
        <v>0</v>
      </c>
      <c r="AG59" s="527">
        <f t="shared" si="4"/>
        <v>0</v>
      </c>
      <c r="AH59" s="527">
        <f t="shared" si="5"/>
        <v>0</v>
      </c>
      <c r="AI59" s="489">
        <v>795</v>
      </c>
      <c r="AJ59" s="489">
        <f t="shared" si="6"/>
        <v>0</v>
      </c>
      <c r="AK59" s="489"/>
      <c r="AL59" s="489"/>
      <c r="AM59" s="489"/>
      <c r="AN59" s="489"/>
    </row>
    <row r="60" spans="1:40" x14ac:dyDescent="0.25">
      <c r="A60" s="332">
        <v>5490</v>
      </c>
      <c r="B60" s="459" t="s">
        <v>5</v>
      </c>
      <c r="C60" s="382">
        <v>574735.82999999996</v>
      </c>
      <c r="D60" s="382">
        <v>87372.76</v>
      </c>
      <c r="E60" s="380"/>
      <c r="F60" s="518"/>
      <c r="G60" s="382">
        <v>3474.35</v>
      </c>
      <c r="H60" s="382">
        <v>245.7</v>
      </c>
      <c r="I60" s="382"/>
      <c r="J60" s="382">
        <v>2071.5300000000002</v>
      </c>
      <c r="K60" s="382"/>
      <c r="L60" s="382">
        <v>47397.65</v>
      </c>
      <c r="M60" s="325">
        <f t="shared" si="0"/>
        <v>715297.82</v>
      </c>
      <c r="N60" s="386"/>
      <c r="O60" s="386"/>
      <c r="P60" s="386">
        <v>11853.3</v>
      </c>
      <c r="Q60" s="386"/>
      <c r="R60" s="386">
        <v>26881</v>
      </c>
      <c r="S60" s="371">
        <v>421.34</v>
      </c>
      <c r="T60" s="439">
        <f t="shared" si="1"/>
        <v>754453.46</v>
      </c>
      <c r="U60" s="387">
        <v>77.5</v>
      </c>
      <c r="V60" s="390">
        <f>VLOOKUP(B60,'[1]2021'!$C:$D,2,FALSE)</f>
        <v>301</v>
      </c>
      <c r="W60" s="436">
        <v>-13441.41</v>
      </c>
      <c r="X60" s="442"/>
      <c r="Y60" s="442">
        <v>-368</v>
      </c>
      <c r="Z60" s="447">
        <v>1</v>
      </c>
      <c r="AA60" s="484">
        <v>754453.46</v>
      </c>
      <c r="AB60" s="484">
        <v>-13441.41</v>
      </c>
      <c r="AC60" s="484"/>
      <c r="AD60" s="484">
        <v>-368</v>
      </c>
      <c r="AE60" s="526">
        <f t="shared" si="2"/>
        <v>0</v>
      </c>
      <c r="AF60" s="526">
        <f t="shared" si="3"/>
        <v>0</v>
      </c>
      <c r="AG60" s="527">
        <f t="shared" si="4"/>
        <v>0</v>
      </c>
      <c r="AH60" s="527">
        <f t="shared" si="5"/>
        <v>0</v>
      </c>
      <c r="AI60" s="489">
        <v>301</v>
      </c>
      <c r="AJ60" s="489">
        <f t="shared" si="6"/>
        <v>0</v>
      </c>
      <c r="AK60" s="489"/>
      <c r="AL60" s="489"/>
      <c r="AM60" s="489"/>
      <c r="AN60" s="489"/>
    </row>
    <row r="61" spans="1:40" x14ac:dyDescent="0.25">
      <c r="A61" s="332">
        <v>5491</v>
      </c>
      <c r="B61" s="459" t="s">
        <v>160</v>
      </c>
      <c r="C61" s="382">
        <v>817094.95</v>
      </c>
      <c r="D61" s="382">
        <v>111597.05</v>
      </c>
      <c r="E61" s="380"/>
      <c r="F61" s="518">
        <v>2640</v>
      </c>
      <c r="G61" s="382">
        <v>3796.75</v>
      </c>
      <c r="H61" s="382">
        <v>1928.45</v>
      </c>
      <c r="I61" s="382"/>
      <c r="J61" s="382">
        <v>14479.83</v>
      </c>
      <c r="K61" s="382">
        <v>-1278.5</v>
      </c>
      <c r="L61" s="382">
        <v>90714.25</v>
      </c>
      <c r="M61" s="325">
        <f t="shared" si="0"/>
        <v>1040972.7799999999</v>
      </c>
      <c r="N61" s="386">
        <v>3858.55</v>
      </c>
      <c r="O61" s="386"/>
      <c r="P61" s="386">
        <v>38874</v>
      </c>
      <c r="Q61" s="386">
        <v>1150.07</v>
      </c>
      <c r="R61" s="386">
        <v>6422.8</v>
      </c>
      <c r="S61" s="371">
        <v>648.45000000000005</v>
      </c>
      <c r="T61" s="439">
        <f t="shared" si="1"/>
        <v>1091926.6500000001</v>
      </c>
      <c r="U61" s="387">
        <v>76</v>
      </c>
      <c r="V61" s="390">
        <f>VLOOKUP(B61,'[1]2021'!$C:$D,2,FALSE)</f>
        <v>508</v>
      </c>
      <c r="W61" s="436">
        <v>-5240.1099999999997</v>
      </c>
      <c r="X61" s="442"/>
      <c r="Y61" s="442">
        <v>-212.45</v>
      </c>
      <c r="Z61" s="447">
        <v>1</v>
      </c>
      <c r="AA61" s="484">
        <v>1091926.6499999999</v>
      </c>
      <c r="AB61" s="484">
        <v>-5240.1099999999997</v>
      </c>
      <c r="AC61" s="484"/>
      <c r="AD61" s="484">
        <v>-212.45</v>
      </c>
      <c r="AE61" s="526">
        <f t="shared" si="2"/>
        <v>0</v>
      </c>
      <c r="AF61" s="526">
        <f t="shared" si="3"/>
        <v>0</v>
      </c>
      <c r="AG61" s="527">
        <f t="shared" si="4"/>
        <v>0</v>
      </c>
      <c r="AH61" s="527">
        <f t="shared" si="5"/>
        <v>0</v>
      </c>
      <c r="AI61" s="489">
        <v>508</v>
      </c>
      <c r="AJ61" s="489">
        <f t="shared" si="6"/>
        <v>0</v>
      </c>
      <c r="AK61" s="489"/>
      <c r="AL61" s="489"/>
      <c r="AM61" s="489"/>
      <c r="AN61" s="489"/>
    </row>
    <row r="62" spans="1:40" x14ac:dyDescent="0.25">
      <c r="A62" s="332">
        <v>5492</v>
      </c>
      <c r="B62" s="459" t="s">
        <v>161</v>
      </c>
      <c r="C62" s="382">
        <v>6199342.6900000004</v>
      </c>
      <c r="D62" s="382">
        <v>4598190.0199999996</v>
      </c>
      <c r="E62" s="380"/>
      <c r="F62" s="518"/>
      <c r="G62" s="382">
        <v>58991.35</v>
      </c>
      <c r="H62" s="382">
        <v>2581.15</v>
      </c>
      <c r="I62" s="382"/>
      <c r="J62" s="382">
        <v>111168.97</v>
      </c>
      <c r="K62" s="382">
        <v>3090.45</v>
      </c>
      <c r="L62" s="382">
        <v>74920.649999999994</v>
      </c>
      <c r="M62" s="325">
        <f t="shared" si="0"/>
        <v>11048285.280000001</v>
      </c>
      <c r="N62" s="386">
        <v>5465.05</v>
      </c>
      <c r="O62" s="386">
        <v>206723</v>
      </c>
      <c r="P62" s="386">
        <v>102410.35</v>
      </c>
      <c r="Q62" s="386">
        <v>2782.2</v>
      </c>
      <c r="R62" s="386">
        <v>111182.9</v>
      </c>
      <c r="S62" s="371">
        <v>6973.83</v>
      </c>
      <c r="T62" s="439">
        <f t="shared" si="1"/>
        <v>11483822.610000001</v>
      </c>
      <c r="U62" s="387">
        <v>64</v>
      </c>
      <c r="V62" s="390">
        <f>VLOOKUP(B62,'[1]2021'!$C:$D,2,FALSE)</f>
        <v>981</v>
      </c>
      <c r="W62" s="436">
        <v>-11961.08</v>
      </c>
      <c r="X62" s="442"/>
      <c r="Y62" s="442">
        <v>-3713.94</v>
      </c>
      <c r="Z62" s="447">
        <v>0.3</v>
      </c>
      <c r="AA62" s="484">
        <v>11483822.609999999</v>
      </c>
      <c r="AB62" s="484">
        <v>-11961.08</v>
      </c>
      <c r="AC62" s="484"/>
      <c r="AD62" s="484">
        <v>-3713.94</v>
      </c>
      <c r="AE62" s="526">
        <f t="shared" si="2"/>
        <v>0</v>
      </c>
      <c r="AF62" s="526">
        <f t="shared" si="3"/>
        <v>0</v>
      </c>
      <c r="AG62" s="527">
        <f t="shared" si="4"/>
        <v>0</v>
      </c>
      <c r="AH62" s="527">
        <f t="shared" si="5"/>
        <v>0</v>
      </c>
      <c r="AI62" s="489">
        <v>981</v>
      </c>
      <c r="AJ62" s="489">
        <f t="shared" si="6"/>
        <v>0</v>
      </c>
      <c r="AK62" s="489"/>
      <c r="AL62" s="489"/>
      <c r="AM62" s="489"/>
      <c r="AN62" s="489"/>
    </row>
    <row r="63" spans="1:40" x14ac:dyDescent="0.25">
      <c r="A63" s="332">
        <v>5493</v>
      </c>
      <c r="B63" s="459" t="s">
        <v>162</v>
      </c>
      <c r="C63" s="382">
        <v>809398.85</v>
      </c>
      <c r="D63" s="382">
        <v>84750.25</v>
      </c>
      <c r="E63" s="380"/>
      <c r="F63" s="518"/>
      <c r="G63" s="382">
        <v>4348.2</v>
      </c>
      <c r="H63" s="382">
        <v>2054.4499999999998</v>
      </c>
      <c r="I63" s="382"/>
      <c r="J63" s="382">
        <v>6486.06</v>
      </c>
      <c r="K63" s="382">
        <v>3388.55</v>
      </c>
      <c r="L63" s="382">
        <v>52860.75</v>
      </c>
      <c r="M63" s="325">
        <f t="shared" si="0"/>
        <v>963287.11</v>
      </c>
      <c r="N63" s="386">
        <v>62150.05</v>
      </c>
      <c r="O63" s="386">
        <v>43775.5</v>
      </c>
      <c r="P63" s="386">
        <v>29890.05</v>
      </c>
      <c r="Q63" s="386">
        <v>2314.0100000000002</v>
      </c>
      <c r="R63" s="386">
        <v>80673.899999999994</v>
      </c>
      <c r="S63" s="371">
        <v>725.18</v>
      </c>
      <c r="T63" s="439">
        <f t="shared" si="1"/>
        <v>1182815.8</v>
      </c>
      <c r="U63" s="387">
        <v>73</v>
      </c>
      <c r="V63" s="390">
        <f>VLOOKUP(B63,'[1]2021'!$C:$D,2,FALSE)</f>
        <v>480</v>
      </c>
      <c r="W63" s="436">
        <v>-9727.34</v>
      </c>
      <c r="X63" s="442"/>
      <c r="Y63" s="442">
        <v>-296.35000000000002</v>
      </c>
      <c r="Z63" s="447">
        <v>0.65</v>
      </c>
      <c r="AA63" s="484">
        <v>1182815.8</v>
      </c>
      <c r="AB63" s="484">
        <v>-9727.34</v>
      </c>
      <c r="AC63" s="484"/>
      <c r="AD63" s="484">
        <v>-296.35000000000002</v>
      </c>
      <c r="AE63" s="526">
        <f t="shared" si="2"/>
        <v>0</v>
      </c>
      <c r="AF63" s="526">
        <f t="shared" si="3"/>
        <v>0</v>
      </c>
      <c r="AG63" s="527">
        <f t="shared" si="4"/>
        <v>0</v>
      </c>
      <c r="AH63" s="527">
        <f t="shared" si="5"/>
        <v>0</v>
      </c>
      <c r="AI63" s="489">
        <v>480</v>
      </c>
      <c r="AJ63" s="489">
        <f t="shared" si="6"/>
        <v>0</v>
      </c>
      <c r="AK63" s="489"/>
      <c r="AL63" s="489"/>
      <c r="AM63" s="489"/>
      <c r="AN63" s="489"/>
    </row>
    <row r="64" spans="1:40" x14ac:dyDescent="0.25">
      <c r="A64" s="332">
        <v>5494</v>
      </c>
      <c r="B64" s="459" t="s">
        <v>163</v>
      </c>
      <c r="C64" s="382">
        <v>2549327.81</v>
      </c>
      <c r="D64" s="382">
        <v>296541.77</v>
      </c>
      <c r="E64" s="380"/>
      <c r="F64" s="518"/>
      <c r="G64" s="382">
        <v>53027.45</v>
      </c>
      <c r="H64" s="382">
        <v>3144.8</v>
      </c>
      <c r="I64" s="382"/>
      <c r="J64" s="382">
        <v>46314.76</v>
      </c>
      <c r="K64" s="382">
        <v>2634.4</v>
      </c>
      <c r="L64" s="382">
        <v>243716.25</v>
      </c>
      <c r="M64" s="325">
        <f t="shared" si="0"/>
        <v>3194707.2399999998</v>
      </c>
      <c r="N64" s="386">
        <v>12887.05</v>
      </c>
      <c r="O64" s="386"/>
      <c r="P64" s="386">
        <v>412908.65</v>
      </c>
      <c r="Q64" s="386">
        <v>4712.0200000000004</v>
      </c>
      <c r="R64" s="386">
        <v>83414.5</v>
      </c>
      <c r="S64" s="371">
        <v>6362.19</v>
      </c>
      <c r="T64" s="439">
        <f t="shared" si="1"/>
        <v>3714991.6499999994</v>
      </c>
      <c r="U64" s="387">
        <v>73</v>
      </c>
      <c r="V64" s="390">
        <v>1185</v>
      </c>
      <c r="W64" s="436">
        <v>-38686.959999999999</v>
      </c>
      <c r="X64" s="442"/>
      <c r="Y64" s="442">
        <v>-1118.1500000000001</v>
      </c>
      <c r="Z64" s="447">
        <v>1.05</v>
      </c>
      <c r="AA64" s="484">
        <v>3714991.65</v>
      </c>
      <c r="AB64" s="484">
        <v>-38686.959999999999</v>
      </c>
      <c r="AC64" s="484"/>
      <c r="AD64" s="484">
        <v>-1118.1500000000001</v>
      </c>
      <c r="AE64" s="526">
        <f t="shared" si="2"/>
        <v>0</v>
      </c>
      <c r="AF64" s="526">
        <f t="shared" si="3"/>
        <v>0</v>
      </c>
      <c r="AG64" s="527">
        <f t="shared" si="4"/>
        <v>0</v>
      </c>
      <c r="AH64" s="527">
        <f t="shared" si="5"/>
        <v>0</v>
      </c>
      <c r="AI64" s="489">
        <v>1185</v>
      </c>
      <c r="AJ64" s="489">
        <f t="shared" si="6"/>
        <v>0</v>
      </c>
      <c r="AK64" s="489"/>
      <c r="AL64" s="489"/>
      <c r="AM64" s="489"/>
      <c r="AN64" s="489"/>
    </row>
    <row r="65" spans="1:40" x14ac:dyDescent="0.25">
      <c r="A65" s="332">
        <v>5495</v>
      </c>
      <c r="B65" s="459" t="s">
        <v>164</v>
      </c>
      <c r="C65" s="382">
        <v>5603594.8700000001</v>
      </c>
      <c r="D65" s="382">
        <v>597312.48</v>
      </c>
      <c r="E65" s="380"/>
      <c r="F65" s="518"/>
      <c r="G65" s="382">
        <v>136985.25</v>
      </c>
      <c r="H65" s="382">
        <v>5512.1</v>
      </c>
      <c r="I65" s="382">
        <v>76501.600000000006</v>
      </c>
      <c r="J65" s="382">
        <v>145240.63</v>
      </c>
      <c r="K65" s="382">
        <v>82139.850000000006</v>
      </c>
      <c r="L65" s="382">
        <v>496763.95</v>
      </c>
      <c r="M65" s="325">
        <f t="shared" si="0"/>
        <v>7144050.7299999986</v>
      </c>
      <c r="N65" s="386">
        <v>268180.65000000002</v>
      </c>
      <c r="O65" s="386">
        <v>15468.7</v>
      </c>
      <c r="P65" s="386">
        <v>258107.75</v>
      </c>
      <c r="Q65" s="386">
        <v>26975.93</v>
      </c>
      <c r="R65" s="386">
        <v>230226.7</v>
      </c>
      <c r="S65" s="371">
        <v>16139.55</v>
      </c>
      <c r="T65" s="439">
        <f t="shared" si="1"/>
        <v>7959150.0099999988</v>
      </c>
      <c r="U65" s="387">
        <v>74</v>
      </c>
      <c r="V65" s="390">
        <f>VLOOKUP(B65,'[1]2021'!$C:$D,2,FALSE)</f>
        <v>3210</v>
      </c>
      <c r="W65" s="436">
        <v>-132239.49</v>
      </c>
      <c r="X65" s="442"/>
      <c r="Y65" s="442">
        <v>-1652.23</v>
      </c>
      <c r="Z65" s="447">
        <v>1</v>
      </c>
      <c r="AA65" s="484">
        <v>7959150.0099999998</v>
      </c>
      <c r="AB65" s="484">
        <v>-132239.49</v>
      </c>
      <c r="AC65" s="484"/>
      <c r="AD65" s="484">
        <v>-1652.23</v>
      </c>
      <c r="AE65" s="526">
        <f t="shared" si="2"/>
        <v>0</v>
      </c>
      <c r="AF65" s="526">
        <f t="shared" si="3"/>
        <v>0</v>
      </c>
      <c r="AG65" s="527">
        <f t="shared" si="4"/>
        <v>0</v>
      </c>
      <c r="AH65" s="527">
        <f t="shared" si="5"/>
        <v>0</v>
      </c>
      <c r="AI65" s="489">
        <v>3210</v>
      </c>
      <c r="AJ65" s="489">
        <f t="shared" si="6"/>
        <v>0</v>
      </c>
      <c r="AK65" s="489"/>
      <c r="AL65" s="489"/>
      <c r="AM65" s="489"/>
      <c r="AN65" s="489"/>
    </row>
    <row r="66" spans="1:40" x14ac:dyDescent="0.25">
      <c r="A66" s="332">
        <v>5496</v>
      </c>
      <c r="B66" s="459" t="s">
        <v>165</v>
      </c>
      <c r="C66" s="513">
        <v>3333834.7600000002</v>
      </c>
      <c r="D66" s="382">
        <v>348087.48</v>
      </c>
      <c r="E66" s="380"/>
      <c r="F66" s="518"/>
      <c r="G66" s="382">
        <v>102687.4</v>
      </c>
      <c r="H66" s="382">
        <v>9003.35</v>
      </c>
      <c r="I66" s="382"/>
      <c r="J66" s="382">
        <v>38286.129999999997</v>
      </c>
      <c r="K66" s="382">
        <v>18148.95</v>
      </c>
      <c r="L66" s="382">
        <v>349424.7</v>
      </c>
      <c r="M66" s="325">
        <f t="shared" si="0"/>
        <v>4199472.7700000005</v>
      </c>
      <c r="N66" s="386">
        <v>104386.05</v>
      </c>
      <c r="O66" s="386">
        <v>28508.799999999999</v>
      </c>
      <c r="P66" s="386">
        <v>197617.55</v>
      </c>
      <c r="Q66" s="386">
        <v>465517.47</v>
      </c>
      <c r="R66" s="386">
        <v>201141.7</v>
      </c>
      <c r="S66" s="371">
        <v>12650.33</v>
      </c>
      <c r="T66" s="439">
        <f t="shared" si="1"/>
        <v>5209294.67</v>
      </c>
      <c r="U66" s="387">
        <v>69.5</v>
      </c>
      <c r="V66" s="390">
        <f>VLOOKUP(B66,'[1]2021'!$C:$D,2,FALSE)</f>
        <v>1890</v>
      </c>
      <c r="W66" s="436">
        <v>-766849.75</v>
      </c>
      <c r="X66" s="442"/>
      <c r="Y66" s="442">
        <v>-170.96</v>
      </c>
      <c r="Z66" s="447">
        <v>1</v>
      </c>
      <c r="AA66" s="484">
        <v>5209294.67</v>
      </c>
      <c r="AB66" s="484">
        <v>-766849.75</v>
      </c>
      <c r="AC66" s="484"/>
      <c r="AD66" s="484">
        <v>-170.96</v>
      </c>
      <c r="AE66" s="526">
        <f t="shared" si="2"/>
        <v>0</v>
      </c>
      <c r="AF66" s="526">
        <f t="shared" si="3"/>
        <v>0</v>
      </c>
      <c r="AG66" s="527">
        <f t="shared" si="4"/>
        <v>0</v>
      </c>
      <c r="AH66" s="527">
        <f t="shared" si="5"/>
        <v>0</v>
      </c>
      <c r="AI66" s="489">
        <v>1890</v>
      </c>
      <c r="AJ66" s="489">
        <f t="shared" si="6"/>
        <v>0</v>
      </c>
      <c r="AK66" s="489"/>
      <c r="AL66" s="489"/>
      <c r="AM66" s="489"/>
      <c r="AN66" s="489"/>
    </row>
    <row r="67" spans="1:40" x14ac:dyDescent="0.25">
      <c r="A67" s="332">
        <v>5497</v>
      </c>
      <c r="B67" s="459" t="s">
        <v>166</v>
      </c>
      <c r="C67" s="382">
        <v>1177437.97</v>
      </c>
      <c r="D67" s="382">
        <v>116482.34</v>
      </c>
      <c r="E67" s="380"/>
      <c r="F67" s="518"/>
      <c r="G67" s="382">
        <v>3777.1</v>
      </c>
      <c r="H67" s="382">
        <v>1620.05</v>
      </c>
      <c r="I67" s="382"/>
      <c r="J67" s="382">
        <v>46697.02</v>
      </c>
      <c r="K67" s="382">
        <v>3863.6</v>
      </c>
      <c r="L67" s="382">
        <v>133394.5</v>
      </c>
      <c r="M67" s="325">
        <f t="shared" si="0"/>
        <v>1483272.5800000003</v>
      </c>
      <c r="N67" s="386">
        <v>218566.05</v>
      </c>
      <c r="O67" s="386">
        <v>371.8</v>
      </c>
      <c r="P67" s="386">
        <v>27720</v>
      </c>
      <c r="Q67" s="386">
        <v>8088.05</v>
      </c>
      <c r="R67" s="386">
        <v>18644.8</v>
      </c>
      <c r="S67" s="371">
        <v>611.29</v>
      </c>
      <c r="T67" s="439">
        <f t="shared" si="1"/>
        <v>1757274.5700000005</v>
      </c>
      <c r="U67" s="387">
        <v>66</v>
      </c>
      <c r="V67" s="390">
        <f>VLOOKUP(B67,'[1]2021'!$C:$D,2,FALSE)</f>
        <v>849</v>
      </c>
      <c r="W67" s="436">
        <v>-23118.81</v>
      </c>
      <c r="X67" s="442"/>
      <c r="Y67" s="442">
        <v>-122.15</v>
      </c>
      <c r="Z67" s="447">
        <v>1</v>
      </c>
      <c r="AA67" s="484">
        <v>1757274.57</v>
      </c>
      <c r="AB67" s="484">
        <v>-23118.81</v>
      </c>
      <c r="AC67" s="484"/>
      <c r="AD67" s="484">
        <v>-122.15</v>
      </c>
      <c r="AE67" s="526">
        <f t="shared" si="2"/>
        <v>0</v>
      </c>
      <c r="AF67" s="526">
        <f t="shared" si="3"/>
        <v>0</v>
      </c>
      <c r="AG67" s="527">
        <f t="shared" si="4"/>
        <v>0</v>
      </c>
      <c r="AH67" s="527">
        <f t="shared" si="5"/>
        <v>0</v>
      </c>
      <c r="AI67" s="489">
        <v>849</v>
      </c>
      <c r="AJ67" s="489">
        <f t="shared" si="6"/>
        <v>0</v>
      </c>
      <c r="AK67" s="489"/>
      <c r="AL67" s="489"/>
      <c r="AM67" s="489"/>
      <c r="AN67" s="489"/>
    </row>
    <row r="68" spans="1:40" x14ac:dyDescent="0.25">
      <c r="A68" s="332">
        <v>5498</v>
      </c>
      <c r="B68" s="459" t="s">
        <v>167</v>
      </c>
      <c r="C68" s="382">
        <v>3886748.79</v>
      </c>
      <c r="D68" s="382">
        <v>422611.84</v>
      </c>
      <c r="E68" s="380"/>
      <c r="F68" s="518"/>
      <c r="G68" s="382">
        <v>96073.65</v>
      </c>
      <c r="H68" s="382">
        <v>8165.6</v>
      </c>
      <c r="I68" s="382"/>
      <c r="J68" s="382">
        <v>130280.65</v>
      </c>
      <c r="K68" s="382">
        <v>36142.65</v>
      </c>
      <c r="L68" s="382">
        <v>412318.85</v>
      </c>
      <c r="M68" s="325">
        <f t="shared" si="0"/>
        <v>4992342.03</v>
      </c>
      <c r="N68" s="386">
        <v>71417.3</v>
      </c>
      <c r="O68" s="386"/>
      <c r="P68" s="386">
        <v>189677.9</v>
      </c>
      <c r="Q68" s="386">
        <v>19513.57</v>
      </c>
      <c r="R68" s="386">
        <v>61249.3</v>
      </c>
      <c r="S68" s="371">
        <v>11806.36</v>
      </c>
      <c r="T68" s="439">
        <f t="shared" si="1"/>
        <v>5346006.4600000009</v>
      </c>
      <c r="U68" s="387">
        <v>66</v>
      </c>
      <c r="V68" s="390">
        <f>VLOOKUP(B68,'[1]2021'!$C:$D,2,FALSE)</f>
        <v>2620</v>
      </c>
      <c r="W68" s="436">
        <v>-94105.54</v>
      </c>
      <c r="X68" s="442"/>
      <c r="Y68" s="442">
        <v>-534.58000000000004</v>
      </c>
      <c r="Z68" s="447">
        <v>1</v>
      </c>
      <c r="AA68" s="484">
        <v>5346006.46</v>
      </c>
      <c r="AB68" s="484">
        <v>-94105.54</v>
      </c>
      <c r="AC68" s="484"/>
      <c r="AD68" s="484">
        <v>-534.58000000000004</v>
      </c>
      <c r="AE68" s="526">
        <f t="shared" si="2"/>
        <v>0</v>
      </c>
      <c r="AF68" s="526">
        <f t="shared" si="3"/>
        <v>0</v>
      </c>
      <c r="AG68" s="527">
        <f t="shared" si="4"/>
        <v>0</v>
      </c>
      <c r="AH68" s="527">
        <f t="shared" si="5"/>
        <v>0</v>
      </c>
      <c r="AI68" s="489">
        <v>2620</v>
      </c>
      <c r="AJ68" s="489">
        <f t="shared" si="6"/>
        <v>0</v>
      </c>
      <c r="AK68" s="489"/>
      <c r="AL68" s="489"/>
      <c r="AM68" s="489"/>
      <c r="AN68" s="489"/>
    </row>
    <row r="69" spans="1:40" x14ac:dyDescent="0.25">
      <c r="A69" s="332">
        <v>5499</v>
      </c>
      <c r="B69" s="459" t="s">
        <v>168</v>
      </c>
      <c r="C69" s="382">
        <v>943191.74</v>
      </c>
      <c r="D69" s="382">
        <v>159897.18</v>
      </c>
      <c r="E69" s="380"/>
      <c r="F69" s="518"/>
      <c r="G69" s="382">
        <v>27081.75</v>
      </c>
      <c r="H69" s="382">
        <v>1052.95</v>
      </c>
      <c r="I69" s="382"/>
      <c r="J69" s="382">
        <v>18119.009999999998</v>
      </c>
      <c r="K69" s="382"/>
      <c r="L69" s="382">
        <v>98308.6</v>
      </c>
      <c r="M69" s="325">
        <f t="shared" si="0"/>
        <v>1247651.23</v>
      </c>
      <c r="N69" s="386">
        <v>17980.25</v>
      </c>
      <c r="O69" s="386">
        <v>162468</v>
      </c>
      <c r="P69" s="386">
        <v>153674.4</v>
      </c>
      <c r="Q69" s="386">
        <v>3622.18</v>
      </c>
      <c r="R69" s="386">
        <v>122420.65</v>
      </c>
      <c r="S69" s="371">
        <v>3186.6</v>
      </c>
      <c r="T69" s="439">
        <f t="shared" si="1"/>
        <v>1711003.3099999998</v>
      </c>
      <c r="U69" s="387">
        <v>68.5</v>
      </c>
      <c r="V69" s="390">
        <f>VLOOKUP(B69,'[1]2021'!$C:$D,2,FALSE)</f>
        <v>491</v>
      </c>
      <c r="W69" s="436">
        <v>-4300.05</v>
      </c>
      <c r="X69" s="442"/>
      <c r="Y69" s="442">
        <v>-795.02</v>
      </c>
      <c r="Z69" s="447">
        <v>1</v>
      </c>
      <c r="AA69" s="484">
        <v>1711003.31</v>
      </c>
      <c r="AB69" s="484">
        <v>-4300.05</v>
      </c>
      <c r="AC69" s="484"/>
      <c r="AD69" s="484">
        <v>-795.02</v>
      </c>
      <c r="AE69" s="526">
        <f t="shared" si="2"/>
        <v>0</v>
      </c>
      <c r="AF69" s="526">
        <f t="shared" si="3"/>
        <v>0</v>
      </c>
      <c r="AG69" s="527">
        <f t="shared" si="4"/>
        <v>0</v>
      </c>
      <c r="AH69" s="527">
        <f t="shared" si="5"/>
        <v>0</v>
      </c>
      <c r="AI69" s="489">
        <v>491</v>
      </c>
      <c r="AJ69" s="489">
        <f t="shared" si="6"/>
        <v>0</v>
      </c>
      <c r="AK69" s="489"/>
      <c r="AL69" s="489"/>
      <c r="AM69" s="489"/>
      <c r="AN69" s="489"/>
    </row>
    <row r="70" spans="1:40" x14ac:dyDescent="0.25">
      <c r="A70" s="332">
        <v>5500</v>
      </c>
      <c r="B70" s="459" t="s">
        <v>169</v>
      </c>
      <c r="C70" s="382">
        <v>390105.12</v>
      </c>
      <c r="D70" s="382">
        <v>96738.65</v>
      </c>
      <c r="E70" s="380"/>
      <c r="F70" s="518"/>
      <c r="G70" s="382">
        <v>882.4</v>
      </c>
      <c r="H70" s="382">
        <v>789.45</v>
      </c>
      <c r="I70" s="382"/>
      <c r="J70" s="382">
        <v>5385.62</v>
      </c>
      <c r="K70" s="382">
        <v>469.95</v>
      </c>
      <c r="L70" s="382">
        <v>50664.5</v>
      </c>
      <c r="M70" s="325">
        <f t="shared" ref="M70:M133" si="7">SUM(C70:L70)</f>
        <v>545035.69000000006</v>
      </c>
      <c r="N70" s="386">
        <v>497.35</v>
      </c>
      <c r="O70" s="386">
        <v>2968</v>
      </c>
      <c r="P70" s="386">
        <v>58152.6</v>
      </c>
      <c r="Q70" s="386">
        <v>540.62</v>
      </c>
      <c r="R70" s="386">
        <v>47094.400000000001</v>
      </c>
      <c r="S70" s="371">
        <v>189.36</v>
      </c>
      <c r="T70" s="439">
        <f t="shared" si="1"/>
        <v>654478.02</v>
      </c>
      <c r="U70" s="387">
        <v>73</v>
      </c>
      <c r="V70" s="390">
        <v>220</v>
      </c>
      <c r="W70" s="436">
        <v>-9410.67</v>
      </c>
      <c r="X70" s="442"/>
      <c r="Y70" s="442">
        <v>-94.4</v>
      </c>
      <c r="Z70" s="447">
        <v>1.2</v>
      </c>
      <c r="AA70" s="484">
        <v>654478.02</v>
      </c>
      <c r="AB70" s="484">
        <v>-9410.67</v>
      </c>
      <c r="AC70" s="484"/>
      <c r="AD70" s="484">
        <v>-94.4</v>
      </c>
      <c r="AE70" s="526">
        <f t="shared" si="2"/>
        <v>0</v>
      </c>
      <c r="AF70" s="526">
        <f t="shared" si="3"/>
        <v>0</v>
      </c>
      <c r="AG70" s="527">
        <f t="shared" si="4"/>
        <v>0</v>
      </c>
      <c r="AH70" s="527">
        <f t="shared" si="5"/>
        <v>0</v>
      </c>
      <c r="AI70" s="489">
        <v>220</v>
      </c>
      <c r="AJ70" s="489">
        <f t="shared" si="6"/>
        <v>0</v>
      </c>
      <c r="AK70" s="489"/>
      <c r="AL70" s="489"/>
      <c r="AM70" s="489"/>
      <c r="AN70" s="489"/>
    </row>
    <row r="71" spans="1:40" x14ac:dyDescent="0.25">
      <c r="A71" s="332">
        <v>5501</v>
      </c>
      <c r="B71" s="459" t="s">
        <v>170</v>
      </c>
      <c r="C71" s="382">
        <v>2602889.13</v>
      </c>
      <c r="D71" s="382">
        <v>36100.81</v>
      </c>
      <c r="E71" s="380"/>
      <c r="F71" s="518"/>
      <c r="G71" s="382">
        <v>112626.8</v>
      </c>
      <c r="H71" s="382">
        <v>776.05</v>
      </c>
      <c r="I71" s="382"/>
      <c r="J71" s="382">
        <v>-15312.01</v>
      </c>
      <c r="K71" s="382"/>
      <c r="L71" s="382">
        <v>234399.4</v>
      </c>
      <c r="M71" s="325">
        <f t="shared" si="7"/>
        <v>2971480.1799999997</v>
      </c>
      <c r="N71" s="386">
        <v>11593.6</v>
      </c>
      <c r="O71" s="386">
        <v>-3286130</v>
      </c>
      <c r="P71" s="386">
        <v>348297.95</v>
      </c>
      <c r="Q71" s="386">
        <v>149.38999999999999</v>
      </c>
      <c r="R71" s="386">
        <v>258377.25</v>
      </c>
      <c r="S71" s="371">
        <v>12844.25</v>
      </c>
      <c r="T71" s="439">
        <f t="shared" ref="T71:T134" si="8">SUM(M71:S71)</f>
        <v>316612.61999999982</v>
      </c>
      <c r="U71" s="387">
        <v>68.5</v>
      </c>
      <c r="V71" s="390">
        <f>VLOOKUP(B71,'[1]2021'!$C:$D,2,FALSE)</f>
        <v>1143</v>
      </c>
      <c r="W71" s="436">
        <v>-18807.830000000002</v>
      </c>
      <c r="X71" s="442"/>
      <c r="Y71" s="442">
        <v>-6767.46</v>
      </c>
      <c r="Z71" s="447">
        <v>1</v>
      </c>
      <c r="AA71" s="484">
        <v>316612.62</v>
      </c>
      <c r="AB71" s="484">
        <v>-18807.830000000002</v>
      </c>
      <c r="AC71" s="484"/>
      <c r="AD71" s="484">
        <v>-6767.46</v>
      </c>
      <c r="AE71" s="526">
        <f t="shared" si="2"/>
        <v>0</v>
      </c>
      <c r="AF71" s="526">
        <f t="shared" si="3"/>
        <v>0</v>
      </c>
      <c r="AG71" s="527">
        <f t="shared" si="4"/>
        <v>0</v>
      </c>
      <c r="AH71" s="527">
        <f t="shared" si="5"/>
        <v>0</v>
      </c>
      <c r="AI71" s="489">
        <v>1143</v>
      </c>
      <c r="AJ71" s="489">
        <f t="shared" si="6"/>
        <v>0</v>
      </c>
      <c r="AK71" s="489"/>
      <c r="AL71" s="489"/>
      <c r="AM71" s="489"/>
      <c r="AN71" s="489"/>
    </row>
    <row r="72" spans="1:40" x14ac:dyDescent="0.25">
      <c r="A72" s="332">
        <v>5503</v>
      </c>
      <c r="B72" s="459" t="s">
        <v>171</v>
      </c>
      <c r="C72" s="382">
        <v>3863752.34</v>
      </c>
      <c r="D72" s="382">
        <v>553028.49</v>
      </c>
      <c r="E72" s="380"/>
      <c r="F72" s="518"/>
      <c r="G72" s="513">
        <v>255214.2</v>
      </c>
      <c r="H72" s="513">
        <v>55373.3</v>
      </c>
      <c r="I72" s="382"/>
      <c r="J72" s="382">
        <v>104703.15</v>
      </c>
      <c r="K72" s="382">
        <v>79251.8</v>
      </c>
      <c r="L72" s="382">
        <v>503415.2</v>
      </c>
      <c r="M72" s="325">
        <f t="shared" si="7"/>
        <v>5414738.4800000004</v>
      </c>
      <c r="N72" s="514">
        <v>157043</v>
      </c>
      <c r="O72" s="386">
        <v>33790</v>
      </c>
      <c r="P72" s="386">
        <v>156817.79999999999</v>
      </c>
      <c r="Q72" s="386">
        <v>1765.97</v>
      </c>
      <c r="R72" s="386">
        <v>132941.5</v>
      </c>
      <c r="S72" s="513">
        <v>35177.800000000003</v>
      </c>
      <c r="T72" s="439">
        <f t="shared" si="8"/>
        <v>5932274.5499999998</v>
      </c>
      <c r="U72" s="387">
        <v>67</v>
      </c>
      <c r="V72" s="390">
        <f>VLOOKUP(B72,'[1]2021'!$C:$D,2,FALSE)</f>
        <v>1346</v>
      </c>
      <c r="W72" s="436">
        <v>-47973.53</v>
      </c>
      <c r="X72" s="442"/>
      <c r="Y72" s="442">
        <v>-24815.29</v>
      </c>
      <c r="Z72" s="447">
        <v>1.2</v>
      </c>
      <c r="AA72" s="484">
        <v>5932274.5499999998</v>
      </c>
      <c r="AB72" s="484">
        <v>-47973.53</v>
      </c>
      <c r="AC72" s="484"/>
      <c r="AD72" s="484">
        <v>-24815.29</v>
      </c>
      <c r="AE72" s="526">
        <f t="shared" ref="AE72:AE135" si="9">+T72-AA72</f>
        <v>0</v>
      </c>
      <c r="AF72" s="526">
        <f t="shared" ref="AF72:AF135" si="10">+AB72-W72</f>
        <v>0</v>
      </c>
      <c r="AG72" s="527">
        <f t="shared" ref="AG72:AG135" si="11">+AC72-X72</f>
        <v>0</v>
      </c>
      <c r="AH72" s="527">
        <f t="shared" ref="AH72:AH135" si="12">+AD72-Y72</f>
        <v>0</v>
      </c>
      <c r="AI72" s="489">
        <v>1346</v>
      </c>
      <c r="AJ72" s="489">
        <f t="shared" ref="AJ72:AJ135" si="13">+AI72-V72</f>
        <v>0</v>
      </c>
      <c r="AK72" s="489"/>
      <c r="AL72" s="489"/>
      <c r="AM72" s="489"/>
      <c r="AN72" s="489"/>
    </row>
    <row r="73" spans="1:40" x14ac:dyDescent="0.25">
      <c r="A73" s="332">
        <v>5511</v>
      </c>
      <c r="B73" s="459" t="s">
        <v>172</v>
      </c>
      <c r="C73" s="382">
        <v>2518825</v>
      </c>
      <c r="D73" s="382">
        <v>563542.92000000004</v>
      </c>
      <c r="E73" s="380"/>
      <c r="F73" s="518"/>
      <c r="G73" s="382">
        <v>139459.54999999999</v>
      </c>
      <c r="H73" s="382">
        <v>6960.45</v>
      </c>
      <c r="I73" s="382"/>
      <c r="J73" s="382">
        <v>53827.93</v>
      </c>
      <c r="K73" s="382">
        <v>10548.55</v>
      </c>
      <c r="L73" s="382">
        <v>265945.90000000002</v>
      </c>
      <c r="M73" s="325">
        <f t="shared" si="7"/>
        <v>3559110.3</v>
      </c>
      <c r="N73" s="386">
        <v>33270.85</v>
      </c>
      <c r="O73" s="514">
        <v>611650</v>
      </c>
      <c r="P73" s="386">
        <v>129605.2</v>
      </c>
      <c r="Q73" s="386">
        <v>1630.35</v>
      </c>
      <c r="R73" s="386">
        <v>129303.7</v>
      </c>
      <c r="S73" s="371">
        <v>16583.84</v>
      </c>
      <c r="T73" s="439">
        <f t="shared" si="8"/>
        <v>4481154.24</v>
      </c>
      <c r="U73" s="387">
        <v>70</v>
      </c>
      <c r="V73" s="390">
        <v>1151</v>
      </c>
      <c r="W73" s="436">
        <v>-30678.3</v>
      </c>
      <c r="X73" s="442"/>
      <c r="Y73" s="442">
        <v>-233304.33</v>
      </c>
      <c r="Z73" s="447">
        <v>1</v>
      </c>
      <c r="AA73" s="484">
        <v>4481154.24</v>
      </c>
      <c r="AB73" s="484">
        <v>-30678.3</v>
      </c>
      <c r="AC73" s="484"/>
      <c r="AD73" s="484">
        <v>-233304.33</v>
      </c>
      <c r="AE73" s="526">
        <f t="shared" si="9"/>
        <v>0</v>
      </c>
      <c r="AF73" s="526">
        <f t="shared" si="10"/>
        <v>0</v>
      </c>
      <c r="AG73" s="527">
        <f t="shared" si="11"/>
        <v>0</v>
      </c>
      <c r="AH73" s="527">
        <f t="shared" si="12"/>
        <v>0</v>
      </c>
      <c r="AI73" s="489">
        <v>1151</v>
      </c>
      <c r="AJ73" s="489">
        <f t="shared" si="13"/>
        <v>0</v>
      </c>
      <c r="AK73" s="489"/>
      <c r="AL73" s="489"/>
      <c r="AM73" s="489"/>
      <c r="AN73" s="489"/>
    </row>
    <row r="74" spans="1:40" x14ac:dyDescent="0.25">
      <c r="A74" s="332">
        <v>5512</v>
      </c>
      <c r="B74" s="459" t="s">
        <v>173</v>
      </c>
      <c r="C74" s="382">
        <v>2424120.2999999998</v>
      </c>
      <c r="D74" s="382">
        <v>418038.22</v>
      </c>
      <c r="E74" s="380"/>
      <c r="F74" s="518"/>
      <c r="G74" s="382">
        <v>73052.05</v>
      </c>
      <c r="H74" s="382">
        <v>5275.1</v>
      </c>
      <c r="I74" s="382"/>
      <c r="J74" s="382">
        <v>56775.6</v>
      </c>
      <c r="K74" s="382">
        <v>10795.6</v>
      </c>
      <c r="L74" s="531">
        <v>267009</v>
      </c>
      <c r="M74" s="325">
        <f t="shared" si="7"/>
        <v>3255065.8699999996</v>
      </c>
      <c r="N74" s="386">
        <v>87440.85</v>
      </c>
      <c r="O74" s="532">
        <v>34040.199999999997</v>
      </c>
      <c r="P74" s="532">
        <v>222641.65</v>
      </c>
      <c r="Q74" s="386">
        <v>16132.58</v>
      </c>
      <c r="R74" s="386">
        <v>144724.5</v>
      </c>
      <c r="S74" s="371">
        <v>8871.5</v>
      </c>
      <c r="T74" s="439">
        <f t="shared" si="8"/>
        <v>3768917.15</v>
      </c>
      <c r="U74" s="387">
        <v>79</v>
      </c>
      <c r="V74" s="390">
        <f>VLOOKUP(B74,'[1]2021'!$C:$D,2,FALSE)</f>
        <v>1320</v>
      </c>
      <c r="W74" s="436">
        <v>-59212.84</v>
      </c>
      <c r="X74" s="442"/>
      <c r="Y74" s="442">
        <v>-491.2</v>
      </c>
      <c r="Z74" s="447">
        <v>1</v>
      </c>
      <c r="AA74" s="484">
        <v>3768917.15</v>
      </c>
      <c r="AB74" s="484">
        <v>-59212.84</v>
      </c>
      <c r="AC74" s="484"/>
      <c r="AD74" s="484">
        <v>-491.2</v>
      </c>
      <c r="AE74" s="526">
        <f t="shared" si="9"/>
        <v>0</v>
      </c>
      <c r="AF74" s="526">
        <f t="shared" si="10"/>
        <v>0</v>
      </c>
      <c r="AG74" s="527">
        <f t="shared" si="11"/>
        <v>0</v>
      </c>
      <c r="AH74" s="527">
        <f t="shared" si="12"/>
        <v>0</v>
      </c>
      <c r="AI74" s="489">
        <v>1320</v>
      </c>
      <c r="AJ74" s="489">
        <f t="shared" si="13"/>
        <v>0</v>
      </c>
      <c r="AK74" s="489"/>
      <c r="AL74" s="489"/>
      <c r="AM74" s="489"/>
      <c r="AN74" s="489"/>
    </row>
    <row r="75" spans="1:40" x14ac:dyDescent="0.25">
      <c r="A75" s="332">
        <v>5513</v>
      </c>
      <c r="B75" s="459" t="s">
        <v>174</v>
      </c>
      <c r="C75" s="382">
        <v>1020049.19</v>
      </c>
      <c r="D75" s="382">
        <v>100476.84</v>
      </c>
      <c r="E75" s="380"/>
      <c r="F75" s="518"/>
      <c r="G75" s="382">
        <v>212328.45</v>
      </c>
      <c r="H75" s="382">
        <v>31695.55</v>
      </c>
      <c r="I75" s="382"/>
      <c r="J75" s="382">
        <v>22477.66</v>
      </c>
      <c r="K75" s="382">
        <v>9832.25</v>
      </c>
      <c r="L75" s="382">
        <v>60945.3</v>
      </c>
      <c r="M75" s="325">
        <f t="shared" si="7"/>
        <v>1457805.24</v>
      </c>
      <c r="N75" s="386">
        <v>303896.84999999998</v>
      </c>
      <c r="O75" s="386">
        <v>17286.599999999999</v>
      </c>
      <c r="P75" s="386">
        <v>49485.15</v>
      </c>
      <c r="Q75" s="386">
        <v>6816.54</v>
      </c>
      <c r="R75" s="386">
        <v>43304.800000000003</v>
      </c>
      <c r="S75" s="371">
        <v>27638.68</v>
      </c>
      <c r="T75" s="439">
        <f t="shared" si="8"/>
        <v>1906233.8599999999</v>
      </c>
      <c r="U75" s="387">
        <v>68</v>
      </c>
      <c r="V75" s="390">
        <v>518</v>
      </c>
      <c r="W75" s="436">
        <v>-6952.18</v>
      </c>
      <c r="X75" s="442"/>
      <c r="Y75" s="442">
        <v>-0.04</v>
      </c>
      <c r="Z75" s="447">
        <v>0.5</v>
      </c>
      <c r="AA75" s="484">
        <v>1906233.86</v>
      </c>
      <c r="AB75" s="484">
        <v>-6952.18</v>
      </c>
      <c r="AC75" s="484"/>
      <c r="AD75" s="484">
        <v>-0.04</v>
      </c>
      <c r="AE75" s="526">
        <f t="shared" si="9"/>
        <v>0</v>
      </c>
      <c r="AF75" s="526">
        <f t="shared" si="10"/>
        <v>0</v>
      </c>
      <c r="AG75" s="527">
        <f t="shared" si="11"/>
        <v>0</v>
      </c>
      <c r="AH75" s="527">
        <f t="shared" si="12"/>
        <v>0</v>
      </c>
      <c r="AI75" s="489">
        <v>518</v>
      </c>
      <c r="AJ75" s="489">
        <f t="shared" si="13"/>
        <v>0</v>
      </c>
      <c r="AK75" s="489"/>
      <c r="AL75" s="489"/>
      <c r="AM75" s="489"/>
      <c r="AN75" s="489"/>
    </row>
    <row r="76" spans="1:40" x14ac:dyDescent="0.25">
      <c r="A76" s="332">
        <v>5514</v>
      </c>
      <c r="B76" s="459" t="s">
        <v>175</v>
      </c>
      <c r="C76" s="382">
        <v>2492198.1</v>
      </c>
      <c r="D76" s="382">
        <v>381296.87</v>
      </c>
      <c r="E76" s="380"/>
      <c r="F76" s="518"/>
      <c r="G76" s="382">
        <v>637.35</v>
      </c>
      <c r="H76" s="382">
        <v>9423.2000000000007</v>
      </c>
      <c r="I76" s="382">
        <v>41017.800000000003</v>
      </c>
      <c r="J76" s="382">
        <v>50858.18</v>
      </c>
      <c r="K76" s="382">
        <v>11340</v>
      </c>
      <c r="L76" s="382">
        <v>240325.6</v>
      </c>
      <c r="M76" s="325">
        <f t="shared" si="7"/>
        <v>3227097.1000000006</v>
      </c>
      <c r="N76" s="386">
        <v>499.65</v>
      </c>
      <c r="O76" s="386">
        <v>37827</v>
      </c>
      <c r="P76" s="386">
        <v>69041.7</v>
      </c>
      <c r="Q76" s="386">
        <v>1638.86</v>
      </c>
      <c r="R76" s="386">
        <v>53017.4</v>
      </c>
      <c r="S76" s="371">
        <v>1139.48</v>
      </c>
      <c r="T76" s="439">
        <f t="shared" si="8"/>
        <v>3390261.1900000004</v>
      </c>
      <c r="U76" s="387">
        <v>72.5</v>
      </c>
      <c r="V76" s="390">
        <f>VLOOKUP(B76,'[1]2021'!$C:$D,2,FALSE)</f>
        <v>1357</v>
      </c>
      <c r="W76" s="436">
        <v>-23602.05</v>
      </c>
      <c r="X76" s="442"/>
      <c r="Y76" s="442">
        <v>-75.77</v>
      </c>
      <c r="Z76" s="447">
        <v>1</v>
      </c>
      <c r="AA76" s="484"/>
      <c r="AB76" s="484"/>
      <c r="AC76" s="484"/>
      <c r="AD76" s="484"/>
      <c r="AE76" s="526">
        <f t="shared" si="9"/>
        <v>3390261.1900000004</v>
      </c>
      <c r="AF76" s="526">
        <f t="shared" si="10"/>
        <v>23602.05</v>
      </c>
      <c r="AG76" s="527">
        <f t="shared" si="11"/>
        <v>0</v>
      </c>
      <c r="AH76" s="527">
        <f t="shared" si="12"/>
        <v>75.77</v>
      </c>
      <c r="AI76" s="489">
        <v>1357</v>
      </c>
      <c r="AJ76" s="489">
        <f t="shared" si="13"/>
        <v>0</v>
      </c>
      <c r="AK76" s="489"/>
      <c r="AL76" s="489"/>
      <c r="AM76" s="489"/>
      <c r="AN76" s="489"/>
    </row>
    <row r="77" spans="1:40" x14ac:dyDescent="0.25">
      <c r="A77" s="332">
        <v>5515</v>
      </c>
      <c r="B77" s="459" t="s">
        <v>176</v>
      </c>
      <c r="C77" s="382">
        <v>2070477.48</v>
      </c>
      <c r="D77" s="382">
        <v>225852.1</v>
      </c>
      <c r="E77" s="380"/>
      <c r="F77" s="518"/>
      <c r="G77" s="382">
        <v>13185.75</v>
      </c>
      <c r="H77" s="382">
        <v>10187</v>
      </c>
      <c r="I77" s="382"/>
      <c r="J77" s="382">
        <v>32009.33</v>
      </c>
      <c r="K77" s="382">
        <v>12821.05</v>
      </c>
      <c r="L77" s="382">
        <v>178237.15</v>
      </c>
      <c r="M77" s="325">
        <f t="shared" si="7"/>
        <v>2542769.86</v>
      </c>
      <c r="N77" s="386">
        <v>9701.7999999999993</v>
      </c>
      <c r="O77" s="386"/>
      <c r="P77" s="386">
        <v>131282.75</v>
      </c>
      <c r="Q77" s="386">
        <v>509.96</v>
      </c>
      <c r="R77" s="386">
        <v>67945.399999999994</v>
      </c>
      <c r="S77" s="371">
        <v>2647.25</v>
      </c>
      <c r="T77" s="439">
        <f t="shared" si="8"/>
        <v>2754857.0199999996</v>
      </c>
      <c r="U77" s="387">
        <v>78</v>
      </c>
      <c r="V77" s="390">
        <f>VLOOKUP(B77,'[1]2021'!$C:$D,2,FALSE)</f>
        <v>882</v>
      </c>
      <c r="W77" s="436">
        <v>-22673.65</v>
      </c>
      <c r="X77" s="442"/>
      <c r="Y77" s="442">
        <v>-48.95</v>
      </c>
      <c r="Z77" s="447">
        <v>1</v>
      </c>
      <c r="AA77" s="484">
        <v>2754857.02</v>
      </c>
      <c r="AB77" s="484">
        <v>-22673.65</v>
      </c>
      <c r="AC77" s="484"/>
      <c r="AD77" s="484">
        <v>-48.95</v>
      </c>
      <c r="AE77" s="526">
        <f t="shared" si="9"/>
        <v>0</v>
      </c>
      <c r="AF77" s="526">
        <f t="shared" si="10"/>
        <v>0</v>
      </c>
      <c r="AG77" s="527">
        <f t="shared" si="11"/>
        <v>0</v>
      </c>
      <c r="AH77" s="527">
        <f t="shared" si="12"/>
        <v>0</v>
      </c>
      <c r="AI77" s="489">
        <v>882</v>
      </c>
      <c r="AJ77" s="489">
        <f t="shared" si="13"/>
        <v>0</v>
      </c>
      <c r="AK77" s="489"/>
      <c r="AL77" s="489"/>
      <c r="AM77" s="489"/>
      <c r="AN77" s="489"/>
    </row>
    <row r="78" spans="1:40" x14ac:dyDescent="0.25">
      <c r="A78" s="332">
        <v>5516</v>
      </c>
      <c r="B78" s="459" t="s">
        <v>177</v>
      </c>
      <c r="C78" s="382">
        <v>6695303.0999999996</v>
      </c>
      <c r="D78" s="382">
        <v>1054433.6200000001</v>
      </c>
      <c r="E78" s="380"/>
      <c r="F78" s="518"/>
      <c r="G78" s="382">
        <v>187669.85</v>
      </c>
      <c r="H78" s="382">
        <v>12745.95</v>
      </c>
      <c r="I78" s="382">
        <v>82048.100000000006</v>
      </c>
      <c r="J78" s="382">
        <v>103872.75</v>
      </c>
      <c r="K78" s="382">
        <v>26325.5</v>
      </c>
      <c r="L78" s="382">
        <v>716846.85</v>
      </c>
      <c r="M78" s="325">
        <f t="shared" si="7"/>
        <v>8879245.7199999988</v>
      </c>
      <c r="N78" s="386">
        <v>98315.199999999997</v>
      </c>
      <c r="O78" s="514">
        <v>6004.1</v>
      </c>
      <c r="P78" s="386">
        <v>295046.84999999998</v>
      </c>
      <c r="Q78" s="386">
        <v>9516.2199999999993</v>
      </c>
      <c r="R78" s="386">
        <v>269483</v>
      </c>
      <c r="S78" s="371">
        <v>22699.52</v>
      </c>
      <c r="T78" s="439">
        <f t="shared" si="8"/>
        <v>9580310.6099999975</v>
      </c>
      <c r="U78" s="387">
        <v>78</v>
      </c>
      <c r="V78" s="390">
        <f>VLOOKUP(B78,'[1]2021'!$C:$D,2,FALSE)</f>
        <v>2733</v>
      </c>
      <c r="W78" s="436">
        <v>-83943.7</v>
      </c>
      <c r="X78" s="442"/>
      <c r="Y78" s="442">
        <v>-2859.82</v>
      </c>
      <c r="Z78" s="447">
        <v>1.2</v>
      </c>
      <c r="AA78" s="484">
        <v>9580310.6099999994</v>
      </c>
      <c r="AB78" s="484">
        <v>-83943.7</v>
      </c>
      <c r="AC78" s="484"/>
      <c r="AD78" s="484">
        <v>-2859.82</v>
      </c>
      <c r="AE78" s="526">
        <f t="shared" si="9"/>
        <v>0</v>
      </c>
      <c r="AF78" s="526">
        <f t="shared" si="10"/>
        <v>0</v>
      </c>
      <c r="AG78" s="527">
        <f t="shared" si="11"/>
        <v>0</v>
      </c>
      <c r="AH78" s="527">
        <f t="shared" si="12"/>
        <v>0</v>
      </c>
      <c r="AI78" s="489">
        <v>2733</v>
      </c>
      <c r="AJ78" s="489">
        <f t="shared" si="13"/>
        <v>0</v>
      </c>
      <c r="AK78" s="489"/>
      <c r="AL78" s="489"/>
      <c r="AM78" s="489"/>
      <c r="AN78" s="489"/>
    </row>
    <row r="79" spans="1:40" x14ac:dyDescent="0.25">
      <c r="A79" s="332">
        <v>5518</v>
      </c>
      <c r="B79" s="459" t="s">
        <v>178</v>
      </c>
      <c r="C79" s="382">
        <v>10175055.689999999</v>
      </c>
      <c r="D79" s="382">
        <v>1376857.71</v>
      </c>
      <c r="E79" s="380"/>
      <c r="F79" s="518"/>
      <c r="G79" s="382">
        <v>370505.45</v>
      </c>
      <c r="H79" s="382">
        <v>86409.45</v>
      </c>
      <c r="I79" s="382"/>
      <c r="J79" s="382">
        <v>149018.43</v>
      </c>
      <c r="K79" s="382">
        <v>70964.3</v>
      </c>
      <c r="L79" s="382">
        <v>1101927.8500000001</v>
      </c>
      <c r="M79" s="325">
        <f t="shared" si="7"/>
        <v>13330738.879999997</v>
      </c>
      <c r="N79" s="386">
        <v>227029.45</v>
      </c>
      <c r="O79" s="386">
        <v>49670.5</v>
      </c>
      <c r="P79" s="386">
        <v>467731</v>
      </c>
      <c r="Q79" s="386">
        <v>36285.79</v>
      </c>
      <c r="R79" s="386">
        <v>433182.65</v>
      </c>
      <c r="S79" s="371">
        <v>51751.15</v>
      </c>
      <c r="T79" s="439">
        <f t="shared" si="8"/>
        <v>14596389.419999996</v>
      </c>
      <c r="U79" s="387">
        <v>72.5</v>
      </c>
      <c r="V79" s="390">
        <f>VLOOKUP(B79,'[1]2021'!$C:$D,2,FALSE)</f>
        <v>5739</v>
      </c>
      <c r="W79" s="436">
        <v>-144405.91</v>
      </c>
      <c r="X79" s="442"/>
      <c r="Y79" s="442">
        <v>-4657.82</v>
      </c>
      <c r="Z79" s="447">
        <v>1</v>
      </c>
      <c r="AA79" s="484">
        <v>14596389.42</v>
      </c>
      <c r="AB79" s="484">
        <v>-144405.91</v>
      </c>
      <c r="AC79" s="484"/>
      <c r="AD79" s="484">
        <v>-4657.82</v>
      </c>
      <c r="AE79" s="526">
        <f t="shared" si="9"/>
        <v>0</v>
      </c>
      <c r="AF79" s="526">
        <f t="shared" si="10"/>
        <v>0</v>
      </c>
      <c r="AG79" s="527">
        <f t="shared" si="11"/>
        <v>0</v>
      </c>
      <c r="AH79" s="527">
        <f t="shared" si="12"/>
        <v>0</v>
      </c>
      <c r="AI79" s="489">
        <v>5739</v>
      </c>
      <c r="AJ79" s="489">
        <f t="shared" si="13"/>
        <v>0</v>
      </c>
      <c r="AK79" s="489"/>
      <c r="AL79" s="489"/>
      <c r="AM79" s="489"/>
      <c r="AN79" s="489"/>
    </row>
    <row r="80" spans="1:40" x14ac:dyDescent="0.25">
      <c r="A80" s="332">
        <v>5520</v>
      </c>
      <c r="B80" s="459" t="s">
        <v>179</v>
      </c>
      <c r="C80" s="382">
        <v>1806862.31</v>
      </c>
      <c r="D80" s="382">
        <v>274763.32</v>
      </c>
      <c r="E80" s="380"/>
      <c r="F80" s="518"/>
      <c r="G80" s="382">
        <v>24751.3</v>
      </c>
      <c r="H80" s="382">
        <v>2390.6</v>
      </c>
      <c r="I80" s="382"/>
      <c r="J80" s="382">
        <v>24016.799999999999</v>
      </c>
      <c r="K80" s="382">
        <v>5999.75</v>
      </c>
      <c r="L80" s="382">
        <v>195705.3</v>
      </c>
      <c r="M80" s="325">
        <f t="shared" si="7"/>
        <v>2334489.38</v>
      </c>
      <c r="N80" s="386">
        <v>11223.55</v>
      </c>
      <c r="O80" s="386"/>
      <c r="P80" s="514">
        <v>75823.5</v>
      </c>
      <c r="Q80" s="386">
        <v>26731.01</v>
      </c>
      <c r="R80" s="386">
        <v>33582.449999999997</v>
      </c>
      <c r="S80" s="371">
        <v>3074.15</v>
      </c>
      <c r="T80" s="439">
        <f t="shared" si="8"/>
        <v>2484924.0399999996</v>
      </c>
      <c r="U80" s="387">
        <v>73</v>
      </c>
      <c r="V80" s="390">
        <f>VLOOKUP(B80,'[1]2021'!$C:$D,2,FALSE)</f>
        <v>1059</v>
      </c>
      <c r="W80" s="436">
        <v>-50287.94</v>
      </c>
      <c r="X80" s="442"/>
      <c r="Y80" s="442">
        <v>-147.56</v>
      </c>
      <c r="Z80" s="447">
        <v>1</v>
      </c>
      <c r="AA80" s="484">
        <v>2484924.04</v>
      </c>
      <c r="AB80" s="484">
        <v>-50287.94</v>
      </c>
      <c r="AC80" s="484"/>
      <c r="AD80" s="484">
        <v>-147.56</v>
      </c>
      <c r="AE80" s="526">
        <f t="shared" si="9"/>
        <v>0</v>
      </c>
      <c r="AF80" s="526">
        <f t="shared" si="10"/>
        <v>0</v>
      </c>
      <c r="AG80" s="527">
        <f t="shared" si="11"/>
        <v>0</v>
      </c>
      <c r="AH80" s="527">
        <f t="shared" si="12"/>
        <v>0</v>
      </c>
      <c r="AI80" s="489">
        <v>1059</v>
      </c>
      <c r="AJ80" s="489">
        <f t="shared" si="13"/>
        <v>0</v>
      </c>
      <c r="AK80" s="489"/>
      <c r="AL80" s="489"/>
      <c r="AM80" s="489"/>
      <c r="AN80" s="489"/>
    </row>
    <row r="81" spans="1:40" x14ac:dyDescent="0.25">
      <c r="A81" s="332">
        <v>5521</v>
      </c>
      <c r="B81" s="459" t="s">
        <v>180</v>
      </c>
      <c r="C81" s="382">
        <v>2329469.2799999998</v>
      </c>
      <c r="D81" s="382">
        <v>270709.42</v>
      </c>
      <c r="E81" s="380"/>
      <c r="F81" s="518"/>
      <c r="G81" s="382">
        <v>167771.1</v>
      </c>
      <c r="H81" s="382">
        <v>2580.9</v>
      </c>
      <c r="I81" s="382"/>
      <c r="J81" s="382">
        <v>64995.76</v>
      </c>
      <c r="K81" s="382">
        <v>17341.25</v>
      </c>
      <c r="L81" s="382">
        <v>265040.45</v>
      </c>
      <c r="M81" s="325">
        <f t="shared" si="7"/>
        <v>3117908.1599999997</v>
      </c>
      <c r="N81" s="386">
        <v>29998</v>
      </c>
      <c r="O81" s="386"/>
      <c r="P81" s="386">
        <v>55425.75</v>
      </c>
      <c r="Q81" s="386">
        <v>25334.83</v>
      </c>
      <c r="R81" s="386">
        <v>177250.5</v>
      </c>
      <c r="S81" s="371">
        <v>19294.43</v>
      </c>
      <c r="T81" s="439">
        <f t="shared" si="8"/>
        <v>3425211.67</v>
      </c>
      <c r="U81" s="387">
        <v>73</v>
      </c>
      <c r="V81" s="390">
        <f>VLOOKUP(B81,'[1]2021'!$C:$D,2,FALSE)</f>
        <v>1148</v>
      </c>
      <c r="W81" s="436">
        <v>-48097.07</v>
      </c>
      <c r="X81" s="442"/>
      <c r="Y81" s="442">
        <v>-1329.45</v>
      </c>
      <c r="Z81" s="447">
        <v>1</v>
      </c>
      <c r="AA81" s="484">
        <v>3425211.67</v>
      </c>
      <c r="AB81" s="484">
        <v>-48097.07</v>
      </c>
      <c r="AC81" s="484"/>
      <c r="AD81" s="484">
        <v>-1329.45</v>
      </c>
      <c r="AE81" s="526">
        <f t="shared" si="9"/>
        <v>0</v>
      </c>
      <c r="AF81" s="526">
        <f t="shared" si="10"/>
        <v>0</v>
      </c>
      <c r="AG81" s="527">
        <f t="shared" si="11"/>
        <v>0</v>
      </c>
      <c r="AH81" s="527">
        <f t="shared" si="12"/>
        <v>0</v>
      </c>
      <c r="AI81" s="489">
        <v>1148</v>
      </c>
      <c r="AJ81" s="489">
        <f t="shared" si="13"/>
        <v>0</v>
      </c>
      <c r="AK81" s="489"/>
      <c r="AL81" s="489"/>
      <c r="AM81" s="489"/>
      <c r="AN81" s="489"/>
    </row>
    <row r="82" spans="1:40" x14ac:dyDescent="0.25">
      <c r="A82" s="332">
        <v>5522</v>
      </c>
      <c r="B82" s="459" t="s">
        <v>181</v>
      </c>
      <c r="C82" s="382">
        <v>1423009.48</v>
      </c>
      <c r="D82" s="382">
        <v>180797.2</v>
      </c>
      <c r="E82" s="380"/>
      <c r="F82" s="518"/>
      <c r="G82" s="382">
        <v>18654</v>
      </c>
      <c r="H82" s="382">
        <v>707.15</v>
      </c>
      <c r="I82" s="382"/>
      <c r="J82" s="382">
        <v>9160.84</v>
      </c>
      <c r="K82" s="382">
        <v>4017.55</v>
      </c>
      <c r="L82" s="382">
        <v>144022.39999999999</v>
      </c>
      <c r="M82" s="325">
        <f t="shared" si="7"/>
        <v>1780368.6199999999</v>
      </c>
      <c r="N82" s="386">
        <v>26174.95</v>
      </c>
      <c r="O82" s="386">
        <v>234.4</v>
      </c>
      <c r="P82" s="386">
        <v>31147.5</v>
      </c>
      <c r="Q82" s="386">
        <v>15815.26</v>
      </c>
      <c r="R82" s="386">
        <v>37571.1</v>
      </c>
      <c r="S82" s="371">
        <v>2192.88</v>
      </c>
      <c r="T82" s="439">
        <f t="shared" si="8"/>
        <v>1893504.7099999997</v>
      </c>
      <c r="U82" s="387">
        <v>75</v>
      </c>
      <c r="V82" s="390">
        <f>VLOOKUP(B82,'[1]2021'!$C:$D,2,FALSE)</f>
        <v>754</v>
      </c>
      <c r="W82" s="436">
        <v>-4006.55</v>
      </c>
      <c r="X82" s="442"/>
      <c r="Y82" s="442">
        <v>-45.25</v>
      </c>
      <c r="Z82" s="447">
        <v>1</v>
      </c>
      <c r="AA82" s="484">
        <v>1893504.71</v>
      </c>
      <c r="AB82" s="484">
        <v>-4006.55</v>
      </c>
      <c r="AC82" s="484"/>
      <c r="AD82" s="484">
        <v>-45.25</v>
      </c>
      <c r="AE82" s="526">
        <f t="shared" si="9"/>
        <v>0</v>
      </c>
      <c r="AF82" s="526">
        <f t="shared" si="10"/>
        <v>0</v>
      </c>
      <c r="AG82" s="527">
        <f t="shared" si="11"/>
        <v>0</v>
      </c>
      <c r="AH82" s="527">
        <f t="shared" si="12"/>
        <v>0</v>
      </c>
      <c r="AI82" s="489">
        <v>754</v>
      </c>
      <c r="AJ82" s="489">
        <f t="shared" si="13"/>
        <v>0</v>
      </c>
      <c r="AK82" s="489"/>
      <c r="AL82" s="489"/>
      <c r="AM82" s="489"/>
      <c r="AN82" s="489"/>
    </row>
    <row r="83" spans="1:40" x14ac:dyDescent="0.25">
      <c r="A83" s="332">
        <v>5523</v>
      </c>
      <c r="B83" s="459" t="s">
        <v>182</v>
      </c>
      <c r="C83" s="382">
        <v>5279898.51</v>
      </c>
      <c r="D83" s="382">
        <v>744353.59</v>
      </c>
      <c r="E83" s="380"/>
      <c r="F83" s="519"/>
      <c r="G83" s="382">
        <v>104955.85</v>
      </c>
      <c r="H83" s="382">
        <v>5789.2</v>
      </c>
      <c r="I83" s="382"/>
      <c r="J83" s="382">
        <v>78967.53</v>
      </c>
      <c r="K83" s="382">
        <v>29608.05</v>
      </c>
      <c r="L83" s="382">
        <v>664223.30000000005</v>
      </c>
      <c r="M83" s="325">
        <f t="shared" si="7"/>
        <v>6907796.0299999993</v>
      </c>
      <c r="N83" s="386">
        <v>6648.85</v>
      </c>
      <c r="O83" s="517"/>
      <c r="P83" s="517"/>
      <c r="Q83" s="386">
        <v>11243</v>
      </c>
      <c r="R83" s="386">
        <v>826824.4</v>
      </c>
      <c r="S83" s="371">
        <v>12543.22</v>
      </c>
      <c r="T83" s="439">
        <f t="shared" si="8"/>
        <v>7765055.4999999991</v>
      </c>
      <c r="U83" s="387">
        <v>72</v>
      </c>
      <c r="V83" s="390">
        <f>VLOOKUP(B83,'[1]2021'!$C:$D,2,FALSE)</f>
        <v>2673</v>
      </c>
      <c r="W83" s="436">
        <v>-63743.97</v>
      </c>
      <c r="X83" s="442"/>
      <c r="Y83" s="442">
        <v>-1275.46</v>
      </c>
      <c r="Z83" s="447">
        <v>1.25</v>
      </c>
      <c r="AA83" s="484">
        <v>7765055.5</v>
      </c>
      <c r="AB83" s="484">
        <v>-63743.97</v>
      </c>
      <c r="AC83" s="484"/>
      <c r="AD83" s="484">
        <v>-1275.46</v>
      </c>
      <c r="AE83" s="526">
        <f t="shared" si="9"/>
        <v>0</v>
      </c>
      <c r="AF83" s="526">
        <f t="shared" si="10"/>
        <v>0</v>
      </c>
      <c r="AG83" s="527">
        <f t="shared" si="11"/>
        <v>0</v>
      </c>
      <c r="AH83" s="527">
        <f t="shared" si="12"/>
        <v>0</v>
      </c>
      <c r="AI83" s="489">
        <v>2673</v>
      </c>
      <c r="AJ83" s="489">
        <f t="shared" si="13"/>
        <v>0</v>
      </c>
      <c r="AK83" s="489"/>
      <c r="AL83" s="489"/>
      <c r="AM83" s="489"/>
      <c r="AN83" s="489"/>
    </row>
    <row r="84" spans="1:40" x14ac:dyDescent="0.25">
      <c r="A84" s="332">
        <v>5527</v>
      </c>
      <c r="B84" s="459" t="s">
        <v>183</v>
      </c>
      <c r="C84" s="382">
        <v>2283238.2799999998</v>
      </c>
      <c r="D84" s="382">
        <v>373457.94</v>
      </c>
      <c r="E84" s="380"/>
      <c r="F84" s="518"/>
      <c r="G84" s="382">
        <v>2924</v>
      </c>
      <c r="H84" s="382">
        <v>2854.45</v>
      </c>
      <c r="I84" s="382"/>
      <c r="J84" s="382">
        <v>33555.919999999998</v>
      </c>
      <c r="K84" s="382">
        <v>-2491.75</v>
      </c>
      <c r="L84" s="382">
        <v>243459.75</v>
      </c>
      <c r="M84" s="325">
        <f t="shared" si="7"/>
        <v>2936998.59</v>
      </c>
      <c r="N84" s="386">
        <v>10850.5</v>
      </c>
      <c r="O84" s="386"/>
      <c r="P84" s="514">
        <v>141512.70000000001</v>
      </c>
      <c r="Q84" s="386">
        <v>432.99</v>
      </c>
      <c r="R84" s="386">
        <v>117659.35</v>
      </c>
      <c r="S84" s="371">
        <v>654.48</v>
      </c>
      <c r="T84" s="439">
        <f t="shared" si="8"/>
        <v>3208108.6100000003</v>
      </c>
      <c r="U84" s="387">
        <v>74</v>
      </c>
      <c r="V84" s="390">
        <f>VLOOKUP(B84,'[1]2021'!$C:$D,2,FALSE)</f>
        <v>1156</v>
      </c>
      <c r="W84" s="436">
        <v>-29012.71</v>
      </c>
      <c r="X84" s="442"/>
      <c r="Y84" s="442">
        <v>-111</v>
      </c>
      <c r="Z84" s="447">
        <v>1</v>
      </c>
      <c r="AA84" s="484">
        <v>3208108.61</v>
      </c>
      <c r="AB84" s="484">
        <v>-29012.71</v>
      </c>
      <c r="AC84" s="484"/>
      <c r="AD84" s="484">
        <v>-111</v>
      </c>
      <c r="AE84" s="526">
        <f t="shared" si="9"/>
        <v>0</v>
      </c>
      <c r="AF84" s="526">
        <f t="shared" si="10"/>
        <v>0</v>
      </c>
      <c r="AG84" s="527">
        <f t="shared" si="11"/>
        <v>0</v>
      </c>
      <c r="AH84" s="527">
        <f t="shared" si="12"/>
        <v>0</v>
      </c>
      <c r="AI84" s="489">
        <v>1156</v>
      </c>
      <c r="AJ84" s="489">
        <f t="shared" si="13"/>
        <v>0</v>
      </c>
      <c r="AK84" s="489"/>
      <c r="AL84" s="489"/>
      <c r="AM84" s="489"/>
      <c r="AN84" s="489"/>
    </row>
    <row r="85" spans="1:40" x14ac:dyDescent="0.25">
      <c r="A85" s="332">
        <v>5529</v>
      </c>
      <c r="B85" s="459" t="s">
        <v>184</v>
      </c>
      <c r="C85" s="382">
        <v>1180124.1399999999</v>
      </c>
      <c r="D85" s="382">
        <v>163878.31</v>
      </c>
      <c r="E85" s="380"/>
      <c r="F85" s="518"/>
      <c r="G85" s="382">
        <v>1834.9</v>
      </c>
      <c r="H85" s="382">
        <v>1395.6</v>
      </c>
      <c r="I85" s="382"/>
      <c r="J85" s="382">
        <v>20148.03</v>
      </c>
      <c r="K85" s="382">
        <v>3248.55</v>
      </c>
      <c r="L85" s="382">
        <v>128212.6</v>
      </c>
      <c r="M85" s="325">
        <f t="shared" si="7"/>
        <v>1498842.1300000001</v>
      </c>
      <c r="N85" s="386"/>
      <c r="O85" s="386"/>
      <c r="P85" s="386">
        <v>95966.45</v>
      </c>
      <c r="Q85" s="386"/>
      <c r="R85" s="386">
        <v>189871.3</v>
      </c>
      <c r="S85" s="371">
        <v>365.89</v>
      </c>
      <c r="T85" s="439">
        <f t="shared" si="8"/>
        <v>1785045.77</v>
      </c>
      <c r="U85" s="387">
        <v>70</v>
      </c>
      <c r="V85" s="390">
        <f>VLOOKUP(B85,'[1]2021'!$C:$D,2,FALSE)</f>
        <v>619</v>
      </c>
      <c r="W85" s="436">
        <v>-17823.47</v>
      </c>
      <c r="X85" s="442"/>
      <c r="Y85" s="442">
        <v>-28.32</v>
      </c>
      <c r="Z85" s="447">
        <v>1</v>
      </c>
      <c r="AA85" s="484">
        <v>1785045.77</v>
      </c>
      <c r="AB85" s="484">
        <v>-17823.47</v>
      </c>
      <c r="AC85" s="484"/>
      <c r="AD85" s="484">
        <v>-28.32</v>
      </c>
      <c r="AE85" s="526">
        <f t="shared" si="9"/>
        <v>0</v>
      </c>
      <c r="AF85" s="526">
        <f t="shared" si="10"/>
        <v>0</v>
      </c>
      <c r="AG85" s="527">
        <f t="shared" si="11"/>
        <v>0</v>
      </c>
      <c r="AH85" s="527">
        <f t="shared" si="12"/>
        <v>0</v>
      </c>
      <c r="AI85" s="489">
        <v>619</v>
      </c>
      <c r="AJ85" s="489">
        <f t="shared" si="13"/>
        <v>0</v>
      </c>
      <c r="AK85" s="489"/>
      <c r="AL85" s="489"/>
      <c r="AM85" s="489"/>
      <c r="AN85" s="489"/>
    </row>
    <row r="86" spans="1:40" x14ac:dyDescent="0.25">
      <c r="A86" s="332">
        <v>5530</v>
      </c>
      <c r="B86" s="459" t="s">
        <v>185</v>
      </c>
      <c r="C86" s="382">
        <v>1193404.49</v>
      </c>
      <c r="D86" s="382">
        <v>167909.93</v>
      </c>
      <c r="E86" s="380"/>
      <c r="F86" s="518"/>
      <c r="G86" s="382">
        <v>-1628.15</v>
      </c>
      <c r="H86" s="382">
        <v>-53</v>
      </c>
      <c r="I86" s="382"/>
      <c r="J86" s="382">
        <v>12489.9</v>
      </c>
      <c r="K86" s="382">
        <v>847.5</v>
      </c>
      <c r="L86" s="382">
        <v>110858.04</v>
      </c>
      <c r="M86" s="325">
        <f t="shared" si="7"/>
        <v>1483828.71</v>
      </c>
      <c r="N86" s="386">
        <v>19384.099999999999</v>
      </c>
      <c r="O86" s="386">
        <v>75442.5</v>
      </c>
      <c r="P86" s="386">
        <v>33943.35</v>
      </c>
      <c r="Q86" s="386"/>
      <c r="R86" s="386">
        <v>3231.1</v>
      </c>
      <c r="S86" s="371">
        <v>-190.41</v>
      </c>
      <c r="T86" s="439">
        <f t="shared" si="8"/>
        <v>1615639.3500000003</v>
      </c>
      <c r="U86" s="387">
        <v>76</v>
      </c>
      <c r="V86" s="390">
        <f>VLOOKUP(B86,'[1]2021'!$C:$D,2,FALSE)</f>
        <v>575</v>
      </c>
      <c r="W86" s="436">
        <v>-16302.61</v>
      </c>
      <c r="X86" s="442"/>
      <c r="Y86" s="442">
        <v>-90.34</v>
      </c>
      <c r="Z86" s="447">
        <v>1.2</v>
      </c>
      <c r="AA86" s="484">
        <v>1615639.35</v>
      </c>
      <c r="AB86" s="484">
        <v>-16302.61</v>
      </c>
      <c r="AC86" s="484"/>
      <c r="AD86" s="484">
        <v>-90.34</v>
      </c>
      <c r="AE86" s="526">
        <f t="shared" si="9"/>
        <v>0</v>
      </c>
      <c r="AF86" s="526">
        <f t="shared" si="10"/>
        <v>0</v>
      </c>
      <c r="AG86" s="527">
        <f t="shared" si="11"/>
        <v>0</v>
      </c>
      <c r="AH86" s="527">
        <f t="shared" si="12"/>
        <v>0</v>
      </c>
      <c r="AI86" s="489">
        <v>575</v>
      </c>
      <c r="AJ86" s="489">
        <f t="shared" si="13"/>
        <v>0</v>
      </c>
      <c r="AK86" s="489"/>
      <c r="AL86" s="489"/>
      <c r="AM86" s="489"/>
      <c r="AN86" s="489"/>
    </row>
    <row r="87" spans="1:40" x14ac:dyDescent="0.25">
      <c r="A87" s="332">
        <v>5531</v>
      </c>
      <c r="B87" s="459" t="s">
        <v>186</v>
      </c>
      <c r="C87" s="382">
        <v>830500.1</v>
      </c>
      <c r="D87" s="382">
        <v>120779.49</v>
      </c>
      <c r="E87" s="380"/>
      <c r="F87" s="518"/>
      <c r="G87" s="382">
        <v>5750.15</v>
      </c>
      <c r="H87" s="382">
        <v>646.79999999999995</v>
      </c>
      <c r="I87" s="382"/>
      <c r="J87" s="382">
        <v>16344.72</v>
      </c>
      <c r="K87" s="382">
        <v>1130.3</v>
      </c>
      <c r="L87" s="382">
        <v>83018</v>
      </c>
      <c r="M87" s="325">
        <f t="shared" si="7"/>
        <v>1058169.56</v>
      </c>
      <c r="N87" s="386">
        <v>23410.5</v>
      </c>
      <c r="O87" s="386"/>
      <c r="P87" s="514">
        <v>74749.649999999994</v>
      </c>
      <c r="Q87" s="386">
        <v>469.37</v>
      </c>
      <c r="R87" s="386">
        <v>35131.75</v>
      </c>
      <c r="S87" s="371">
        <v>724.53</v>
      </c>
      <c r="T87" s="439">
        <f t="shared" si="8"/>
        <v>1192655.3600000001</v>
      </c>
      <c r="U87" s="387">
        <v>74</v>
      </c>
      <c r="V87" s="390">
        <f>VLOOKUP(B87,'[1]2021'!$C:$D,2,FALSE)</f>
        <v>417</v>
      </c>
      <c r="W87" s="436">
        <v>-984.26</v>
      </c>
      <c r="X87" s="442"/>
      <c r="Y87" s="442">
        <v>-118.71</v>
      </c>
      <c r="Z87" s="447">
        <v>1</v>
      </c>
      <c r="AA87" s="484">
        <f>1117905.71+74749.65</f>
        <v>1192655.3599999999</v>
      </c>
      <c r="AB87" s="484">
        <v>-984.26</v>
      </c>
      <c r="AC87" s="484"/>
      <c r="AD87" s="484">
        <v>-118.71</v>
      </c>
      <c r="AE87" s="526">
        <f t="shared" si="9"/>
        <v>0</v>
      </c>
      <c r="AF87" s="526">
        <f t="shared" si="10"/>
        <v>0</v>
      </c>
      <c r="AG87" s="527">
        <f t="shared" si="11"/>
        <v>0</v>
      </c>
      <c r="AH87" s="527">
        <f t="shared" si="12"/>
        <v>0</v>
      </c>
      <c r="AI87" s="489">
        <v>417</v>
      </c>
      <c r="AJ87" s="489">
        <f t="shared" si="13"/>
        <v>0</v>
      </c>
      <c r="AK87" s="489"/>
      <c r="AL87" s="489"/>
      <c r="AM87" s="489"/>
      <c r="AN87" s="489"/>
    </row>
    <row r="88" spans="1:40" x14ac:dyDescent="0.25">
      <c r="A88" s="332">
        <v>5533</v>
      </c>
      <c r="B88" s="459" t="s">
        <v>187</v>
      </c>
      <c r="C88" s="382">
        <v>1533489.97</v>
      </c>
      <c r="D88" s="382">
        <v>195018.73</v>
      </c>
      <c r="E88" s="380"/>
      <c r="F88" s="518"/>
      <c r="G88" s="382">
        <v>133143.65</v>
      </c>
      <c r="H88" s="382">
        <v>802.55</v>
      </c>
      <c r="I88" s="382"/>
      <c r="J88" s="382">
        <v>2679.43</v>
      </c>
      <c r="K88" s="382">
        <v>10363.25</v>
      </c>
      <c r="L88" s="382">
        <v>146244.20000000001</v>
      </c>
      <c r="M88" s="325">
        <f t="shared" si="7"/>
        <v>2021741.7799999998</v>
      </c>
      <c r="N88" s="386">
        <v>4072.25</v>
      </c>
      <c r="O88" s="514">
        <v>12776.7</v>
      </c>
      <c r="P88" s="514">
        <v>11264</v>
      </c>
      <c r="Q88" s="386">
        <v>1153.5</v>
      </c>
      <c r="R88" s="386">
        <v>6227.8</v>
      </c>
      <c r="S88" s="371">
        <v>15171.03</v>
      </c>
      <c r="T88" s="439">
        <f t="shared" si="8"/>
        <v>2072407.0599999998</v>
      </c>
      <c r="U88" s="387">
        <v>73</v>
      </c>
      <c r="V88" s="390">
        <f>VLOOKUP(B88,'[1]2021'!$C:$D,2,FALSE)</f>
        <v>833</v>
      </c>
      <c r="W88" s="436">
        <v>-30247.360000000001</v>
      </c>
      <c r="X88" s="442"/>
      <c r="Y88" s="442">
        <v>-170.62</v>
      </c>
      <c r="Z88" s="447">
        <v>1</v>
      </c>
      <c r="AA88" s="484">
        <v>2072407.06</v>
      </c>
      <c r="AB88" s="484">
        <v>-30247.360000000001</v>
      </c>
      <c r="AC88" s="484"/>
      <c r="AD88" s="484">
        <v>-170.62</v>
      </c>
      <c r="AE88" s="526">
        <f t="shared" si="9"/>
        <v>0</v>
      </c>
      <c r="AF88" s="526">
        <f t="shared" si="10"/>
        <v>0</v>
      </c>
      <c r="AG88" s="527">
        <f t="shared" si="11"/>
        <v>0</v>
      </c>
      <c r="AH88" s="527">
        <f t="shared" si="12"/>
        <v>0</v>
      </c>
      <c r="AI88" s="489">
        <v>833</v>
      </c>
      <c r="AJ88" s="489">
        <f t="shared" si="13"/>
        <v>0</v>
      </c>
      <c r="AK88" s="489"/>
      <c r="AL88" s="489"/>
      <c r="AM88" s="489"/>
      <c r="AN88" s="489"/>
    </row>
    <row r="89" spans="1:40" x14ac:dyDescent="0.25">
      <c r="A89" s="332">
        <v>5534</v>
      </c>
      <c r="B89" s="459" t="s">
        <v>188</v>
      </c>
      <c r="C89" s="382">
        <v>544963.86</v>
      </c>
      <c r="D89" s="382">
        <v>131117.87</v>
      </c>
      <c r="E89" s="380"/>
      <c r="F89" s="518"/>
      <c r="G89" s="382">
        <v>170273.25</v>
      </c>
      <c r="H89" s="382">
        <v>38.950000000000003</v>
      </c>
      <c r="I89" s="382"/>
      <c r="J89" s="382">
        <v>16118.93</v>
      </c>
      <c r="K89" s="382">
        <v>907</v>
      </c>
      <c r="L89" s="382">
        <v>96466.7</v>
      </c>
      <c r="M89" s="325">
        <f t="shared" si="7"/>
        <v>959886.55999999994</v>
      </c>
      <c r="N89" s="386">
        <v>30156.05</v>
      </c>
      <c r="O89" s="386">
        <v>1502.5</v>
      </c>
      <c r="P89" s="386">
        <v>56309.15</v>
      </c>
      <c r="Q89" s="386">
        <v>3702.83</v>
      </c>
      <c r="R89" s="386">
        <v>46442</v>
      </c>
      <c r="S89" s="371">
        <v>19289.919999999998</v>
      </c>
      <c r="T89" s="439">
        <f t="shared" si="8"/>
        <v>1117289.01</v>
      </c>
      <c r="U89" s="387">
        <v>73</v>
      </c>
      <c r="V89" s="390">
        <f>VLOOKUP(B89,'[1]2021'!$C:$D,2,FALSE)</f>
        <v>304</v>
      </c>
      <c r="W89" s="436">
        <v>-9983.39</v>
      </c>
      <c r="X89" s="442"/>
      <c r="Y89" s="442">
        <v>-7.73</v>
      </c>
      <c r="Z89" s="447">
        <v>1.2</v>
      </c>
      <c r="AA89" s="484">
        <v>1117289.01</v>
      </c>
      <c r="AB89" s="484">
        <v>-9983.39</v>
      </c>
      <c r="AC89" s="484"/>
      <c r="AD89" s="484">
        <v>-7.73</v>
      </c>
      <c r="AE89" s="526">
        <f t="shared" si="9"/>
        <v>0</v>
      </c>
      <c r="AF89" s="526">
        <f t="shared" si="10"/>
        <v>0</v>
      </c>
      <c r="AG89" s="527">
        <f t="shared" si="11"/>
        <v>0</v>
      </c>
      <c r="AH89" s="527">
        <f t="shared" si="12"/>
        <v>0</v>
      </c>
      <c r="AI89" s="489">
        <v>304</v>
      </c>
      <c r="AJ89" s="489">
        <f t="shared" si="13"/>
        <v>0</v>
      </c>
      <c r="AK89" s="489"/>
      <c r="AL89" s="489"/>
      <c r="AM89" s="489"/>
      <c r="AN89" s="489"/>
    </row>
    <row r="90" spans="1:40" x14ac:dyDescent="0.25">
      <c r="A90" s="332">
        <v>5535</v>
      </c>
      <c r="B90" s="459" t="s">
        <v>30</v>
      </c>
      <c r="C90" s="382">
        <v>1516700.4</v>
      </c>
      <c r="D90" s="382">
        <v>191104.71</v>
      </c>
      <c r="E90" s="380"/>
      <c r="F90" s="518"/>
      <c r="G90" s="382">
        <v>2925.95</v>
      </c>
      <c r="H90" s="382">
        <v>3210.1</v>
      </c>
      <c r="I90" s="382"/>
      <c r="J90" s="382">
        <v>24603.42</v>
      </c>
      <c r="K90" s="382">
        <v>1575.8</v>
      </c>
      <c r="L90" s="382">
        <v>148098.4</v>
      </c>
      <c r="M90" s="325">
        <f t="shared" si="7"/>
        <v>1888218.7799999998</v>
      </c>
      <c r="N90" s="386">
        <v>43807.25</v>
      </c>
      <c r="O90" s="514">
        <v>502.9</v>
      </c>
      <c r="P90" s="514">
        <v>32904.15</v>
      </c>
      <c r="Q90" s="386">
        <v>8960.16</v>
      </c>
      <c r="R90" s="386">
        <v>62868.1</v>
      </c>
      <c r="S90" s="371">
        <v>694.98</v>
      </c>
      <c r="T90" s="439">
        <f t="shared" si="8"/>
        <v>2037956.3199999996</v>
      </c>
      <c r="U90" s="387">
        <v>75</v>
      </c>
      <c r="V90" s="390">
        <f>VLOOKUP(B90,'[1]2021'!$C:$D,2,FALSE)</f>
        <v>809</v>
      </c>
      <c r="W90" s="436">
        <v>-16801.96</v>
      </c>
      <c r="X90" s="442"/>
      <c r="Y90" s="442">
        <v>-48.07</v>
      </c>
      <c r="Z90" s="447">
        <v>1</v>
      </c>
      <c r="AA90" s="484">
        <v>2037956.32</v>
      </c>
      <c r="AB90" s="484">
        <v>-16801.96</v>
      </c>
      <c r="AC90" s="484"/>
      <c r="AD90" s="484">
        <v>-48.07</v>
      </c>
      <c r="AE90" s="526">
        <f t="shared" si="9"/>
        <v>0</v>
      </c>
      <c r="AF90" s="526">
        <f t="shared" si="10"/>
        <v>0</v>
      </c>
      <c r="AG90" s="527">
        <f t="shared" si="11"/>
        <v>0</v>
      </c>
      <c r="AH90" s="527">
        <f t="shared" si="12"/>
        <v>0</v>
      </c>
      <c r="AI90" s="489">
        <v>809</v>
      </c>
      <c r="AJ90" s="489">
        <f t="shared" si="13"/>
        <v>0</v>
      </c>
      <c r="AK90" s="489"/>
      <c r="AL90" s="489"/>
      <c r="AM90" s="489"/>
      <c r="AN90" s="489"/>
    </row>
    <row r="91" spans="1:40" x14ac:dyDescent="0.25">
      <c r="A91" s="332">
        <v>5537</v>
      </c>
      <c r="B91" s="459" t="s">
        <v>31</v>
      </c>
      <c r="C91" s="382">
        <v>2741925.42</v>
      </c>
      <c r="D91" s="382">
        <v>284404.31</v>
      </c>
      <c r="E91" s="380"/>
      <c r="F91" s="518">
        <v>7390</v>
      </c>
      <c r="G91" s="382">
        <v>14833.5</v>
      </c>
      <c r="H91" s="382">
        <v>781.1</v>
      </c>
      <c r="I91" s="382"/>
      <c r="J91" s="382">
        <v>20564.37</v>
      </c>
      <c r="K91" s="382">
        <v>3191.5</v>
      </c>
      <c r="L91" s="382">
        <v>241651.20000000001</v>
      </c>
      <c r="M91" s="325">
        <f t="shared" si="7"/>
        <v>3314741.4000000004</v>
      </c>
      <c r="N91" s="386">
        <v>2823.5</v>
      </c>
      <c r="O91" s="514">
        <v>9485.5</v>
      </c>
      <c r="P91" s="514">
        <v>72160</v>
      </c>
      <c r="Q91" s="386">
        <v>9549.9500000000007</v>
      </c>
      <c r="R91" s="386">
        <v>31601.7</v>
      </c>
      <c r="S91" s="371">
        <v>1768.54</v>
      </c>
      <c r="T91" s="439">
        <f t="shared" si="8"/>
        <v>3442130.5900000008</v>
      </c>
      <c r="U91" s="387">
        <v>76</v>
      </c>
      <c r="V91" s="390">
        <f>VLOOKUP(B91,'[1]2021'!$C:$D,2,FALSE)</f>
        <v>1316</v>
      </c>
      <c r="W91" s="436">
        <v>-64205.39</v>
      </c>
      <c r="X91" s="442"/>
      <c r="Y91" s="442">
        <v>-100.48</v>
      </c>
      <c r="Z91" s="447">
        <v>1</v>
      </c>
      <c r="AA91" s="484">
        <v>3442130.59</v>
      </c>
      <c r="AB91" s="484">
        <v>-64205.39</v>
      </c>
      <c r="AC91" s="484"/>
      <c r="AD91" s="484">
        <v>-100.48</v>
      </c>
      <c r="AE91" s="526">
        <f t="shared" si="9"/>
        <v>0</v>
      </c>
      <c r="AF91" s="526">
        <f t="shared" si="10"/>
        <v>0</v>
      </c>
      <c r="AG91" s="527">
        <f t="shared" si="11"/>
        <v>0</v>
      </c>
      <c r="AH91" s="527">
        <f t="shared" si="12"/>
        <v>0</v>
      </c>
      <c r="AI91" s="489">
        <v>1316</v>
      </c>
      <c r="AJ91" s="489">
        <f t="shared" si="13"/>
        <v>0</v>
      </c>
      <c r="AK91" s="489"/>
      <c r="AL91" s="489"/>
      <c r="AM91" s="489"/>
      <c r="AN91" s="489"/>
    </row>
    <row r="92" spans="1:40" x14ac:dyDescent="0.25">
      <c r="A92" s="332">
        <v>5539</v>
      </c>
      <c r="B92" s="459" t="s">
        <v>32</v>
      </c>
      <c r="C92" s="382">
        <v>2034295.63</v>
      </c>
      <c r="D92" s="382">
        <v>219678.42</v>
      </c>
      <c r="E92" s="380"/>
      <c r="F92" s="518"/>
      <c r="G92" s="382">
        <v>25525.200000000001</v>
      </c>
      <c r="H92" s="382">
        <v>415.95</v>
      </c>
      <c r="I92" s="382"/>
      <c r="J92" s="382">
        <v>29378.59</v>
      </c>
      <c r="K92" s="382">
        <v>4278.3</v>
      </c>
      <c r="L92" s="382">
        <v>156374.6</v>
      </c>
      <c r="M92" s="325">
        <f t="shared" si="7"/>
        <v>2469946.69</v>
      </c>
      <c r="N92" s="386">
        <v>17971.5</v>
      </c>
      <c r="O92" s="386">
        <v>151480</v>
      </c>
      <c r="P92" s="386">
        <v>54638.65</v>
      </c>
      <c r="Q92" s="386">
        <v>58365.03</v>
      </c>
      <c r="R92" s="386">
        <v>33777.300000000003</v>
      </c>
      <c r="S92" s="371">
        <v>2938.15</v>
      </c>
      <c r="T92" s="439">
        <f t="shared" si="8"/>
        <v>2789117.3199999994</v>
      </c>
      <c r="U92" s="387">
        <v>73.5</v>
      </c>
      <c r="V92" s="390">
        <f>VLOOKUP(B92,'[1]2021'!$C:$D,2,FALSE)</f>
        <v>1097</v>
      </c>
      <c r="W92" s="436">
        <v>-30262.43</v>
      </c>
      <c r="X92" s="442"/>
      <c r="Y92" s="442">
        <v>-64.599999999999994</v>
      </c>
      <c r="Z92" s="447">
        <v>0.8</v>
      </c>
      <c r="AA92" s="484">
        <v>2789117.32</v>
      </c>
      <c r="AB92" s="484">
        <v>-30262.43</v>
      </c>
      <c r="AC92" s="484"/>
      <c r="AD92" s="484">
        <v>-64.599999999999994</v>
      </c>
      <c r="AE92" s="526">
        <f t="shared" si="9"/>
        <v>0</v>
      </c>
      <c r="AF92" s="526">
        <f t="shared" si="10"/>
        <v>0</v>
      </c>
      <c r="AG92" s="527">
        <f t="shared" si="11"/>
        <v>0</v>
      </c>
      <c r="AH92" s="527">
        <f t="shared" si="12"/>
        <v>0</v>
      </c>
      <c r="AI92" s="489">
        <v>1097</v>
      </c>
      <c r="AJ92" s="489">
        <f t="shared" si="13"/>
        <v>0</v>
      </c>
      <c r="AK92" s="489"/>
      <c r="AL92" s="489"/>
      <c r="AM92" s="489"/>
      <c r="AN92" s="489"/>
    </row>
    <row r="93" spans="1:40" x14ac:dyDescent="0.25">
      <c r="A93" s="332">
        <v>5540</v>
      </c>
      <c r="B93" s="459" t="s">
        <v>417</v>
      </c>
      <c r="C93" s="382">
        <v>3561275.12</v>
      </c>
      <c r="D93" s="382">
        <v>497002.04</v>
      </c>
      <c r="E93" s="380"/>
      <c r="F93" s="518"/>
      <c r="G93" s="382">
        <v>133308.65</v>
      </c>
      <c r="H93" s="382">
        <v>4853.05</v>
      </c>
      <c r="I93" s="382"/>
      <c r="J93" s="382">
        <v>46256.83</v>
      </c>
      <c r="K93" s="382">
        <v>12051.5</v>
      </c>
      <c r="L93" s="382">
        <v>282028.84999999998</v>
      </c>
      <c r="M93" s="325">
        <f t="shared" si="7"/>
        <v>4536776.04</v>
      </c>
      <c r="N93" s="386">
        <v>1152.4000000000001</v>
      </c>
      <c r="O93" s="514">
        <v>4751.8999999999996</v>
      </c>
      <c r="P93" s="514">
        <v>166342.45000000001</v>
      </c>
      <c r="Q93" s="386">
        <v>5243.6</v>
      </c>
      <c r="R93" s="386">
        <v>125721.55</v>
      </c>
      <c r="S93" s="371">
        <v>15648.49</v>
      </c>
      <c r="T93" s="439">
        <f t="shared" si="8"/>
        <v>4855636.4300000006</v>
      </c>
      <c r="U93" s="387">
        <v>72.5</v>
      </c>
      <c r="V93" s="390">
        <f>VLOOKUP(B93,'[1]2021'!$C:$D,2,FALSE)</f>
        <v>1883</v>
      </c>
      <c r="W93" s="436">
        <v>-37361.97</v>
      </c>
      <c r="X93" s="442"/>
      <c r="Y93" s="442">
        <v>-404.05</v>
      </c>
      <c r="Z93" s="447">
        <v>0.8</v>
      </c>
      <c r="AA93" s="484">
        <v>4855636.43</v>
      </c>
      <c r="AB93" s="484">
        <v>-37361.97</v>
      </c>
      <c r="AC93" s="484"/>
      <c r="AD93" s="484">
        <v>-404.05</v>
      </c>
      <c r="AE93" s="526">
        <f t="shared" si="9"/>
        <v>0</v>
      </c>
      <c r="AF93" s="526">
        <f t="shared" si="10"/>
        <v>0</v>
      </c>
      <c r="AG93" s="527">
        <f t="shared" si="11"/>
        <v>0</v>
      </c>
      <c r="AH93" s="527">
        <f t="shared" si="12"/>
        <v>0</v>
      </c>
      <c r="AI93" s="489">
        <v>1883</v>
      </c>
      <c r="AJ93" s="489">
        <f t="shared" si="13"/>
        <v>0</v>
      </c>
      <c r="AK93" s="489"/>
      <c r="AL93" s="489"/>
      <c r="AM93" s="489"/>
      <c r="AN93" s="489"/>
    </row>
    <row r="94" spans="1:40" x14ac:dyDescent="0.25">
      <c r="A94" s="332">
        <v>5541</v>
      </c>
      <c r="B94" s="459" t="s">
        <v>416</v>
      </c>
      <c r="C94" s="382">
        <v>2499180.46</v>
      </c>
      <c r="D94" s="382">
        <v>312044.33</v>
      </c>
      <c r="E94" s="380"/>
      <c r="F94" s="518"/>
      <c r="G94" s="382">
        <v>56593.599999999999</v>
      </c>
      <c r="H94" s="382">
        <v>1141.3499999999999</v>
      </c>
      <c r="I94" s="382"/>
      <c r="J94" s="382">
        <v>33424.400000000001</v>
      </c>
      <c r="K94" s="382">
        <v>1552.15</v>
      </c>
      <c r="L94" s="382">
        <v>220312.85</v>
      </c>
      <c r="M94" s="325">
        <f t="shared" si="7"/>
        <v>3124249.14</v>
      </c>
      <c r="N94" s="386">
        <v>5116.2</v>
      </c>
      <c r="O94" s="386">
        <v>14546.4</v>
      </c>
      <c r="P94" s="386">
        <v>61273.55</v>
      </c>
      <c r="Q94" s="386">
        <v>1332.85</v>
      </c>
      <c r="R94" s="386">
        <v>79306.350000000006</v>
      </c>
      <c r="S94" s="371">
        <v>6539.18</v>
      </c>
      <c r="T94" s="439">
        <f t="shared" si="8"/>
        <v>3292363.6700000004</v>
      </c>
      <c r="U94" s="387">
        <v>75.5</v>
      </c>
      <c r="V94" s="390">
        <f>VLOOKUP(B94,'[1]2021'!$C:$D,2,FALSE)</f>
        <v>1166</v>
      </c>
      <c r="W94" s="436">
        <v>-15345.72</v>
      </c>
      <c r="X94" s="442"/>
      <c r="Y94" s="442">
        <v>-208.48</v>
      </c>
      <c r="Z94" s="447">
        <v>1</v>
      </c>
      <c r="AA94" s="484">
        <v>3292363.67</v>
      </c>
      <c r="AB94" s="484">
        <v>-15345.72</v>
      </c>
      <c r="AC94" s="484"/>
      <c r="AD94" s="484">
        <v>-208.48</v>
      </c>
      <c r="AE94" s="526">
        <f t="shared" si="9"/>
        <v>0</v>
      </c>
      <c r="AF94" s="526">
        <f t="shared" si="10"/>
        <v>0</v>
      </c>
      <c r="AG94" s="527">
        <f t="shared" si="11"/>
        <v>0</v>
      </c>
      <c r="AH94" s="527">
        <f t="shared" si="12"/>
        <v>0</v>
      </c>
      <c r="AI94" s="489">
        <v>1166</v>
      </c>
      <c r="AJ94" s="489">
        <f t="shared" si="13"/>
        <v>0</v>
      </c>
      <c r="AK94" s="489"/>
      <c r="AL94" s="489"/>
      <c r="AM94" s="489"/>
      <c r="AN94" s="489"/>
    </row>
    <row r="95" spans="1:40" x14ac:dyDescent="0.25">
      <c r="A95" s="332">
        <v>5551</v>
      </c>
      <c r="B95" s="459" t="s">
        <v>33</v>
      </c>
      <c r="C95" s="382">
        <v>726466.25</v>
      </c>
      <c r="D95" s="382">
        <v>122220.84</v>
      </c>
      <c r="E95" s="380"/>
      <c r="F95" s="518"/>
      <c r="G95" s="382">
        <v>32422.9</v>
      </c>
      <c r="H95" s="382">
        <v>14465.6</v>
      </c>
      <c r="I95" s="382"/>
      <c r="J95" s="382">
        <v>2023.19</v>
      </c>
      <c r="K95" s="382">
        <v>12424.7</v>
      </c>
      <c r="L95" s="382">
        <v>114179.05</v>
      </c>
      <c r="M95" s="325">
        <f t="shared" si="7"/>
        <v>1024202.5299999999</v>
      </c>
      <c r="N95" s="386">
        <v>6473</v>
      </c>
      <c r="O95" s="386">
        <v>8831.7999999999993</v>
      </c>
      <c r="P95" s="386">
        <v>66776.45</v>
      </c>
      <c r="Q95" s="386"/>
      <c r="R95" s="386">
        <v>29720.799999999999</v>
      </c>
      <c r="S95" s="371">
        <v>5310.69</v>
      </c>
      <c r="T95" s="439">
        <f t="shared" si="8"/>
        <v>1141315.27</v>
      </c>
      <c r="U95" s="387">
        <v>55</v>
      </c>
      <c r="V95" s="390">
        <f>VLOOKUP(B95,'[1]2021'!$C:$D,2,FALSE)</f>
        <v>481</v>
      </c>
      <c r="W95" s="436">
        <v>-96.02</v>
      </c>
      <c r="X95" s="442"/>
      <c r="Y95" s="442">
        <v>-509.54</v>
      </c>
      <c r="Z95" s="447">
        <v>1</v>
      </c>
      <c r="AA95" s="484">
        <v>1141315.27</v>
      </c>
      <c r="AB95" s="484">
        <v>-96.02</v>
      </c>
      <c r="AC95" s="484"/>
      <c r="AD95" s="484">
        <v>-509.54</v>
      </c>
      <c r="AE95" s="526">
        <f t="shared" si="9"/>
        <v>0</v>
      </c>
      <c r="AF95" s="526">
        <f t="shared" si="10"/>
        <v>0</v>
      </c>
      <c r="AG95" s="527">
        <f t="shared" si="11"/>
        <v>0</v>
      </c>
      <c r="AH95" s="527">
        <f t="shared" si="12"/>
        <v>0</v>
      </c>
      <c r="AI95" s="489">
        <v>481</v>
      </c>
      <c r="AJ95" s="489">
        <f t="shared" si="13"/>
        <v>0</v>
      </c>
      <c r="AK95" s="489"/>
      <c r="AL95" s="489"/>
      <c r="AM95" s="489"/>
      <c r="AN95" s="489"/>
    </row>
    <row r="96" spans="1:40" x14ac:dyDescent="0.25">
      <c r="A96" s="332">
        <v>5552</v>
      </c>
      <c r="B96" s="459" t="s">
        <v>34</v>
      </c>
      <c r="C96" s="382">
        <v>1019006.86</v>
      </c>
      <c r="D96" s="382">
        <v>211070.24</v>
      </c>
      <c r="E96" s="380"/>
      <c r="F96" s="518"/>
      <c r="G96" s="382">
        <v>20158.8</v>
      </c>
      <c r="H96" s="382">
        <v>1005.3</v>
      </c>
      <c r="I96" s="382"/>
      <c r="J96" s="382">
        <v>17186.439999999999</v>
      </c>
      <c r="K96" s="382">
        <v>3712.6</v>
      </c>
      <c r="L96" s="382">
        <v>131181.29999999999</v>
      </c>
      <c r="M96" s="325">
        <f t="shared" si="7"/>
        <v>1403321.5400000003</v>
      </c>
      <c r="N96" s="386">
        <v>78794.899999999994</v>
      </c>
      <c r="O96" s="386">
        <v>227946.4</v>
      </c>
      <c r="P96" s="386">
        <v>76656.100000000006</v>
      </c>
      <c r="Q96" s="386">
        <v>11328.51</v>
      </c>
      <c r="R96" s="386">
        <v>50034.55</v>
      </c>
      <c r="S96" s="371">
        <v>2397.09</v>
      </c>
      <c r="T96" s="439">
        <f t="shared" si="8"/>
        <v>1850479.0900000003</v>
      </c>
      <c r="U96" s="387">
        <v>71.5</v>
      </c>
      <c r="V96" s="390">
        <f>VLOOKUP(B96,'[1]2021'!$C:$D,2,FALSE)</f>
        <v>657</v>
      </c>
      <c r="W96" s="436">
        <v>-14953.53</v>
      </c>
      <c r="X96" s="442"/>
      <c r="Y96" s="442">
        <v>-722.76</v>
      </c>
      <c r="Z96" s="447">
        <v>1</v>
      </c>
      <c r="AA96" s="484">
        <v>1850479.09</v>
      </c>
      <c r="AB96" s="484">
        <v>-14953.53</v>
      </c>
      <c r="AC96" s="484"/>
      <c r="AD96" s="484">
        <v>-722.76</v>
      </c>
      <c r="AE96" s="526">
        <f t="shared" si="9"/>
        <v>0</v>
      </c>
      <c r="AF96" s="526">
        <f t="shared" si="10"/>
        <v>0</v>
      </c>
      <c r="AG96" s="527">
        <f t="shared" si="11"/>
        <v>0</v>
      </c>
      <c r="AH96" s="527">
        <f t="shared" si="12"/>
        <v>0</v>
      </c>
      <c r="AI96" s="489">
        <v>657</v>
      </c>
      <c r="AJ96" s="489">
        <f t="shared" si="13"/>
        <v>0</v>
      </c>
      <c r="AK96" s="489"/>
      <c r="AL96" s="489"/>
      <c r="AM96" s="489"/>
      <c r="AN96" s="489"/>
    </row>
    <row r="97" spans="1:40" x14ac:dyDescent="0.25">
      <c r="A97" s="332">
        <v>5553</v>
      </c>
      <c r="B97" s="459" t="s">
        <v>35</v>
      </c>
      <c r="C97" s="382">
        <v>1813450.7</v>
      </c>
      <c r="D97" s="382">
        <v>300161.24</v>
      </c>
      <c r="E97" s="380"/>
      <c r="F97" s="518"/>
      <c r="G97" s="382">
        <v>151082.75</v>
      </c>
      <c r="H97" s="382">
        <v>42988.65</v>
      </c>
      <c r="I97" s="382"/>
      <c r="J97" s="382">
        <v>48540.18</v>
      </c>
      <c r="K97" s="382">
        <v>21370.05</v>
      </c>
      <c r="L97" s="382">
        <v>233568.45</v>
      </c>
      <c r="M97" s="325">
        <f t="shared" si="7"/>
        <v>2611162.02</v>
      </c>
      <c r="N97" s="386">
        <v>162665.4</v>
      </c>
      <c r="O97" s="386">
        <v>28932.5</v>
      </c>
      <c r="P97" s="386">
        <v>101171.15</v>
      </c>
      <c r="Q97" s="386"/>
      <c r="R97" s="386">
        <v>19499.150000000001</v>
      </c>
      <c r="S97" s="371">
        <v>21980.94</v>
      </c>
      <c r="T97" s="439">
        <f t="shared" si="8"/>
        <v>2945411.1599999997</v>
      </c>
      <c r="U97" s="387">
        <v>65</v>
      </c>
      <c r="V97" s="390">
        <f>VLOOKUP(B97,'[1]2021'!$C:$D,2,FALSE)</f>
        <v>1085</v>
      </c>
      <c r="W97" s="436">
        <v>-20140.669999999998</v>
      </c>
      <c r="X97" s="442"/>
      <c r="Y97" s="442">
        <v>-7313.13</v>
      </c>
      <c r="Z97" s="447">
        <v>1</v>
      </c>
      <c r="AA97" s="484">
        <v>2945411.16</v>
      </c>
      <c r="AB97" s="484">
        <v>-20140.669999999998</v>
      </c>
      <c r="AC97" s="484"/>
      <c r="AD97" s="484">
        <v>-7313.13</v>
      </c>
      <c r="AE97" s="526">
        <f t="shared" si="9"/>
        <v>0</v>
      </c>
      <c r="AF97" s="526">
        <f t="shared" si="10"/>
        <v>0</v>
      </c>
      <c r="AG97" s="527">
        <f t="shared" si="11"/>
        <v>0</v>
      </c>
      <c r="AH97" s="527">
        <f t="shared" si="12"/>
        <v>0</v>
      </c>
      <c r="AI97" s="489">
        <v>1085</v>
      </c>
      <c r="AJ97" s="489">
        <f t="shared" si="13"/>
        <v>0</v>
      </c>
      <c r="AK97" s="489"/>
      <c r="AL97" s="489"/>
      <c r="AM97" s="489"/>
      <c r="AN97" s="489"/>
    </row>
    <row r="98" spans="1:40" x14ac:dyDescent="0.25">
      <c r="A98" s="332">
        <v>5554</v>
      </c>
      <c r="B98" s="459" t="s">
        <v>36</v>
      </c>
      <c r="C98" s="382">
        <v>1752320.89</v>
      </c>
      <c r="D98" s="382">
        <v>363737.69</v>
      </c>
      <c r="E98" s="380"/>
      <c r="F98" s="518"/>
      <c r="G98" s="382">
        <v>54446.15</v>
      </c>
      <c r="H98" s="382">
        <v>925.15</v>
      </c>
      <c r="I98" s="382"/>
      <c r="J98" s="382">
        <v>31332.63</v>
      </c>
      <c r="K98" s="382">
        <v>2051.9</v>
      </c>
      <c r="L98" s="382">
        <v>185608.15</v>
      </c>
      <c r="M98" s="325">
        <f t="shared" si="7"/>
        <v>2390422.5599999996</v>
      </c>
      <c r="N98" s="386">
        <v>21995.5</v>
      </c>
      <c r="O98" s="386">
        <v>1202967</v>
      </c>
      <c r="P98" s="386">
        <v>86390.3</v>
      </c>
      <c r="Q98" s="386">
        <v>6877.31</v>
      </c>
      <c r="R98" s="386">
        <v>48182.400000000001</v>
      </c>
      <c r="S98" s="371">
        <v>6271.47</v>
      </c>
      <c r="T98" s="439">
        <f t="shared" si="8"/>
        <v>3763106.5399999996</v>
      </c>
      <c r="U98" s="387">
        <v>75</v>
      </c>
      <c r="V98" s="390">
        <f>VLOOKUP(B98,'[1]2021'!$C:$D,2,FALSE)</f>
        <v>1004</v>
      </c>
      <c r="W98" s="436">
        <v>-39597.93</v>
      </c>
      <c r="X98" s="442"/>
      <c r="Y98" s="442">
        <v>-1339.63</v>
      </c>
      <c r="Z98" s="447">
        <v>1</v>
      </c>
      <c r="AA98" s="484">
        <v>3763106.54</v>
      </c>
      <c r="AB98" s="484">
        <v>-39597.93</v>
      </c>
      <c r="AC98" s="484"/>
      <c r="AD98" s="484">
        <v>-1339.63</v>
      </c>
      <c r="AE98" s="526">
        <f t="shared" si="9"/>
        <v>0</v>
      </c>
      <c r="AF98" s="526">
        <f t="shared" si="10"/>
        <v>0</v>
      </c>
      <c r="AG98" s="527">
        <f t="shared" si="11"/>
        <v>0</v>
      </c>
      <c r="AH98" s="527">
        <f t="shared" si="12"/>
        <v>0</v>
      </c>
      <c r="AI98" s="489">
        <v>1004</v>
      </c>
      <c r="AJ98" s="489">
        <f t="shared" si="13"/>
        <v>0</v>
      </c>
      <c r="AK98" s="489"/>
      <c r="AL98" s="489"/>
      <c r="AM98" s="489"/>
      <c r="AN98" s="489"/>
    </row>
    <row r="99" spans="1:40" x14ac:dyDescent="0.25">
      <c r="A99" s="332">
        <v>5555</v>
      </c>
      <c r="B99" s="459" t="s">
        <v>37</v>
      </c>
      <c r="C99" s="382">
        <v>674651</v>
      </c>
      <c r="D99" s="382">
        <v>155527.76999999999</v>
      </c>
      <c r="E99" s="380"/>
      <c r="F99" s="518"/>
      <c r="G99" s="382">
        <v>9372.4</v>
      </c>
      <c r="H99" s="382">
        <v>2010.85</v>
      </c>
      <c r="I99" s="382"/>
      <c r="J99" s="382">
        <v>26612.47</v>
      </c>
      <c r="K99" s="382">
        <v>2228.6999999999998</v>
      </c>
      <c r="L99" s="382">
        <v>92373.15</v>
      </c>
      <c r="M99" s="325">
        <f t="shared" si="7"/>
        <v>962776.34</v>
      </c>
      <c r="N99" s="386">
        <v>10061.950000000001</v>
      </c>
      <c r="O99" s="386">
        <v>84602.9</v>
      </c>
      <c r="P99" s="386">
        <v>11110</v>
      </c>
      <c r="Q99" s="386">
        <v>877.19</v>
      </c>
      <c r="R99" s="386">
        <v>3845.4</v>
      </c>
      <c r="S99" s="371">
        <v>1289.29</v>
      </c>
      <c r="T99" s="439">
        <f t="shared" si="8"/>
        <v>1074563.0699999998</v>
      </c>
      <c r="U99" s="387">
        <v>69</v>
      </c>
      <c r="V99" s="390">
        <f>VLOOKUP(B99,'[1]2021'!$C:$D,2,FALSE)</f>
        <v>417</v>
      </c>
      <c r="W99" s="436">
        <v>-7241.25</v>
      </c>
      <c r="X99" s="442"/>
      <c r="Y99" s="442">
        <v>-102.53</v>
      </c>
      <c r="Z99" s="447">
        <v>1</v>
      </c>
      <c r="AA99" s="484">
        <v>1074563.07</v>
      </c>
      <c r="AB99" s="484">
        <v>-7241.25</v>
      </c>
      <c r="AC99" s="484"/>
      <c r="AD99" s="484">
        <v>-102.53</v>
      </c>
      <c r="AE99" s="526">
        <f t="shared" si="9"/>
        <v>0</v>
      </c>
      <c r="AF99" s="526">
        <f t="shared" si="10"/>
        <v>0</v>
      </c>
      <c r="AG99" s="527">
        <f t="shared" si="11"/>
        <v>0</v>
      </c>
      <c r="AH99" s="527">
        <f t="shared" si="12"/>
        <v>0</v>
      </c>
      <c r="AI99" s="489">
        <v>417</v>
      </c>
      <c r="AJ99" s="489">
        <f t="shared" si="13"/>
        <v>0</v>
      </c>
      <c r="AK99" s="489"/>
      <c r="AL99" s="489"/>
      <c r="AM99" s="489"/>
      <c r="AN99" s="489"/>
    </row>
    <row r="100" spans="1:40" x14ac:dyDescent="0.25">
      <c r="A100" s="332">
        <v>5556</v>
      </c>
      <c r="B100" s="459" t="s">
        <v>38</v>
      </c>
      <c r="C100" s="382">
        <v>735107.24</v>
      </c>
      <c r="D100" s="382">
        <v>79278.27</v>
      </c>
      <c r="E100" s="380"/>
      <c r="F100" s="518">
        <v>2480</v>
      </c>
      <c r="G100" s="382">
        <v>61725.3</v>
      </c>
      <c r="H100" s="382">
        <v>161.30000000000001</v>
      </c>
      <c r="I100" s="382"/>
      <c r="J100" s="382">
        <v>16887.919999999998</v>
      </c>
      <c r="K100" s="382">
        <v>1271.6500000000001</v>
      </c>
      <c r="L100" s="382">
        <v>89665.45</v>
      </c>
      <c r="M100" s="325">
        <f t="shared" si="7"/>
        <v>986577.13000000012</v>
      </c>
      <c r="N100" s="386"/>
      <c r="O100" s="386">
        <v>163.5</v>
      </c>
      <c r="P100" s="386">
        <v>40028.6</v>
      </c>
      <c r="Q100" s="386"/>
      <c r="R100" s="386">
        <v>17644.650000000001</v>
      </c>
      <c r="S100" s="371">
        <v>7009.41</v>
      </c>
      <c r="T100" s="439">
        <f t="shared" si="8"/>
        <v>1051423.29</v>
      </c>
      <c r="U100" s="387">
        <v>69</v>
      </c>
      <c r="V100" s="390">
        <f>VLOOKUP(B100,'[1]2021'!$C:$D,2,FALSE)</f>
        <v>442</v>
      </c>
      <c r="W100" s="436">
        <v>27216.78</v>
      </c>
      <c r="X100" s="442"/>
      <c r="Y100" s="442">
        <v>0</v>
      </c>
      <c r="Z100" s="447">
        <v>1.2</v>
      </c>
      <c r="AA100" s="484">
        <v>1051423.29</v>
      </c>
      <c r="AB100" s="484">
        <v>27216.78</v>
      </c>
      <c r="AC100" s="484"/>
      <c r="AD100" s="484">
        <v>0</v>
      </c>
      <c r="AE100" s="526">
        <f t="shared" si="9"/>
        <v>0</v>
      </c>
      <c r="AF100" s="526">
        <f t="shared" si="10"/>
        <v>0</v>
      </c>
      <c r="AG100" s="527">
        <f t="shared" si="11"/>
        <v>0</v>
      </c>
      <c r="AH100" s="527">
        <f t="shared" si="12"/>
        <v>0</v>
      </c>
      <c r="AI100" s="489">
        <v>442</v>
      </c>
      <c r="AJ100" s="489">
        <f t="shared" si="13"/>
        <v>0</v>
      </c>
      <c r="AK100" s="489"/>
      <c r="AL100" s="489"/>
      <c r="AM100" s="489"/>
      <c r="AN100" s="489"/>
    </row>
    <row r="101" spans="1:40" x14ac:dyDescent="0.25">
      <c r="A101" s="332">
        <v>5557</v>
      </c>
      <c r="B101" s="459" t="s">
        <v>39</v>
      </c>
      <c r="C101" s="382">
        <v>257919.69</v>
      </c>
      <c r="D101" s="382">
        <v>23068.28</v>
      </c>
      <c r="E101" s="380"/>
      <c r="F101" s="518">
        <v>899.15</v>
      </c>
      <c r="G101" s="382">
        <v>49</v>
      </c>
      <c r="H101" s="382">
        <v>702</v>
      </c>
      <c r="I101" s="382"/>
      <c r="J101" s="382">
        <v>436.59</v>
      </c>
      <c r="K101" s="382">
        <v>-284.55</v>
      </c>
      <c r="L101" s="382">
        <v>35749.800000000003</v>
      </c>
      <c r="M101" s="325">
        <f t="shared" si="7"/>
        <v>318539.96000000002</v>
      </c>
      <c r="N101" s="386"/>
      <c r="O101" s="386"/>
      <c r="P101" s="386">
        <v>10651.8</v>
      </c>
      <c r="Q101" s="386"/>
      <c r="R101" s="386">
        <v>2611</v>
      </c>
      <c r="S101" s="371">
        <v>85.06</v>
      </c>
      <c r="T101" s="439">
        <f t="shared" si="8"/>
        <v>331887.82</v>
      </c>
      <c r="U101" s="387">
        <v>69</v>
      </c>
      <c r="V101" s="390">
        <f>VLOOKUP(B101,'[1]2021'!$C:$D,2,FALSE)</f>
        <v>220</v>
      </c>
      <c r="W101" s="436">
        <v>-26565.58</v>
      </c>
      <c r="X101" s="442"/>
      <c r="Y101" s="442">
        <v>-0.03</v>
      </c>
      <c r="Z101" s="447">
        <v>1</v>
      </c>
      <c r="AA101" s="484">
        <v>331887.82</v>
      </c>
      <c r="AB101" s="484">
        <v>-26565.58</v>
      </c>
      <c r="AC101" s="484"/>
      <c r="AD101" s="484">
        <v>-0.03</v>
      </c>
      <c r="AE101" s="526">
        <f t="shared" si="9"/>
        <v>0</v>
      </c>
      <c r="AF101" s="526">
        <f t="shared" si="10"/>
        <v>0</v>
      </c>
      <c r="AG101" s="527">
        <f t="shared" si="11"/>
        <v>0</v>
      </c>
      <c r="AH101" s="527">
        <f t="shared" si="12"/>
        <v>0</v>
      </c>
      <c r="AI101" s="489">
        <v>220</v>
      </c>
      <c r="AJ101" s="489">
        <f t="shared" si="13"/>
        <v>0</v>
      </c>
      <c r="AK101" s="489"/>
      <c r="AL101" s="489"/>
      <c r="AM101" s="489"/>
      <c r="AN101" s="489"/>
    </row>
    <row r="102" spans="1:40" x14ac:dyDescent="0.25">
      <c r="A102" s="332">
        <v>5559</v>
      </c>
      <c r="B102" s="459" t="s">
        <v>40</v>
      </c>
      <c r="C102" s="382">
        <v>971520.97</v>
      </c>
      <c r="D102" s="382">
        <v>274888.28000000003</v>
      </c>
      <c r="E102" s="380"/>
      <c r="F102" s="518"/>
      <c r="G102" s="382">
        <v>179369.55</v>
      </c>
      <c r="H102" s="382">
        <v>2827.05</v>
      </c>
      <c r="I102" s="382"/>
      <c r="J102" s="382">
        <v>18587.939999999999</v>
      </c>
      <c r="K102" s="382">
        <v>4011.5</v>
      </c>
      <c r="L102" s="382">
        <v>91808.1</v>
      </c>
      <c r="M102" s="325">
        <f t="shared" si="7"/>
        <v>1543013.3900000001</v>
      </c>
      <c r="N102" s="386">
        <v>10451.549999999999</v>
      </c>
      <c r="O102" s="386">
        <v>132502.20000000001</v>
      </c>
      <c r="P102" s="386">
        <v>13186.25</v>
      </c>
      <c r="Q102" s="386">
        <v>20.75</v>
      </c>
      <c r="R102" s="386">
        <v>36853.5</v>
      </c>
      <c r="S102" s="371">
        <v>20635.97</v>
      </c>
      <c r="T102" s="439">
        <f t="shared" si="8"/>
        <v>1756663.61</v>
      </c>
      <c r="U102" s="387">
        <v>66</v>
      </c>
      <c r="V102" s="390">
        <f>VLOOKUP(B102,'[1]2021'!$C:$D,2,FALSE)</f>
        <v>443</v>
      </c>
      <c r="W102" s="436">
        <v>-15550.54</v>
      </c>
      <c r="X102" s="442"/>
      <c r="Y102" s="442">
        <v>-1278.21</v>
      </c>
      <c r="Z102" s="447">
        <v>1</v>
      </c>
      <c r="AA102" s="484">
        <v>1756663.61</v>
      </c>
      <c r="AB102" s="484">
        <v>-15550.54</v>
      </c>
      <c r="AC102" s="484"/>
      <c r="AD102" s="484">
        <v>-1278.21</v>
      </c>
      <c r="AE102" s="526">
        <f t="shared" si="9"/>
        <v>0</v>
      </c>
      <c r="AF102" s="526">
        <f t="shared" si="10"/>
        <v>0</v>
      </c>
      <c r="AG102" s="527">
        <f t="shared" si="11"/>
        <v>0</v>
      </c>
      <c r="AH102" s="527">
        <f t="shared" si="12"/>
        <v>0</v>
      </c>
      <c r="AI102" s="489">
        <v>443</v>
      </c>
      <c r="AJ102" s="489">
        <f t="shared" si="13"/>
        <v>0</v>
      </c>
      <c r="AK102" s="489"/>
      <c r="AL102" s="489"/>
      <c r="AM102" s="489"/>
      <c r="AN102" s="489"/>
    </row>
    <row r="103" spans="1:40" x14ac:dyDescent="0.25">
      <c r="A103" s="332">
        <v>5560</v>
      </c>
      <c r="B103" s="459" t="s">
        <v>41</v>
      </c>
      <c r="C103" s="382">
        <v>378155.11</v>
      </c>
      <c r="D103" s="382">
        <v>34007.440000000002</v>
      </c>
      <c r="E103" s="380"/>
      <c r="F103" s="518"/>
      <c r="G103" s="382">
        <v>8401.15</v>
      </c>
      <c r="H103" s="382">
        <v>408.85</v>
      </c>
      <c r="I103" s="382"/>
      <c r="J103" s="382">
        <v>11463.26</v>
      </c>
      <c r="K103" s="382">
        <v>624.20000000000005</v>
      </c>
      <c r="L103" s="382">
        <v>42727.75</v>
      </c>
      <c r="M103" s="325">
        <f t="shared" si="7"/>
        <v>475787.76</v>
      </c>
      <c r="N103" s="386"/>
      <c r="O103" s="386"/>
      <c r="P103" s="386">
        <v>51709.9</v>
      </c>
      <c r="Q103" s="386"/>
      <c r="R103" s="386">
        <v>36002.300000000003</v>
      </c>
      <c r="S103" s="371">
        <v>997.84</v>
      </c>
      <c r="T103" s="439">
        <f t="shared" si="8"/>
        <v>564497.80000000005</v>
      </c>
      <c r="U103" s="387">
        <v>68</v>
      </c>
      <c r="V103" s="390">
        <f>VLOOKUP(B103,'[1]2021'!$C:$D,2,FALSE)</f>
        <v>238</v>
      </c>
      <c r="W103" s="436">
        <v>-530.83000000000004</v>
      </c>
      <c r="X103" s="442"/>
      <c r="Y103" s="442">
        <v>0</v>
      </c>
      <c r="Z103" s="447">
        <v>1</v>
      </c>
      <c r="AA103" s="484">
        <v>564497.80000000005</v>
      </c>
      <c r="AB103" s="484">
        <v>-530.83000000000004</v>
      </c>
      <c r="AC103" s="484"/>
      <c r="AD103" s="484">
        <v>0</v>
      </c>
      <c r="AE103" s="526">
        <f t="shared" si="9"/>
        <v>0</v>
      </c>
      <c r="AF103" s="526">
        <f t="shared" si="10"/>
        <v>0</v>
      </c>
      <c r="AG103" s="527">
        <f t="shared" si="11"/>
        <v>0</v>
      </c>
      <c r="AH103" s="527">
        <f t="shared" si="12"/>
        <v>0</v>
      </c>
      <c r="AI103" s="489">
        <v>238</v>
      </c>
      <c r="AJ103" s="489">
        <f t="shared" si="13"/>
        <v>0</v>
      </c>
      <c r="AK103" s="489"/>
      <c r="AL103" s="489"/>
      <c r="AM103" s="489"/>
      <c r="AN103" s="489"/>
    </row>
    <row r="104" spans="1:40" x14ac:dyDescent="0.25">
      <c r="A104" s="332">
        <v>5561</v>
      </c>
      <c r="B104" s="459" t="s">
        <v>42</v>
      </c>
      <c r="C104" s="382">
        <v>5845978.5800000001</v>
      </c>
      <c r="D104" s="382">
        <v>1141160.31</v>
      </c>
      <c r="E104" s="380"/>
      <c r="F104" s="518"/>
      <c r="G104" s="382">
        <v>180458.35</v>
      </c>
      <c r="H104" s="382">
        <v>9682</v>
      </c>
      <c r="I104" s="382"/>
      <c r="J104" s="382">
        <v>111885.77</v>
      </c>
      <c r="K104" s="382">
        <v>41708.949999999997</v>
      </c>
      <c r="L104" s="382">
        <v>638346.1</v>
      </c>
      <c r="M104" s="325">
        <f t="shared" si="7"/>
        <v>7969220.0599999996</v>
      </c>
      <c r="N104" s="386">
        <v>378118.75</v>
      </c>
      <c r="O104" s="386">
        <v>540216</v>
      </c>
      <c r="P104" s="386">
        <v>312776.40000000002</v>
      </c>
      <c r="Q104" s="386">
        <v>30628.639999999999</v>
      </c>
      <c r="R104" s="386">
        <v>196038.35</v>
      </c>
      <c r="S104" s="371">
        <v>21535.7</v>
      </c>
      <c r="T104" s="439">
        <f t="shared" si="8"/>
        <v>9448533.8999999985</v>
      </c>
      <c r="U104" s="387">
        <v>69</v>
      </c>
      <c r="V104" s="390">
        <f>VLOOKUP(B104,'[1]2021'!$C:$D,2,FALSE)</f>
        <v>3366</v>
      </c>
      <c r="W104" s="436">
        <v>-118347.03</v>
      </c>
      <c r="X104" s="442"/>
      <c r="Y104" s="442">
        <v>-2119.89</v>
      </c>
      <c r="Z104" s="447">
        <v>1</v>
      </c>
      <c r="AA104" s="484">
        <v>9448533.9000000004</v>
      </c>
      <c r="AB104" s="484">
        <v>-118347.03</v>
      </c>
      <c r="AC104" s="484"/>
      <c r="AD104" s="484">
        <v>-2119.89</v>
      </c>
      <c r="AE104" s="526">
        <f t="shared" si="9"/>
        <v>0</v>
      </c>
      <c r="AF104" s="526">
        <f t="shared" si="10"/>
        <v>0</v>
      </c>
      <c r="AG104" s="527">
        <f t="shared" si="11"/>
        <v>0</v>
      </c>
      <c r="AH104" s="527">
        <f t="shared" si="12"/>
        <v>0</v>
      </c>
      <c r="AI104" s="489">
        <v>3366</v>
      </c>
      <c r="AJ104" s="489">
        <f t="shared" si="13"/>
        <v>0</v>
      </c>
      <c r="AK104" s="489"/>
      <c r="AL104" s="489"/>
      <c r="AM104" s="489"/>
      <c r="AN104" s="489"/>
    </row>
    <row r="105" spans="1:40" x14ac:dyDescent="0.25">
      <c r="A105" s="332">
        <v>5562</v>
      </c>
      <c r="B105" s="459" t="s">
        <v>43</v>
      </c>
      <c r="C105" s="382">
        <v>259117.72</v>
      </c>
      <c r="D105" s="382">
        <v>127565.54</v>
      </c>
      <c r="E105" s="380"/>
      <c r="F105" s="533">
        <v>920</v>
      </c>
      <c r="G105" s="382">
        <v>909.6</v>
      </c>
      <c r="H105" s="382">
        <v>416.4</v>
      </c>
      <c r="I105" s="382"/>
      <c r="J105" s="382">
        <v>5376.73</v>
      </c>
      <c r="K105" s="382">
        <v>1974.5</v>
      </c>
      <c r="L105" s="531">
        <v>36489.25</v>
      </c>
      <c r="M105" s="325">
        <f t="shared" si="7"/>
        <v>432769.74</v>
      </c>
      <c r="N105" s="386">
        <v>278.8</v>
      </c>
      <c r="O105" s="386">
        <v>-5394.6</v>
      </c>
      <c r="P105" s="386">
        <v>24640</v>
      </c>
      <c r="Q105" s="386">
        <v>3932.26</v>
      </c>
      <c r="R105" s="386">
        <v>24614.75</v>
      </c>
      <c r="S105" s="371">
        <v>150.19</v>
      </c>
      <c r="T105" s="439">
        <f t="shared" si="8"/>
        <v>480991.14</v>
      </c>
      <c r="U105" s="387">
        <v>70</v>
      </c>
      <c r="V105" s="390">
        <f>VLOOKUP(B105,'[1]2021'!$C:$D,2,FALSE)</f>
        <v>137</v>
      </c>
      <c r="W105" s="436">
        <v>-3768.08</v>
      </c>
      <c r="X105" s="442"/>
      <c r="Y105" s="442">
        <v>-38.15</v>
      </c>
      <c r="Z105" s="447">
        <v>1.2</v>
      </c>
      <c r="AA105" s="484">
        <v>480991.14</v>
      </c>
      <c r="AB105" s="484">
        <v>-3768.08</v>
      </c>
      <c r="AC105" s="484"/>
      <c r="AD105" s="484">
        <v>-38.15</v>
      </c>
      <c r="AE105" s="526">
        <f t="shared" si="9"/>
        <v>0</v>
      </c>
      <c r="AF105" s="526">
        <f t="shared" si="10"/>
        <v>0</v>
      </c>
      <c r="AG105" s="527">
        <f t="shared" si="11"/>
        <v>0</v>
      </c>
      <c r="AH105" s="527">
        <f t="shared" si="12"/>
        <v>0</v>
      </c>
      <c r="AI105" s="489">
        <v>137</v>
      </c>
      <c r="AJ105" s="489">
        <f t="shared" si="13"/>
        <v>0</v>
      </c>
      <c r="AK105" s="489"/>
      <c r="AL105" s="489"/>
      <c r="AM105" s="489"/>
      <c r="AN105" s="489"/>
    </row>
    <row r="106" spans="1:40" x14ac:dyDescent="0.25">
      <c r="A106" s="332">
        <v>5563</v>
      </c>
      <c r="B106" s="459" t="s">
        <v>278</v>
      </c>
      <c r="C106" s="382">
        <v>277323.3</v>
      </c>
      <c r="D106" s="382">
        <v>44558.400000000001</v>
      </c>
      <c r="E106" s="380"/>
      <c r="F106" s="518">
        <v>540</v>
      </c>
      <c r="G106" s="382">
        <v>461</v>
      </c>
      <c r="H106" s="382">
        <v>25</v>
      </c>
      <c r="I106" s="382"/>
      <c r="J106" s="382">
        <v>728.75</v>
      </c>
      <c r="K106" s="382"/>
      <c r="L106" s="382">
        <v>21873.75</v>
      </c>
      <c r="M106" s="325">
        <f t="shared" si="7"/>
        <v>345510.2</v>
      </c>
      <c r="N106" s="386"/>
      <c r="O106" s="386">
        <v>45.6</v>
      </c>
      <c r="P106" s="386">
        <v>36561.25</v>
      </c>
      <c r="Q106" s="386"/>
      <c r="R106" s="386">
        <v>42313</v>
      </c>
      <c r="S106" s="371">
        <v>55.05</v>
      </c>
      <c r="T106" s="439">
        <f t="shared" si="8"/>
        <v>424485.1</v>
      </c>
      <c r="U106" s="387">
        <v>80</v>
      </c>
      <c r="V106" s="390">
        <f>VLOOKUP(B106,'[1]2021'!$C:$D,2,FALSE)</f>
        <v>151</v>
      </c>
      <c r="W106" s="436">
        <v>-2986.73</v>
      </c>
      <c r="X106" s="442"/>
      <c r="Y106" s="442">
        <v>0</v>
      </c>
      <c r="Z106" s="447">
        <v>1</v>
      </c>
      <c r="AA106" s="484">
        <v>424485.1</v>
      </c>
      <c r="AB106" s="484">
        <v>-2986.73</v>
      </c>
      <c r="AC106" s="484"/>
      <c r="AD106" s="484">
        <v>0</v>
      </c>
      <c r="AE106" s="526">
        <f t="shared" si="9"/>
        <v>0</v>
      </c>
      <c r="AF106" s="526">
        <f t="shared" si="10"/>
        <v>0</v>
      </c>
      <c r="AG106" s="527">
        <f t="shared" si="11"/>
        <v>0</v>
      </c>
      <c r="AH106" s="527">
        <f t="shared" si="12"/>
        <v>0</v>
      </c>
      <c r="AI106" s="489">
        <v>151</v>
      </c>
      <c r="AJ106" s="489">
        <f t="shared" si="13"/>
        <v>0</v>
      </c>
      <c r="AK106" s="489"/>
      <c r="AL106" s="489"/>
      <c r="AM106" s="489"/>
      <c r="AN106" s="489"/>
    </row>
    <row r="107" spans="1:40" x14ac:dyDescent="0.25">
      <c r="A107" s="332">
        <v>5564</v>
      </c>
      <c r="B107" s="459" t="s">
        <v>279</v>
      </c>
      <c r="C107" s="382">
        <v>125537.51</v>
      </c>
      <c r="D107" s="382">
        <v>20585.2</v>
      </c>
      <c r="E107" s="380"/>
      <c r="F107" s="518"/>
      <c r="G107" s="382">
        <v>58.05</v>
      </c>
      <c r="H107" s="382">
        <v>23.75</v>
      </c>
      <c r="I107" s="382"/>
      <c r="J107" s="382"/>
      <c r="K107" s="382"/>
      <c r="L107" s="382">
        <v>11414.45</v>
      </c>
      <c r="M107" s="325">
        <f t="shared" si="7"/>
        <v>157618.96</v>
      </c>
      <c r="N107" s="386"/>
      <c r="O107" s="386">
        <v>736.4</v>
      </c>
      <c r="P107" s="386">
        <v>1127.6500000000001</v>
      </c>
      <c r="Q107" s="386"/>
      <c r="R107" s="386">
        <v>1787.5</v>
      </c>
      <c r="S107" s="371">
        <v>9.26</v>
      </c>
      <c r="T107" s="439">
        <f t="shared" si="8"/>
        <v>161279.76999999999</v>
      </c>
      <c r="U107" s="387">
        <v>76</v>
      </c>
      <c r="V107" s="390">
        <f>VLOOKUP(B107,'[1]2021'!$C:$D,2,FALSE)</f>
        <v>103</v>
      </c>
      <c r="W107" s="436">
        <v>-916.18</v>
      </c>
      <c r="X107" s="442"/>
      <c r="Y107" s="442">
        <v>0</v>
      </c>
      <c r="Z107" s="447">
        <v>0.8</v>
      </c>
      <c r="AA107" s="484">
        <v>161279.76999999999</v>
      </c>
      <c r="AB107" s="484">
        <v>-916.18</v>
      </c>
      <c r="AC107" s="484"/>
      <c r="AD107" s="484">
        <v>0</v>
      </c>
      <c r="AE107" s="526">
        <f t="shared" si="9"/>
        <v>0</v>
      </c>
      <c r="AF107" s="526">
        <f t="shared" si="10"/>
        <v>0</v>
      </c>
      <c r="AG107" s="527">
        <f t="shared" si="11"/>
        <v>0</v>
      </c>
      <c r="AH107" s="527">
        <f t="shared" si="12"/>
        <v>0</v>
      </c>
      <c r="AI107" s="489">
        <v>103</v>
      </c>
      <c r="AJ107" s="489">
        <f t="shared" si="13"/>
        <v>0</v>
      </c>
      <c r="AK107" s="489"/>
      <c r="AL107" s="489"/>
      <c r="AM107" s="489"/>
      <c r="AN107" s="489"/>
    </row>
    <row r="108" spans="1:40" x14ac:dyDescent="0.25">
      <c r="A108" s="332">
        <v>5565</v>
      </c>
      <c r="B108" s="459" t="s">
        <v>280</v>
      </c>
      <c r="C108" s="382">
        <v>777961.32</v>
      </c>
      <c r="D108" s="382">
        <v>109871.74</v>
      </c>
      <c r="E108" s="380"/>
      <c r="F108" s="518"/>
      <c r="G108" s="382">
        <v>137313</v>
      </c>
      <c r="H108" s="382">
        <v>219301.6</v>
      </c>
      <c r="I108" s="382"/>
      <c r="J108" s="382">
        <v>6667.67</v>
      </c>
      <c r="K108" s="382">
        <v>24118.65</v>
      </c>
      <c r="L108" s="382">
        <v>130218.95</v>
      </c>
      <c r="M108" s="325">
        <f t="shared" si="7"/>
        <v>1405452.9299999997</v>
      </c>
      <c r="N108" s="386">
        <v>63286.3</v>
      </c>
      <c r="O108" s="386"/>
      <c r="P108" s="386">
        <v>45942.6</v>
      </c>
      <c r="Q108" s="386">
        <v>3.4</v>
      </c>
      <c r="R108" s="386">
        <v>29182.05</v>
      </c>
      <c r="S108" s="371">
        <v>40390.93</v>
      </c>
      <c r="T108" s="439">
        <f t="shared" si="8"/>
        <v>1584258.2099999997</v>
      </c>
      <c r="U108" s="387">
        <v>63.5</v>
      </c>
      <c r="V108" s="390">
        <f>VLOOKUP(B108,'[1]2021'!$C:$D,2,FALSE)</f>
        <v>495</v>
      </c>
      <c r="W108" s="436">
        <v>-4179</v>
      </c>
      <c r="X108" s="442"/>
      <c r="Y108" s="442">
        <v>-0.6</v>
      </c>
      <c r="Z108" s="447">
        <v>1</v>
      </c>
      <c r="AA108" s="484">
        <v>1584258.21</v>
      </c>
      <c r="AB108" s="484">
        <v>-4179</v>
      </c>
      <c r="AC108" s="484"/>
      <c r="AD108" s="484">
        <v>-0.6</v>
      </c>
      <c r="AE108" s="526">
        <f t="shared" si="9"/>
        <v>0</v>
      </c>
      <c r="AF108" s="526">
        <f t="shared" si="10"/>
        <v>0</v>
      </c>
      <c r="AG108" s="527">
        <f t="shared" si="11"/>
        <v>0</v>
      </c>
      <c r="AH108" s="527">
        <f t="shared" si="12"/>
        <v>0</v>
      </c>
      <c r="AI108" s="489">
        <v>495</v>
      </c>
      <c r="AJ108" s="489">
        <f t="shared" si="13"/>
        <v>0</v>
      </c>
      <c r="AK108" s="489"/>
      <c r="AL108" s="489"/>
      <c r="AM108" s="489"/>
      <c r="AN108" s="489"/>
    </row>
    <row r="109" spans="1:40" x14ac:dyDescent="0.25">
      <c r="A109" s="332">
        <v>5566</v>
      </c>
      <c r="B109" s="459" t="s">
        <v>281</v>
      </c>
      <c r="C109" s="382">
        <v>612319.43999999994</v>
      </c>
      <c r="D109" s="382">
        <v>69394.75</v>
      </c>
      <c r="E109" s="380"/>
      <c r="F109" s="518">
        <v>2630</v>
      </c>
      <c r="G109" s="382">
        <v>11569.95</v>
      </c>
      <c r="H109" s="382">
        <v>3363.7</v>
      </c>
      <c r="I109" s="382"/>
      <c r="J109" s="382">
        <v>8166.81</v>
      </c>
      <c r="K109" s="382">
        <v>371.05</v>
      </c>
      <c r="L109" s="382">
        <v>80744.100000000006</v>
      </c>
      <c r="M109" s="325">
        <f t="shared" si="7"/>
        <v>788559.79999999993</v>
      </c>
      <c r="N109" s="386">
        <v>7185.35</v>
      </c>
      <c r="O109" s="386">
        <v>630</v>
      </c>
      <c r="P109" s="386">
        <v>10185.700000000001</v>
      </c>
      <c r="Q109" s="386">
        <v>12552.74</v>
      </c>
      <c r="R109" s="386">
        <v>39935</v>
      </c>
      <c r="S109" s="371">
        <v>1691.42</v>
      </c>
      <c r="T109" s="439">
        <f t="shared" si="8"/>
        <v>860740.00999999989</v>
      </c>
      <c r="U109" s="387">
        <v>81</v>
      </c>
      <c r="V109" s="390">
        <f>VLOOKUP(B109,'[1]2021'!$C:$D,2,FALSE)</f>
        <v>403</v>
      </c>
      <c r="W109" s="436">
        <v>-16284.01</v>
      </c>
      <c r="X109" s="442"/>
      <c r="Y109" s="442">
        <v>-0.1</v>
      </c>
      <c r="Z109" s="447">
        <v>1.5</v>
      </c>
      <c r="AA109" s="484">
        <v>860740.01</v>
      </c>
      <c r="AB109" s="484">
        <v>-16284.01</v>
      </c>
      <c r="AC109" s="484"/>
      <c r="AD109" s="484">
        <v>-0.1</v>
      </c>
      <c r="AE109" s="526">
        <f t="shared" si="9"/>
        <v>0</v>
      </c>
      <c r="AF109" s="526">
        <f t="shared" si="10"/>
        <v>0</v>
      </c>
      <c r="AG109" s="527">
        <f t="shared" si="11"/>
        <v>0</v>
      </c>
      <c r="AH109" s="527">
        <f t="shared" si="12"/>
        <v>0</v>
      </c>
      <c r="AI109" s="489">
        <v>403</v>
      </c>
      <c r="AJ109" s="489">
        <f t="shared" si="13"/>
        <v>0</v>
      </c>
      <c r="AK109" s="489"/>
      <c r="AL109" s="489"/>
      <c r="AM109" s="489"/>
      <c r="AN109" s="489"/>
    </row>
    <row r="110" spans="1:40" x14ac:dyDescent="0.25">
      <c r="A110" s="332">
        <v>5568</v>
      </c>
      <c r="B110" s="459" t="s">
        <v>117</v>
      </c>
      <c r="C110" s="382">
        <v>5629067.1500000004</v>
      </c>
      <c r="D110" s="382">
        <v>848233.91</v>
      </c>
      <c r="E110" s="380"/>
      <c r="F110" s="518"/>
      <c r="G110" s="382">
        <v>291803.3</v>
      </c>
      <c r="H110" s="382">
        <v>111729.3</v>
      </c>
      <c r="I110" s="382">
        <v>45476.55</v>
      </c>
      <c r="J110" s="382">
        <v>118781.81</v>
      </c>
      <c r="K110" s="382">
        <v>58362.9</v>
      </c>
      <c r="L110" s="382">
        <v>641637.55000000005</v>
      </c>
      <c r="M110" s="325">
        <f t="shared" si="7"/>
        <v>7745092.4699999997</v>
      </c>
      <c r="N110" s="386">
        <v>2053229.95</v>
      </c>
      <c r="O110" s="386">
        <v>599088.19999999995</v>
      </c>
      <c r="P110" s="386">
        <v>382005</v>
      </c>
      <c r="Q110" s="386">
        <v>43024.68</v>
      </c>
      <c r="R110" s="386">
        <v>289286.59999999998</v>
      </c>
      <c r="S110" s="371">
        <v>45704.959999999999</v>
      </c>
      <c r="T110" s="439">
        <f t="shared" si="8"/>
        <v>11157431.859999999</v>
      </c>
      <c r="U110" s="387">
        <v>70</v>
      </c>
      <c r="V110" s="390">
        <f>VLOOKUP(B110,'[1]2021'!$C:$D,2,FALSE)</f>
        <v>4948</v>
      </c>
      <c r="W110" s="436">
        <v>-188721.09</v>
      </c>
      <c r="X110" s="442"/>
      <c r="Y110" s="442">
        <v>-3069.98</v>
      </c>
      <c r="Z110" s="447">
        <v>1</v>
      </c>
      <c r="AA110" s="484">
        <v>11157431.859999999</v>
      </c>
      <c r="AB110" s="484">
        <v>-188721.09</v>
      </c>
      <c r="AC110" s="484"/>
      <c r="AD110" s="484">
        <v>-3069.98</v>
      </c>
      <c r="AE110" s="526">
        <f t="shared" si="9"/>
        <v>0</v>
      </c>
      <c r="AF110" s="526">
        <f t="shared" si="10"/>
        <v>0</v>
      </c>
      <c r="AG110" s="527">
        <f t="shared" si="11"/>
        <v>0</v>
      </c>
      <c r="AH110" s="527">
        <f t="shared" si="12"/>
        <v>0</v>
      </c>
      <c r="AI110" s="489">
        <v>4948</v>
      </c>
      <c r="AJ110" s="489">
        <f t="shared" si="13"/>
        <v>0</v>
      </c>
      <c r="AK110" s="489"/>
      <c r="AL110" s="489"/>
      <c r="AM110" s="489"/>
      <c r="AN110" s="489"/>
    </row>
    <row r="111" spans="1:40" x14ac:dyDescent="0.25">
      <c r="A111" s="332">
        <v>5571</v>
      </c>
      <c r="B111" s="459" t="s">
        <v>414</v>
      </c>
      <c r="C111" s="382">
        <v>1445285.24</v>
      </c>
      <c r="D111" s="382">
        <v>166831.78</v>
      </c>
      <c r="E111" s="380"/>
      <c r="F111" s="518"/>
      <c r="G111" s="382">
        <v>8509.15</v>
      </c>
      <c r="H111" s="382">
        <v>332.4</v>
      </c>
      <c r="I111" s="382"/>
      <c r="J111" s="382">
        <v>21713.79</v>
      </c>
      <c r="K111" s="382">
        <v>7355.2</v>
      </c>
      <c r="L111" s="382">
        <v>201479.55</v>
      </c>
      <c r="M111" s="325">
        <f t="shared" si="7"/>
        <v>1851507.1099999999</v>
      </c>
      <c r="N111" s="386">
        <v>51246.7</v>
      </c>
      <c r="O111" s="386">
        <v>26526.2</v>
      </c>
      <c r="P111" s="386">
        <v>73000.05</v>
      </c>
      <c r="Q111" s="386"/>
      <c r="R111" s="386">
        <v>112137.25</v>
      </c>
      <c r="S111" s="371">
        <v>1001.41</v>
      </c>
      <c r="T111" s="439">
        <f t="shared" si="8"/>
        <v>2115418.7199999997</v>
      </c>
      <c r="U111" s="387">
        <v>71.5</v>
      </c>
      <c r="V111" s="390">
        <f>VLOOKUP(B111,'[1]2021'!$C:$D,2,FALSE)</f>
        <v>883</v>
      </c>
      <c r="W111" s="436">
        <v>-8173.95</v>
      </c>
      <c r="X111" s="442"/>
      <c r="Y111" s="442">
        <v>0</v>
      </c>
      <c r="Z111" s="447">
        <v>1.2</v>
      </c>
      <c r="AA111" s="484">
        <v>2115418.7200000002</v>
      </c>
      <c r="AB111" s="484">
        <v>-8173.95</v>
      </c>
      <c r="AC111" s="484"/>
      <c r="AD111" s="484">
        <v>0</v>
      </c>
      <c r="AE111" s="526">
        <f t="shared" si="9"/>
        <v>0</v>
      </c>
      <c r="AF111" s="526">
        <f t="shared" si="10"/>
        <v>0</v>
      </c>
      <c r="AG111" s="527">
        <f t="shared" si="11"/>
        <v>0</v>
      </c>
      <c r="AH111" s="527">
        <f t="shared" si="12"/>
        <v>0</v>
      </c>
      <c r="AI111" s="489">
        <v>883</v>
      </c>
      <c r="AJ111" s="489">
        <f t="shared" si="13"/>
        <v>0</v>
      </c>
      <c r="AK111" s="489"/>
      <c r="AL111" s="489"/>
      <c r="AM111" s="489"/>
      <c r="AN111" s="489"/>
    </row>
    <row r="112" spans="1:40" x14ac:dyDescent="0.25">
      <c r="A112" s="332">
        <v>5581</v>
      </c>
      <c r="B112" s="459" t="s">
        <v>377</v>
      </c>
      <c r="C112" s="382">
        <v>12160319.640000001</v>
      </c>
      <c r="D112" s="382">
        <v>2132088.16</v>
      </c>
      <c r="E112" s="380"/>
      <c r="F112" s="518"/>
      <c r="G112" s="382">
        <v>132702.45000000001</v>
      </c>
      <c r="H112" s="382">
        <v>19948.5</v>
      </c>
      <c r="I112" s="382">
        <v>59666.6</v>
      </c>
      <c r="J112" s="382">
        <v>50492.89</v>
      </c>
      <c r="K112" s="382">
        <v>35196.15</v>
      </c>
      <c r="L112" s="382">
        <v>1455972.05</v>
      </c>
      <c r="M112" s="325">
        <f t="shared" si="7"/>
        <v>16046386.440000001</v>
      </c>
      <c r="N112" s="386">
        <v>9474.2999999999993</v>
      </c>
      <c r="O112" s="386">
        <v>72349.5</v>
      </c>
      <c r="P112" s="386">
        <v>820976.65</v>
      </c>
      <c r="Q112" s="386">
        <v>13964.06</v>
      </c>
      <c r="R112" s="386">
        <v>713701.5</v>
      </c>
      <c r="S112" s="371">
        <v>17289.57</v>
      </c>
      <c r="T112" s="439">
        <f t="shared" si="8"/>
        <v>17694142.02</v>
      </c>
      <c r="U112" s="387">
        <v>72</v>
      </c>
      <c r="V112" s="390">
        <f>VLOOKUP(B112,'[1]2021'!$C:$D,2,FALSE)</f>
        <v>3871</v>
      </c>
      <c r="W112" s="436">
        <v>-65096.46</v>
      </c>
      <c r="X112" s="442"/>
      <c r="Y112" s="442">
        <v>-15831.7</v>
      </c>
      <c r="Z112" s="447">
        <v>1.5</v>
      </c>
      <c r="AA112" s="484">
        <v>17694142.02</v>
      </c>
      <c r="AB112" s="484">
        <v>-65096.46</v>
      </c>
      <c r="AC112" s="484"/>
      <c r="AD112" s="484">
        <v>-15831.7</v>
      </c>
      <c r="AE112" s="526">
        <f t="shared" si="9"/>
        <v>0</v>
      </c>
      <c r="AF112" s="526">
        <f t="shared" si="10"/>
        <v>0</v>
      </c>
      <c r="AG112" s="527">
        <f t="shared" si="11"/>
        <v>0</v>
      </c>
      <c r="AH112" s="527">
        <f t="shared" si="12"/>
        <v>0</v>
      </c>
      <c r="AI112" s="489">
        <v>3871</v>
      </c>
      <c r="AJ112" s="489">
        <f t="shared" si="13"/>
        <v>0</v>
      </c>
      <c r="AK112" s="489"/>
      <c r="AL112" s="489"/>
      <c r="AM112" s="489"/>
      <c r="AN112" s="489"/>
    </row>
    <row r="113" spans="1:40" x14ac:dyDescent="0.25">
      <c r="A113" s="332">
        <v>5582</v>
      </c>
      <c r="B113" s="459" t="s">
        <v>378</v>
      </c>
      <c r="C113" s="513">
        <v>9357357.2799999993</v>
      </c>
      <c r="D113" s="382">
        <v>1191584.55</v>
      </c>
      <c r="E113" s="380"/>
      <c r="F113" s="518"/>
      <c r="G113" s="382">
        <v>217448.3</v>
      </c>
      <c r="H113" s="382">
        <v>218382.85</v>
      </c>
      <c r="I113" s="382">
        <v>-27176.23</v>
      </c>
      <c r="J113" s="382">
        <v>312399.43</v>
      </c>
      <c r="K113" s="382">
        <v>83192.45</v>
      </c>
      <c r="L113" s="382">
        <v>951358.4</v>
      </c>
      <c r="M113" s="325">
        <f t="shared" si="7"/>
        <v>12304547.029999999</v>
      </c>
      <c r="N113" s="386">
        <v>449844.65</v>
      </c>
      <c r="O113" s="386">
        <v>461920.2</v>
      </c>
      <c r="P113" s="386">
        <v>546244.75</v>
      </c>
      <c r="Q113" s="386">
        <v>32911</v>
      </c>
      <c r="R113" s="386">
        <v>773876.4</v>
      </c>
      <c r="S113" s="371">
        <v>49363.16</v>
      </c>
      <c r="T113" s="439">
        <f t="shared" si="8"/>
        <v>14618707.189999999</v>
      </c>
      <c r="U113" s="387">
        <v>73</v>
      </c>
      <c r="V113" s="390">
        <f>VLOOKUP(B113,'[1]2021'!$C:$D,2,FALSE)</f>
        <v>4449</v>
      </c>
      <c r="W113" s="515">
        <v>-145996.04999999999</v>
      </c>
      <c r="X113" s="442"/>
      <c r="Y113" s="442">
        <v>-12825.31</v>
      </c>
      <c r="Z113" s="447">
        <v>1</v>
      </c>
      <c r="AA113" s="484">
        <v>14618707.189999999</v>
      </c>
      <c r="AB113" s="484">
        <v>-145996.04999999999</v>
      </c>
      <c r="AC113" s="484"/>
      <c r="AD113" s="484">
        <v>-12825.31</v>
      </c>
      <c r="AE113" s="526">
        <f t="shared" si="9"/>
        <v>0</v>
      </c>
      <c r="AF113" s="526">
        <f t="shared" si="10"/>
        <v>0</v>
      </c>
      <c r="AG113" s="527">
        <f t="shared" si="11"/>
        <v>0</v>
      </c>
      <c r="AH113" s="527">
        <f t="shared" si="12"/>
        <v>0</v>
      </c>
      <c r="AI113" s="489">
        <v>4449</v>
      </c>
      <c r="AJ113" s="489">
        <f t="shared" si="13"/>
        <v>0</v>
      </c>
      <c r="AK113" s="489"/>
      <c r="AL113" s="489"/>
      <c r="AM113" s="489"/>
      <c r="AN113" s="489"/>
    </row>
    <row r="114" spans="1:40" x14ac:dyDescent="0.25">
      <c r="A114" s="332">
        <v>5583</v>
      </c>
      <c r="B114" s="459" t="s">
        <v>379</v>
      </c>
      <c r="C114" s="513">
        <v>11721344.43</v>
      </c>
      <c r="D114" s="382">
        <v>1690992.38</v>
      </c>
      <c r="E114" s="380"/>
      <c r="F114" s="518"/>
      <c r="G114" s="382">
        <v>3561542.95</v>
      </c>
      <c r="H114" s="382">
        <v>337572.3</v>
      </c>
      <c r="I114" s="382"/>
      <c r="J114" s="382">
        <v>969801.07</v>
      </c>
      <c r="K114" s="382">
        <v>388664.15</v>
      </c>
      <c r="L114" s="382">
        <v>2503743.2999999998</v>
      </c>
      <c r="M114" s="325">
        <f t="shared" si="7"/>
        <v>21173660.579999998</v>
      </c>
      <c r="N114" s="386">
        <v>2173154.15</v>
      </c>
      <c r="O114" s="386">
        <v>245089.6</v>
      </c>
      <c r="P114" s="386">
        <v>1501884.75</v>
      </c>
      <c r="Q114" s="386">
        <v>43662.31</v>
      </c>
      <c r="R114" s="386">
        <v>1165005.55</v>
      </c>
      <c r="S114" s="371">
        <v>441622.08</v>
      </c>
      <c r="T114" s="439">
        <f t="shared" si="8"/>
        <v>26744079.019999996</v>
      </c>
      <c r="U114" s="387">
        <v>63.5</v>
      </c>
      <c r="V114" s="390">
        <f>VLOOKUP(B114,'[1]2021'!$C:$D,2,FALSE)</f>
        <v>8974</v>
      </c>
      <c r="W114" s="436">
        <v>-222182.55</v>
      </c>
      <c r="X114" s="442"/>
      <c r="Y114" s="442">
        <v>-2314.4499999999998</v>
      </c>
      <c r="Z114" s="447">
        <v>1</v>
      </c>
      <c r="AA114" s="484">
        <v>26744079.02</v>
      </c>
      <c r="AB114" s="484">
        <v>-222182.55</v>
      </c>
      <c r="AC114" s="484"/>
      <c r="AD114" s="484">
        <v>-2314.4499999999998</v>
      </c>
      <c r="AE114" s="526">
        <f t="shared" si="9"/>
        <v>0</v>
      </c>
      <c r="AF114" s="526">
        <f t="shared" si="10"/>
        <v>0</v>
      </c>
      <c r="AG114" s="527">
        <f t="shared" si="11"/>
        <v>0</v>
      </c>
      <c r="AH114" s="527">
        <f t="shared" si="12"/>
        <v>0</v>
      </c>
      <c r="AI114" s="489">
        <v>8974</v>
      </c>
      <c r="AJ114" s="489">
        <f t="shared" si="13"/>
        <v>0</v>
      </c>
      <c r="AK114" s="489"/>
      <c r="AL114" s="489"/>
      <c r="AM114" s="489"/>
      <c r="AN114" s="489"/>
    </row>
    <row r="115" spans="1:40" x14ac:dyDescent="0.25">
      <c r="A115" s="332">
        <v>5584</v>
      </c>
      <c r="B115" s="459" t="s">
        <v>380</v>
      </c>
      <c r="C115" s="513">
        <v>24374238.77</v>
      </c>
      <c r="D115" s="382">
        <v>4440234.49</v>
      </c>
      <c r="E115" s="380"/>
      <c r="F115" s="518"/>
      <c r="G115" s="382">
        <v>1138215.45</v>
      </c>
      <c r="H115" s="382">
        <v>450645.5</v>
      </c>
      <c r="I115" s="382">
        <v>318905.75</v>
      </c>
      <c r="J115" s="382">
        <v>249842.53</v>
      </c>
      <c r="K115" s="382">
        <v>165858.70000000001</v>
      </c>
      <c r="L115" s="382">
        <v>2348850.7999999998</v>
      </c>
      <c r="M115" s="325">
        <f t="shared" si="7"/>
        <v>33486791.989999998</v>
      </c>
      <c r="N115" s="386">
        <v>293562.8</v>
      </c>
      <c r="O115" s="386">
        <v>585788.80000000005</v>
      </c>
      <c r="P115" s="386">
        <v>1803696.3</v>
      </c>
      <c r="Q115" s="386">
        <v>60504.7</v>
      </c>
      <c r="R115" s="386">
        <v>1193095.95</v>
      </c>
      <c r="S115" s="371">
        <v>179957.77</v>
      </c>
      <c r="T115" s="439">
        <f t="shared" si="8"/>
        <v>37603398.310000002</v>
      </c>
      <c r="U115" s="387">
        <v>64.5</v>
      </c>
      <c r="V115" s="390">
        <f>VLOOKUP(B115,'[1]2021'!$C:$D,2,FALSE)</f>
        <v>9813</v>
      </c>
      <c r="W115" s="436">
        <v>-363450.84</v>
      </c>
      <c r="X115" s="442"/>
      <c r="Y115" s="442">
        <v>-32342.31</v>
      </c>
      <c r="Z115" s="447">
        <v>1</v>
      </c>
      <c r="AA115" s="484">
        <v>37603398.310000002</v>
      </c>
      <c r="AB115" s="484">
        <v>-363450.84</v>
      </c>
      <c r="AC115" s="484"/>
      <c r="AD115" s="484">
        <v>-32342.31</v>
      </c>
      <c r="AE115" s="526">
        <f t="shared" si="9"/>
        <v>0</v>
      </c>
      <c r="AF115" s="526">
        <f t="shared" si="10"/>
        <v>0</v>
      </c>
      <c r="AG115" s="527">
        <f t="shared" si="11"/>
        <v>0</v>
      </c>
      <c r="AH115" s="527">
        <f t="shared" si="12"/>
        <v>0</v>
      </c>
      <c r="AI115" s="489">
        <v>9813</v>
      </c>
      <c r="AJ115" s="489">
        <f t="shared" si="13"/>
        <v>0</v>
      </c>
      <c r="AK115" s="489"/>
      <c r="AL115" s="489"/>
      <c r="AM115" s="489"/>
      <c r="AN115" s="489"/>
    </row>
    <row r="116" spans="1:40" x14ac:dyDescent="0.25">
      <c r="A116" s="332">
        <v>5585</v>
      </c>
      <c r="B116" s="459" t="s">
        <v>381</v>
      </c>
      <c r="C116" s="513">
        <v>6865138.5499999998</v>
      </c>
      <c r="D116" s="382">
        <v>3644259.47</v>
      </c>
      <c r="E116" s="380"/>
      <c r="F116" s="518"/>
      <c r="G116" s="382">
        <v>36060.300000000003</v>
      </c>
      <c r="H116" s="382">
        <v>6605.25</v>
      </c>
      <c r="I116" s="382">
        <v>144304.92000000001</v>
      </c>
      <c r="J116" s="382">
        <v>46659.46</v>
      </c>
      <c r="K116" s="382">
        <v>7803.5</v>
      </c>
      <c r="L116" s="382">
        <v>575774.35</v>
      </c>
      <c r="M116" s="325">
        <f t="shared" si="7"/>
        <v>11326605.800000001</v>
      </c>
      <c r="N116" s="386">
        <v>1366.85</v>
      </c>
      <c r="O116" s="386">
        <v>34254.1</v>
      </c>
      <c r="P116" s="386">
        <v>400119.55</v>
      </c>
      <c r="Q116" s="386"/>
      <c r="R116" s="386">
        <v>450464.3</v>
      </c>
      <c r="S116" s="371">
        <v>4832.3900000000003</v>
      </c>
      <c r="T116" s="439">
        <f t="shared" si="8"/>
        <v>12217642.990000002</v>
      </c>
      <c r="U116" s="387">
        <v>59</v>
      </c>
      <c r="V116" s="390">
        <f>VLOOKUP(B116,'[1]2021'!$C:$D,2,FALSE)</f>
        <v>1460</v>
      </c>
      <c r="W116" s="436">
        <v>-15901.99</v>
      </c>
      <c r="X116" s="442"/>
      <c r="Y116" s="442">
        <v>-2588.84</v>
      </c>
      <c r="Z116" s="447">
        <v>1</v>
      </c>
      <c r="AA116" s="484">
        <v>12217642.99</v>
      </c>
      <c r="AB116" s="484">
        <v>-15901.99</v>
      </c>
      <c r="AC116" s="484"/>
      <c r="AD116" s="484">
        <v>-2588.84</v>
      </c>
      <c r="AE116" s="526">
        <f t="shared" si="9"/>
        <v>0</v>
      </c>
      <c r="AF116" s="526">
        <f t="shared" si="10"/>
        <v>0</v>
      </c>
      <c r="AG116" s="527">
        <f t="shared" si="11"/>
        <v>0</v>
      </c>
      <c r="AH116" s="527">
        <f t="shared" si="12"/>
        <v>0</v>
      </c>
      <c r="AI116" s="489">
        <v>1460</v>
      </c>
      <c r="AJ116" s="489">
        <f t="shared" si="13"/>
        <v>0</v>
      </c>
      <c r="AK116" s="489"/>
      <c r="AL116" s="489"/>
      <c r="AM116" s="489"/>
      <c r="AN116" s="489"/>
    </row>
    <row r="117" spans="1:40" x14ac:dyDescent="0.25">
      <c r="A117" s="332">
        <v>5586</v>
      </c>
      <c r="B117" s="459" t="s">
        <v>118</v>
      </c>
      <c r="C117" s="513">
        <v>308573433.68000001</v>
      </c>
      <c r="D117" s="382">
        <v>49706320.859999999</v>
      </c>
      <c r="E117" s="380"/>
      <c r="F117" s="518"/>
      <c r="G117" s="382">
        <v>74430166.900000006</v>
      </c>
      <c r="H117" s="382">
        <v>7754175.8499999996</v>
      </c>
      <c r="I117" s="382">
        <v>6608887.4400000004</v>
      </c>
      <c r="J117" s="382">
        <v>20383530.43</v>
      </c>
      <c r="K117" s="382">
        <v>6198102.4000000004</v>
      </c>
      <c r="L117" s="382">
        <v>45109690.149999999</v>
      </c>
      <c r="M117" s="325">
        <f t="shared" si="7"/>
        <v>518764307.71000004</v>
      </c>
      <c r="N117" s="386">
        <v>13203708.65</v>
      </c>
      <c r="O117" s="386">
        <v>22230070.300000001</v>
      </c>
      <c r="P117" s="386">
        <v>13693939.9</v>
      </c>
      <c r="Q117" s="386">
        <v>2236041.6</v>
      </c>
      <c r="R117" s="386">
        <v>12379655.1</v>
      </c>
      <c r="S117" s="371">
        <v>9308373.2599999998</v>
      </c>
      <c r="T117" s="439">
        <f t="shared" si="8"/>
        <v>591816096.51999998</v>
      </c>
      <c r="U117" s="387">
        <v>78.5</v>
      </c>
      <c r="V117" s="390">
        <f>VLOOKUP(B117,'[1]2021'!$C:$D,2,FALSE)</f>
        <v>140824</v>
      </c>
      <c r="W117" s="436">
        <v>-7446520.7599999998</v>
      </c>
      <c r="X117" s="442"/>
      <c r="Y117" s="442">
        <v>-598538.9</v>
      </c>
      <c r="Z117" s="447">
        <v>1.5</v>
      </c>
      <c r="AA117" s="484">
        <v>591816096.51999998</v>
      </c>
      <c r="AB117" s="484">
        <v>-7446520.7599999998</v>
      </c>
      <c r="AC117" s="484"/>
      <c r="AD117" s="484">
        <v>-598538.9</v>
      </c>
      <c r="AE117" s="526">
        <f t="shared" si="9"/>
        <v>0</v>
      </c>
      <c r="AF117" s="526">
        <f t="shared" si="10"/>
        <v>0</v>
      </c>
      <c r="AG117" s="527">
        <f t="shared" si="11"/>
        <v>0</v>
      </c>
      <c r="AH117" s="527">
        <f t="shared" si="12"/>
        <v>0</v>
      </c>
      <c r="AI117" s="489">
        <v>140824</v>
      </c>
      <c r="AJ117" s="489">
        <f t="shared" si="13"/>
        <v>0</v>
      </c>
      <c r="AK117" s="489"/>
      <c r="AL117" s="489"/>
      <c r="AM117" s="489"/>
      <c r="AN117" s="489"/>
    </row>
    <row r="118" spans="1:40" x14ac:dyDescent="0.25">
      <c r="A118" s="332">
        <v>5587</v>
      </c>
      <c r="B118" s="459" t="s">
        <v>119</v>
      </c>
      <c r="C118" s="513">
        <v>25502659.009999998</v>
      </c>
      <c r="D118" s="382">
        <v>3787801.95</v>
      </c>
      <c r="E118" s="380"/>
      <c r="F118" s="518"/>
      <c r="G118" s="382">
        <v>2477591</v>
      </c>
      <c r="H118" s="382">
        <v>644504.75</v>
      </c>
      <c r="I118" s="382">
        <v>278338.5</v>
      </c>
      <c r="J118" s="382">
        <v>552894.36</v>
      </c>
      <c r="K118" s="382">
        <v>369721.85</v>
      </c>
      <c r="L118" s="382">
        <v>3239027.8</v>
      </c>
      <c r="M118" s="325">
        <f t="shared" si="7"/>
        <v>36852539.219999991</v>
      </c>
      <c r="N118" s="386">
        <v>766350.2</v>
      </c>
      <c r="O118" s="386">
        <v>495075.8</v>
      </c>
      <c r="P118" s="386">
        <v>2138196.2999999998</v>
      </c>
      <c r="Q118" s="386">
        <v>49691.75</v>
      </c>
      <c r="R118" s="386">
        <v>2298626.15</v>
      </c>
      <c r="S118" s="371">
        <v>353615.2</v>
      </c>
      <c r="T118" s="439">
        <f t="shared" si="8"/>
        <v>42954094.61999999</v>
      </c>
      <c r="U118" s="387">
        <v>73.5</v>
      </c>
      <c r="V118" s="390">
        <f>VLOOKUP(B118,'[1]2021'!$C:$D,2,FALSE)</f>
        <v>9217</v>
      </c>
      <c r="W118" s="436">
        <v>-292181.78000000003</v>
      </c>
      <c r="X118" s="442"/>
      <c r="Y118" s="442">
        <v>-37059.47</v>
      </c>
      <c r="Z118" s="447">
        <v>1.2</v>
      </c>
      <c r="AA118" s="484">
        <v>42954094.619999997</v>
      </c>
      <c r="AB118" s="484">
        <v>-292181.78000000003</v>
      </c>
      <c r="AC118" s="484"/>
      <c r="AD118" s="484">
        <v>-37059.47</v>
      </c>
      <c r="AE118" s="526">
        <f t="shared" si="9"/>
        <v>0</v>
      </c>
      <c r="AF118" s="526">
        <f t="shared" si="10"/>
        <v>0</v>
      </c>
      <c r="AG118" s="527">
        <f t="shared" si="11"/>
        <v>0</v>
      </c>
      <c r="AH118" s="527">
        <f t="shared" si="12"/>
        <v>0</v>
      </c>
      <c r="AI118" s="489">
        <v>9217</v>
      </c>
      <c r="AJ118" s="489">
        <f t="shared" si="13"/>
        <v>0</v>
      </c>
      <c r="AK118" s="489"/>
      <c r="AL118" s="489"/>
      <c r="AM118" s="489"/>
      <c r="AN118" s="489"/>
    </row>
    <row r="119" spans="1:40" x14ac:dyDescent="0.25">
      <c r="A119" s="332">
        <v>5588</v>
      </c>
      <c r="B119" s="459" t="s">
        <v>120</v>
      </c>
      <c r="C119" s="382">
        <v>9986602.8100000005</v>
      </c>
      <c r="D119" s="382">
        <v>1872069.07</v>
      </c>
      <c r="E119" s="380"/>
      <c r="F119" s="518"/>
      <c r="G119" s="382">
        <v>466921.9</v>
      </c>
      <c r="H119" s="382">
        <v>357800.35</v>
      </c>
      <c r="I119" s="382">
        <v>649215.15</v>
      </c>
      <c r="J119" s="382">
        <v>391193.39</v>
      </c>
      <c r="K119" s="382">
        <v>39501.050000000003</v>
      </c>
      <c r="L119" s="382">
        <v>395319.65</v>
      </c>
      <c r="M119" s="325">
        <f t="shared" si="7"/>
        <v>14158623.370000003</v>
      </c>
      <c r="N119" s="386">
        <v>24260.799999999999</v>
      </c>
      <c r="O119" s="386">
        <v>15108.4</v>
      </c>
      <c r="P119" s="386">
        <v>205920</v>
      </c>
      <c r="Q119" s="386">
        <v>2535</v>
      </c>
      <c r="R119" s="386">
        <v>153893.79999999999</v>
      </c>
      <c r="S119" s="371">
        <v>93409.79</v>
      </c>
      <c r="T119" s="439">
        <f t="shared" si="8"/>
        <v>14653751.160000004</v>
      </c>
      <c r="U119" s="387">
        <v>66.5</v>
      </c>
      <c r="V119" s="390">
        <f>VLOOKUP(B119,'[1]2021'!$C:$D,2,FALSE)</f>
        <v>1545</v>
      </c>
      <c r="W119" s="436">
        <v>-30681.040000000001</v>
      </c>
      <c r="X119" s="442"/>
      <c r="Y119" s="442">
        <v>-45516.02</v>
      </c>
      <c r="Z119" s="447">
        <v>0.7</v>
      </c>
      <c r="AA119" s="484">
        <v>14653751.16</v>
      </c>
      <c r="AB119" s="484">
        <v>-30681.040000000001</v>
      </c>
      <c r="AC119" s="484"/>
      <c r="AD119" s="484">
        <v>-45516.02</v>
      </c>
      <c r="AE119" s="526">
        <f t="shared" si="9"/>
        <v>0</v>
      </c>
      <c r="AF119" s="526">
        <f t="shared" si="10"/>
        <v>0</v>
      </c>
      <c r="AG119" s="527">
        <f t="shared" si="11"/>
        <v>0</v>
      </c>
      <c r="AH119" s="527">
        <f t="shared" si="12"/>
        <v>0</v>
      </c>
      <c r="AI119" s="489">
        <v>1545</v>
      </c>
      <c r="AJ119" s="489">
        <f t="shared" si="13"/>
        <v>0</v>
      </c>
      <c r="AK119" s="489"/>
      <c r="AL119" s="489"/>
      <c r="AM119" s="489"/>
      <c r="AN119" s="489"/>
    </row>
    <row r="120" spans="1:40" x14ac:dyDescent="0.25">
      <c r="A120" s="332">
        <v>5589</v>
      </c>
      <c r="B120" s="459" t="s">
        <v>121</v>
      </c>
      <c r="C120" s="513">
        <v>19348751.989999998</v>
      </c>
      <c r="D120" s="382">
        <v>2404167.6800000002</v>
      </c>
      <c r="E120" s="380"/>
      <c r="F120" s="518"/>
      <c r="G120" s="382">
        <v>4175156.85</v>
      </c>
      <c r="H120" s="382">
        <v>309626.65000000002</v>
      </c>
      <c r="I120" s="382">
        <v>58264.7</v>
      </c>
      <c r="J120" s="382">
        <v>1230431.6399999999</v>
      </c>
      <c r="K120" s="382">
        <v>520616.25</v>
      </c>
      <c r="L120" s="382">
        <v>2946460.05</v>
      </c>
      <c r="M120" s="325">
        <f t="shared" si="7"/>
        <v>30993475.809999999</v>
      </c>
      <c r="N120" s="386">
        <v>1267619.8999999999</v>
      </c>
      <c r="O120" s="386">
        <v>204544.1</v>
      </c>
      <c r="P120" s="386">
        <v>1178246.7</v>
      </c>
      <c r="Q120" s="386">
        <v>118142.6</v>
      </c>
      <c r="R120" s="386">
        <v>1156634.1000000001</v>
      </c>
      <c r="S120" s="371">
        <v>507956.11</v>
      </c>
      <c r="T120" s="439">
        <f t="shared" si="8"/>
        <v>35426619.32</v>
      </c>
      <c r="U120" s="387">
        <v>72.5</v>
      </c>
      <c r="V120" s="390">
        <f>VLOOKUP(B120,'[1]2021'!$C:$D,2,FALSE)</f>
        <v>12341</v>
      </c>
      <c r="W120" s="436">
        <v>-426252.15</v>
      </c>
      <c r="X120" s="442"/>
      <c r="Y120" s="442">
        <v>-96008.36</v>
      </c>
      <c r="Z120" s="447">
        <v>1.3</v>
      </c>
      <c r="AA120" s="484">
        <v>35426619.32</v>
      </c>
      <c r="AB120" s="484">
        <v>-426252.15</v>
      </c>
      <c r="AC120" s="484"/>
      <c r="AD120" s="484">
        <v>-96008.36</v>
      </c>
      <c r="AE120" s="526">
        <f t="shared" si="9"/>
        <v>0</v>
      </c>
      <c r="AF120" s="526">
        <f t="shared" si="10"/>
        <v>0</v>
      </c>
      <c r="AG120" s="527">
        <f t="shared" si="11"/>
        <v>0</v>
      </c>
      <c r="AH120" s="527">
        <f t="shared" si="12"/>
        <v>0</v>
      </c>
      <c r="AI120" s="489">
        <v>12341</v>
      </c>
      <c r="AJ120" s="489">
        <f t="shared" si="13"/>
        <v>0</v>
      </c>
      <c r="AK120" s="489"/>
      <c r="AL120" s="489"/>
      <c r="AM120" s="489"/>
      <c r="AN120" s="489"/>
    </row>
    <row r="121" spans="1:40" x14ac:dyDescent="0.25">
      <c r="A121" s="332">
        <v>5590</v>
      </c>
      <c r="B121" s="459" t="s">
        <v>122</v>
      </c>
      <c r="C121" s="513">
        <v>56722211.979999997</v>
      </c>
      <c r="D121" s="382">
        <v>17928881.050000001</v>
      </c>
      <c r="E121" s="380"/>
      <c r="F121" s="518"/>
      <c r="G121" s="382">
        <v>12595848.35</v>
      </c>
      <c r="H121" s="382">
        <v>1793413.8</v>
      </c>
      <c r="I121" s="382">
        <v>2088944.34</v>
      </c>
      <c r="J121" s="382">
        <v>899998.49</v>
      </c>
      <c r="K121" s="382">
        <v>443570.25</v>
      </c>
      <c r="L121" s="382">
        <v>3727357.05</v>
      </c>
      <c r="M121" s="325">
        <f t="shared" si="7"/>
        <v>96200225.309999987</v>
      </c>
      <c r="N121" s="386">
        <v>176020.55</v>
      </c>
      <c r="O121" s="386">
        <v>2095407.6</v>
      </c>
      <c r="P121" s="386">
        <v>4347950.2</v>
      </c>
      <c r="Q121" s="386">
        <v>154132.1</v>
      </c>
      <c r="R121" s="386">
        <v>3076179.35</v>
      </c>
      <c r="S121" s="371">
        <v>1629758.41</v>
      </c>
      <c r="T121" s="439">
        <f t="shared" si="8"/>
        <v>107679673.51999997</v>
      </c>
      <c r="U121" s="387">
        <v>61</v>
      </c>
      <c r="V121" s="390">
        <f>VLOOKUP(B121,'[1]2021'!$C:$D,2,FALSE)</f>
        <v>18946</v>
      </c>
      <c r="W121" s="436">
        <v>-686682.37</v>
      </c>
      <c r="X121" s="442"/>
      <c r="Y121" s="442">
        <v>-1109983.06</v>
      </c>
      <c r="Z121" s="447">
        <v>0.7</v>
      </c>
      <c r="AA121" s="484">
        <v>107679673.52</v>
      </c>
      <c r="AB121" s="484">
        <v>-686682.37</v>
      </c>
      <c r="AC121" s="484"/>
      <c r="AD121" s="484">
        <v>-1109983.06</v>
      </c>
      <c r="AE121" s="526">
        <f t="shared" si="9"/>
        <v>0</v>
      </c>
      <c r="AF121" s="526">
        <f t="shared" si="10"/>
        <v>0</v>
      </c>
      <c r="AG121" s="527">
        <f t="shared" si="11"/>
        <v>0</v>
      </c>
      <c r="AH121" s="527">
        <f t="shared" si="12"/>
        <v>0</v>
      </c>
      <c r="AI121" s="489">
        <v>18946</v>
      </c>
      <c r="AJ121" s="489">
        <f t="shared" si="13"/>
        <v>0</v>
      </c>
      <c r="AK121" s="489"/>
      <c r="AL121" s="489"/>
      <c r="AM121" s="489"/>
      <c r="AN121" s="489"/>
    </row>
    <row r="122" spans="1:40" x14ac:dyDescent="0.25">
      <c r="A122" s="332">
        <v>5591</v>
      </c>
      <c r="B122" s="459" t="s">
        <v>384</v>
      </c>
      <c r="C122" s="513">
        <v>29125693.670000002</v>
      </c>
      <c r="D122" s="382">
        <v>3146691.6</v>
      </c>
      <c r="E122" s="380"/>
      <c r="F122" s="518"/>
      <c r="G122" s="382">
        <v>4821403.3499999996</v>
      </c>
      <c r="H122" s="382">
        <v>442964.95</v>
      </c>
      <c r="I122" s="382"/>
      <c r="J122" s="382">
        <v>2166767.0299999998</v>
      </c>
      <c r="K122" s="382">
        <v>808812.05</v>
      </c>
      <c r="L122" s="382">
        <v>5163146.3499999996</v>
      </c>
      <c r="M122" s="325">
        <f t="shared" si="7"/>
        <v>45675479.000000007</v>
      </c>
      <c r="N122" s="386">
        <v>2185480.2999999998</v>
      </c>
      <c r="O122" s="386">
        <v>1122802</v>
      </c>
      <c r="P122" s="386">
        <v>1814775.2</v>
      </c>
      <c r="Q122" s="386">
        <v>342466.65</v>
      </c>
      <c r="R122" s="386">
        <v>1995224.9</v>
      </c>
      <c r="S122" s="371">
        <v>596253.54</v>
      </c>
      <c r="T122" s="439">
        <f t="shared" si="8"/>
        <v>53732481.590000004</v>
      </c>
      <c r="U122" s="387">
        <v>77</v>
      </c>
      <c r="V122" s="390">
        <f>VLOOKUP(B122,'[1]2021'!$C:$D,2,FALSE)</f>
        <v>20917</v>
      </c>
      <c r="W122" s="436">
        <v>-1255483.56</v>
      </c>
      <c r="X122" s="442"/>
      <c r="Y122" s="442">
        <v>-10126.68</v>
      </c>
      <c r="Z122" s="447">
        <v>1.4</v>
      </c>
      <c r="AA122" s="484">
        <v>53732481.590000004</v>
      </c>
      <c r="AB122" s="484">
        <v>-1255483.56</v>
      </c>
      <c r="AC122" s="484"/>
      <c r="AD122" s="484">
        <v>-10126.68</v>
      </c>
      <c r="AE122" s="526">
        <f t="shared" si="9"/>
        <v>0</v>
      </c>
      <c r="AF122" s="526">
        <f t="shared" si="10"/>
        <v>0</v>
      </c>
      <c r="AG122" s="527">
        <f t="shared" si="11"/>
        <v>0</v>
      </c>
      <c r="AH122" s="527">
        <f t="shared" si="12"/>
        <v>0</v>
      </c>
      <c r="AI122" s="489">
        <v>20917</v>
      </c>
      <c r="AJ122" s="489">
        <f t="shared" si="13"/>
        <v>0</v>
      </c>
      <c r="AK122" s="489"/>
      <c r="AL122" s="489"/>
      <c r="AM122" s="489"/>
      <c r="AN122" s="489"/>
    </row>
    <row r="123" spans="1:40" x14ac:dyDescent="0.25">
      <c r="A123" s="332">
        <v>5592</v>
      </c>
      <c r="B123" s="459" t="s">
        <v>210</v>
      </c>
      <c r="C123" s="382">
        <v>6080173.3099999996</v>
      </c>
      <c r="D123" s="382">
        <v>832193.86</v>
      </c>
      <c r="E123" s="380"/>
      <c r="F123" s="518"/>
      <c r="G123" s="382">
        <v>520391.15</v>
      </c>
      <c r="H123" s="382">
        <v>53086.9</v>
      </c>
      <c r="I123" s="382">
        <v>49520.55</v>
      </c>
      <c r="J123" s="382">
        <v>193586.8</v>
      </c>
      <c r="K123" s="382">
        <v>68343.199999999997</v>
      </c>
      <c r="L123" s="382">
        <v>903646.15</v>
      </c>
      <c r="M123" s="325">
        <f t="shared" si="7"/>
        <v>8700941.9199999999</v>
      </c>
      <c r="N123" s="386">
        <v>243903.85</v>
      </c>
      <c r="O123" s="386">
        <v>608500</v>
      </c>
      <c r="P123" s="386">
        <v>657763.5</v>
      </c>
      <c r="Q123" s="386">
        <v>51183.95</v>
      </c>
      <c r="R123" s="386">
        <v>322052.90000000002</v>
      </c>
      <c r="S123" s="371">
        <v>64953.34</v>
      </c>
      <c r="T123" s="439">
        <f t="shared" si="8"/>
        <v>10649299.459999999</v>
      </c>
      <c r="U123" s="387">
        <v>70.5</v>
      </c>
      <c r="V123" s="390">
        <f>VLOOKUP(B123,'[1]2021'!$C:$D,2,FALSE)</f>
        <v>3482</v>
      </c>
      <c r="W123" s="436">
        <v>-98222.399999999994</v>
      </c>
      <c r="X123" s="442"/>
      <c r="Y123" s="442">
        <v>-1524.84</v>
      </c>
      <c r="Z123" s="447">
        <v>1.25</v>
      </c>
      <c r="AA123" s="484">
        <v>10649299.460000001</v>
      </c>
      <c r="AB123" s="484">
        <v>-98222.399999999994</v>
      </c>
      <c r="AC123" s="484"/>
      <c r="AD123" s="484">
        <v>-1524.84</v>
      </c>
      <c r="AE123" s="526">
        <f t="shared" si="9"/>
        <v>0</v>
      </c>
      <c r="AF123" s="526">
        <f t="shared" si="10"/>
        <v>0</v>
      </c>
      <c r="AG123" s="527">
        <f t="shared" si="11"/>
        <v>0</v>
      </c>
      <c r="AH123" s="527">
        <f t="shared" si="12"/>
        <v>0</v>
      </c>
      <c r="AI123" s="489">
        <v>3482</v>
      </c>
      <c r="AJ123" s="489">
        <f t="shared" si="13"/>
        <v>0</v>
      </c>
      <c r="AK123" s="489"/>
      <c r="AL123" s="489"/>
      <c r="AM123" s="489"/>
      <c r="AN123" s="489"/>
    </row>
    <row r="124" spans="1:40" x14ac:dyDescent="0.25">
      <c r="A124" s="332">
        <v>5601</v>
      </c>
      <c r="B124" s="459" t="s">
        <v>291</v>
      </c>
      <c r="C124" s="382">
        <v>5352657.8</v>
      </c>
      <c r="D124" s="382">
        <v>1008491.7</v>
      </c>
      <c r="E124" s="380"/>
      <c r="F124" s="518"/>
      <c r="G124" s="382">
        <v>159632.85</v>
      </c>
      <c r="H124" s="382">
        <v>10912.6</v>
      </c>
      <c r="I124" s="382">
        <v>30402.67</v>
      </c>
      <c r="J124" s="382">
        <v>76507.83</v>
      </c>
      <c r="K124" s="382">
        <v>25888.799999999999</v>
      </c>
      <c r="L124" s="382">
        <v>490995.9</v>
      </c>
      <c r="M124" s="325">
        <f t="shared" si="7"/>
        <v>7155490.1499999994</v>
      </c>
      <c r="N124" s="386">
        <v>52235.25</v>
      </c>
      <c r="O124" s="386">
        <v>73217</v>
      </c>
      <c r="P124" s="386">
        <v>219762.2</v>
      </c>
      <c r="Q124" s="386">
        <v>20962.3</v>
      </c>
      <c r="R124" s="386">
        <v>241082.4</v>
      </c>
      <c r="S124" s="371">
        <v>19316.34</v>
      </c>
      <c r="T124" s="439">
        <f t="shared" si="8"/>
        <v>7782065.6399999997</v>
      </c>
      <c r="U124" s="387">
        <v>67.5</v>
      </c>
      <c r="V124" s="390">
        <f>VLOOKUP(B124,'[1]2021'!$C:$D,2,FALSE)</f>
        <v>2229</v>
      </c>
      <c r="W124" s="436">
        <v>-37059.879999999997</v>
      </c>
      <c r="X124" s="442"/>
      <c r="Y124" s="442">
        <v>-5527.33</v>
      </c>
      <c r="Z124" s="447">
        <v>1</v>
      </c>
      <c r="AA124" s="484">
        <v>7782065.6399999997</v>
      </c>
      <c r="AB124" s="484">
        <v>-37059.879999999997</v>
      </c>
      <c r="AC124" s="484"/>
      <c r="AD124" s="484">
        <v>-5527.33</v>
      </c>
      <c r="AE124" s="526">
        <f t="shared" si="9"/>
        <v>0</v>
      </c>
      <c r="AF124" s="526">
        <f t="shared" si="10"/>
        <v>0</v>
      </c>
      <c r="AG124" s="527">
        <f t="shared" si="11"/>
        <v>0</v>
      </c>
      <c r="AH124" s="527">
        <f t="shared" si="12"/>
        <v>0</v>
      </c>
      <c r="AI124" s="489">
        <v>2229</v>
      </c>
      <c r="AJ124" s="489">
        <f t="shared" si="13"/>
        <v>0</v>
      </c>
      <c r="AK124" s="489"/>
      <c r="AL124" s="489"/>
      <c r="AM124" s="489"/>
      <c r="AN124" s="489"/>
    </row>
    <row r="125" spans="1:40" x14ac:dyDescent="0.25">
      <c r="A125" s="332">
        <v>5604</v>
      </c>
      <c r="B125" s="459" t="s">
        <v>141</v>
      </c>
      <c r="C125" s="382">
        <v>3868871.2</v>
      </c>
      <c r="D125" s="382">
        <v>574385.05000000005</v>
      </c>
      <c r="E125" s="380"/>
      <c r="F125" s="518"/>
      <c r="G125" s="382">
        <v>219731.75</v>
      </c>
      <c r="H125" s="382">
        <v>27190.55</v>
      </c>
      <c r="I125" s="382"/>
      <c r="J125" s="382">
        <v>82763.87</v>
      </c>
      <c r="K125" s="382">
        <v>29910.35</v>
      </c>
      <c r="L125" s="382">
        <v>414729.65</v>
      </c>
      <c r="M125" s="325">
        <f t="shared" si="7"/>
        <v>5217582.42</v>
      </c>
      <c r="N125" s="386">
        <v>112458.65</v>
      </c>
      <c r="O125" s="386">
        <v>1253.8</v>
      </c>
      <c r="P125" s="386">
        <v>241497.8</v>
      </c>
      <c r="Q125" s="386">
        <v>30434.84</v>
      </c>
      <c r="R125" s="386">
        <v>140152.4</v>
      </c>
      <c r="S125" s="371">
        <v>27966.94</v>
      </c>
      <c r="T125" s="439">
        <f t="shared" si="8"/>
        <v>5771346.8500000006</v>
      </c>
      <c r="U125" s="387">
        <v>69</v>
      </c>
      <c r="V125" s="390">
        <f>VLOOKUP(B125,'[1]2021'!$C:$D,2,FALSE)</f>
        <v>2110</v>
      </c>
      <c r="W125" s="436">
        <v>-40994.79</v>
      </c>
      <c r="X125" s="442"/>
      <c r="Y125" s="442">
        <v>-3483.99</v>
      </c>
      <c r="Z125" s="447">
        <v>1</v>
      </c>
      <c r="AA125" s="484">
        <v>5771346.8499999996</v>
      </c>
      <c r="AB125" s="484">
        <v>-40994.79</v>
      </c>
      <c r="AC125" s="484"/>
      <c r="AD125" s="484">
        <v>-3483.99</v>
      </c>
      <c r="AE125" s="526">
        <f t="shared" si="9"/>
        <v>0</v>
      </c>
      <c r="AF125" s="526">
        <f t="shared" si="10"/>
        <v>0</v>
      </c>
      <c r="AG125" s="527">
        <f t="shared" si="11"/>
        <v>0</v>
      </c>
      <c r="AH125" s="527">
        <f t="shared" si="12"/>
        <v>0</v>
      </c>
      <c r="AI125" s="489">
        <v>2110</v>
      </c>
      <c r="AJ125" s="489">
        <f t="shared" si="13"/>
        <v>0</v>
      </c>
      <c r="AK125" s="489"/>
      <c r="AL125" s="489"/>
      <c r="AM125" s="489"/>
      <c r="AN125" s="489"/>
    </row>
    <row r="126" spans="1:40" x14ac:dyDescent="0.25">
      <c r="A126" s="332">
        <v>5606</v>
      </c>
      <c r="B126" s="459" t="s">
        <v>142</v>
      </c>
      <c r="C126" s="513">
        <v>32849394.789999999</v>
      </c>
      <c r="D126" s="382">
        <v>8495704.0800000001</v>
      </c>
      <c r="E126" s="380"/>
      <c r="F126" s="518"/>
      <c r="G126" s="382">
        <v>4087785.05</v>
      </c>
      <c r="H126" s="382">
        <v>149369.60000000001</v>
      </c>
      <c r="I126" s="382">
        <v>1236629.21</v>
      </c>
      <c r="J126" s="382">
        <v>547446.17000000004</v>
      </c>
      <c r="K126" s="382">
        <v>35287.949999999997</v>
      </c>
      <c r="L126" s="382">
        <v>2337138.85</v>
      </c>
      <c r="M126" s="325">
        <f t="shared" si="7"/>
        <v>49738755.700000003</v>
      </c>
      <c r="N126" s="386">
        <v>86204.6</v>
      </c>
      <c r="O126" s="386">
        <v>7043997.2999999998</v>
      </c>
      <c r="P126" s="386">
        <v>3582499.15</v>
      </c>
      <c r="Q126" s="386">
        <v>103618.92</v>
      </c>
      <c r="R126" s="386">
        <v>1350568.4</v>
      </c>
      <c r="S126" s="371">
        <v>479909.14</v>
      </c>
      <c r="T126" s="439">
        <f t="shared" si="8"/>
        <v>62385553.210000001</v>
      </c>
      <c r="U126" s="387">
        <v>54</v>
      </c>
      <c r="V126" s="390">
        <f>VLOOKUP(B126,'[1]2021'!$C:$D,2,FALSE)</f>
        <v>10704</v>
      </c>
      <c r="W126" s="436">
        <v>-370372.63</v>
      </c>
      <c r="X126" s="442"/>
      <c r="Y126" s="442">
        <v>-132133.51999999999</v>
      </c>
      <c r="Z126" s="447">
        <v>0.7</v>
      </c>
      <c r="AA126" s="484">
        <v>62385553.210000001</v>
      </c>
      <c r="AB126" s="484">
        <v>-370372.63</v>
      </c>
      <c r="AC126" s="484"/>
      <c r="AD126" s="484">
        <v>-132133.51999999999</v>
      </c>
      <c r="AE126" s="526">
        <f t="shared" si="9"/>
        <v>0</v>
      </c>
      <c r="AF126" s="526">
        <f t="shared" si="10"/>
        <v>0</v>
      </c>
      <c r="AG126" s="527">
        <f t="shared" si="11"/>
        <v>0</v>
      </c>
      <c r="AH126" s="527">
        <f t="shared" si="12"/>
        <v>0</v>
      </c>
      <c r="AI126" s="489">
        <v>10704</v>
      </c>
      <c r="AJ126" s="489">
        <f t="shared" si="13"/>
        <v>0</v>
      </c>
      <c r="AK126" s="489"/>
      <c r="AL126" s="489"/>
      <c r="AM126" s="489"/>
      <c r="AN126" s="489"/>
    </row>
    <row r="127" spans="1:40" x14ac:dyDescent="0.25">
      <c r="A127" s="332">
        <v>5607</v>
      </c>
      <c r="B127" s="459" t="s">
        <v>293</v>
      </c>
      <c r="C127" s="382">
        <v>4892135.21</v>
      </c>
      <c r="D127" s="382">
        <v>878066.7</v>
      </c>
      <c r="E127" s="380"/>
      <c r="F127" s="518"/>
      <c r="G127" s="382">
        <v>648297.6</v>
      </c>
      <c r="H127" s="382">
        <v>189965.85</v>
      </c>
      <c r="I127" s="382">
        <v>398.5</v>
      </c>
      <c r="J127" s="382">
        <v>170524.94</v>
      </c>
      <c r="K127" s="382">
        <v>113211.4</v>
      </c>
      <c r="L127" s="382">
        <v>809816.25</v>
      </c>
      <c r="M127" s="325">
        <f t="shared" si="7"/>
        <v>7702416.4500000002</v>
      </c>
      <c r="N127" s="386">
        <v>335399.25</v>
      </c>
      <c r="O127" s="386">
        <v>72171.3</v>
      </c>
      <c r="P127" s="386">
        <v>605599.94999999995</v>
      </c>
      <c r="Q127" s="386">
        <v>19247.150000000001</v>
      </c>
      <c r="R127" s="386">
        <v>237600.65</v>
      </c>
      <c r="S127" s="371">
        <v>94943.5</v>
      </c>
      <c r="T127" s="439">
        <f t="shared" si="8"/>
        <v>9067378.25</v>
      </c>
      <c r="U127" s="387">
        <v>68.5</v>
      </c>
      <c r="V127" s="390">
        <f>VLOOKUP(B127,'[1]2021'!$C:$D,2,FALSE)</f>
        <v>2924</v>
      </c>
      <c r="W127" s="436">
        <v>-59486.57</v>
      </c>
      <c r="X127" s="442"/>
      <c r="Y127" s="442">
        <v>-8236.2000000000007</v>
      </c>
      <c r="Z127" s="447">
        <v>1.1499999999999999</v>
      </c>
      <c r="AA127" s="484">
        <v>9067378.25</v>
      </c>
      <c r="AB127" s="484">
        <v>-59486.57</v>
      </c>
      <c r="AC127" s="484"/>
      <c r="AD127" s="484">
        <v>-8236.2000000000007</v>
      </c>
      <c r="AE127" s="526">
        <f t="shared" si="9"/>
        <v>0</v>
      </c>
      <c r="AF127" s="526">
        <f t="shared" si="10"/>
        <v>0</v>
      </c>
      <c r="AG127" s="527">
        <f t="shared" si="11"/>
        <v>0</v>
      </c>
      <c r="AH127" s="527">
        <f t="shared" si="12"/>
        <v>0</v>
      </c>
      <c r="AI127" s="489">
        <v>2924</v>
      </c>
      <c r="AJ127" s="489">
        <f t="shared" si="13"/>
        <v>0</v>
      </c>
      <c r="AK127" s="489"/>
      <c r="AL127" s="489"/>
      <c r="AM127" s="489"/>
      <c r="AN127" s="489"/>
    </row>
    <row r="128" spans="1:40" x14ac:dyDescent="0.25">
      <c r="A128" s="332">
        <v>5609</v>
      </c>
      <c r="B128" s="459" t="s">
        <v>126</v>
      </c>
      <c r="C128" s="382">
        <v>746766.54</v>
      </c>
      <c r="D128" s="382">
        <v>147199.85</v>
      </c>
      <c r="E128" s="380"/>
      <c r="F128" s="518"/>
      <c r="G128" s="382">
        <v>10495.4</v>
      </c>
      <c r="H128" s="382">
        <v>728.25</v>
      </c>
      <c r="I128" s="382"/>
      <c r="J128" s="382">
        <v>-48435.360000000001</v>
      </c>
      <c r="K128" s="382">
        <v>1050.4000000000001</v>
      </c>
      <c r="L128" s="382">
        <v>61893.65</v>
      </c>
      <c r="M128" s="325">
        <f t="shared" si="7"/>
        <v>919698.7300000001</v>
      </c>
      <c r="N128" s="386"/>
      <c r="O128" s="386"/>
      <c r="P128" s="386">
        <v>20130</v>
      </c>
      <c r="Q128" s="386">
        <v>2806.56</v>
      </c>
      <c r="R128" s="386">
        <v>17919.900000000001</v>
      </c>
      <c r="S128" s="371">
        <v>1271.21</v>
      </c>
      <c r="T128" s="439">
        <f t="shared" si="8"/>
        <v>961826.40000000014</v>
      </c>
      <c r="U128" s="387">
        <v>62</v>
      </c>
      <c r="V128" s="390">
        <f>VLOOKUP(B128,'[1]2021'!$C:$D,2,FALSE)</f>
        <v>331</v>
      </c>
      <c r="W128" s="436">
        <v>-101.79</v>
      </c>
      <c r="X128" s="442"/>
      <c r="Y128" s="442">
        <v>-91.08</v>
      </c>
      <c r="Z128" s="447">
        <v>1</v>
      </c>
      <c r="AA128" s="484">
        <v>961826.4</v>
      </c>
      <c r="AB128" s="484">
        <v>-101.79</v>
      </c>
      <c r="AC128" s="484"/>
      <c r="AD128" s="484">
        <v>-91.08</v>
      </c>
      <c r="AE128" s="526">
        <f t="shared" si="9"/>
        <v>0</v>
      </c>
      <c r="AF128" s="526">
        <f t="shared" si="10"/>
        <v>0</v>
      </c>
      <c r="AG128" s="527">
        <f t="shared" si="11"/>
        <v>0</v>
      </c>
      <c r="AH128" s="527">
        <f t="shared" si="12"/>
        <v>0</v>
      </c>
      <c r="AI128" s="489">
        <v>331</v>
      </c>
      <c r="AJ128" s="489">
        <f t="shared" si="13"/>
        <v>0</v>
      </c>
      <c r="AK128" s="489"/>
      <c r="AL128" s="489"/>
      <c r="AM128" s="489"/>
      <c r="AN128" s="489"/>
    </row>
    <row r="129" spans="1:40" x14ac:dyDescent="0.25">
      <c r="A129" s="332">
        <v>5610</v>
      </c>
      <c r="B129" s="459" t="s">
        <v>127</v>
      </c>
      <c r="C129" s="513">
        <v>985564.92</v>
      </c>
      <c r="D129" s="513">
        <v>498504.82</v>
      </c>
      <c r="E129" s="380"/>
      <c r="F129" s="518"/>
      <c r="G129" s="382">
        <v>14611</v>
      </c>
      <c r="H129" s="382">
        <v>-823.35</v>
      </c>
      <c r="I129" s="382">
        <v>50486.1</v>
      </c>
      <c r="J129" s="382">
        <v>24275.42</v>
      </c>
      <c r="K129" s="382">
        <v>7110.45</v>
      </c>
      <c r="L129" s="382">
        <v>127993.65</v>
      </c>
      <c r="M129" s="325">
        <f t="shared" si="7"/>
        <v>1707723.0099999998</v>
      </c>
      <c r="N129" s="386"/>
      <c r="O129" s="386">
        <v>538286.75</v>
      </c>
      <c r="P129" s="386">
        <v>31076.15</v>
      </c>
      <c r="Q129" s="386">
        <v>2963.4</v>
      </c>
      <c r="R129" s="386">
        <v>10281.9</v>
      </c>
      <c r="S129" s="371">
        <v>1561.62</v>
      </c>
      <c r="T129" s="439">
        <f t="shared" si="8"/>
        <v>2291892.8299999996</v>
      </c>
      <c r="U129" s="387">
        <v>72</v>
      </c>
      <c r="V129" s="390">
        <f>VLOOKUP(B129,'[1]2021'!$C:$D,2,FALSE)</f>
        <v>396</v>
      </c>
      <c r="W129" s="436">
        <v>-6313.85</v>
      </c>
      <c r="X129" s="442"/>
      <c r="Y129" s="442">
        <v>3687.37</v>
      </c>
      <c r="Z129" s="447">
        <v>1.2</v>
      </c>
      <c r="AA129" s="484">
        <v>2291892.83</v>
      </c>
      <c r="AB129" s="484">
        <v>-6313.85</v>
      </c>
      <c r="AC129" s="484"/>
      <c r="AD129" s="484">
        <v>3687.37</v>
      </c>
      <c r="AE129" s="526">
        <f t="shared" si="9"/>
        <v>0</v>
      </c>
      <c r="AF129" s="526">
        <f t="shared" si="10"/>
        <v>0</v>
      </c>
      <c r="AG129" s="527">
        <f t="shared" si="11"/>
        <v>0</v>
      </c>
      <c r="AH129" s="527">
        <f t="shared" si="12"/>
        <v>0</v>
      </c>
      <c r="AI129" s="489">
        <v>396</v>
      </c>
      <c r="AJ129" s="489">
        <f t="shared" si="13"/>
        <v>0</v>
      </c>
      <c r="AK129" s="489"/>
      <c r="AL129" s="489"/>
      <c r="AM129" s="489"/>
      <c r="AN129" s="489"/>
    </row>
    <row r="130" spans="1:40" x14ac:dyDescent="0.25">
      <c r="A130" s="332">
        <v>5611</v>
      </c>
      <c r="B130" s="459" t="s">
        <v>290</v>
      </c>
      <c r="C130" s="513">
        <v>7197385.8099999996</v>
      </c>
      <c r="D130" s="382">
        <v>1162096.5</v>
      </c>
      <c r="E130" s="380"/>
      <c r="F130" s="518"/>
      <c r="G130" s="382">
        <v>405675.25</v>
      </c>
      <c r="H130" s="382">
        <v>24359.95</v>
      </c>
      <c r="I130" s="382">
        <v>133186.6</v>
      </c>
      <c r="J130" s="382">
        <v>137123.69</v>
      </c>
      <c r="K130" s="382">
        <v>11840.85</v>
      </c>
      <c r="L130" s="382">
        <v>813871.15</v>
      </c>
      <c r="M130" s="325">
        <f t="shared" si="7"/>
        <v>9885539.799999997</v>
      </c>
      <c r="N130" s="386">
        <v>118228.5</v>
      </c>
      <c r="O130" s="386">
        <v>125415.8</v>
      </c>
      <c r="P130" s="386">
        <v>371230.05</v>
      </c>
      <c r="Q130" s="386">
        <v>7310.04</v>
      </c>
      <c r="R130" s="386">
        <v>321922.34999999998</v>
      </c>
      <c r="S130" s="371">
        <v>48706.7</v>
      </c>
      <c r="T130" s="439">
        <f t="shared" si="8"/>
        <v>10878353.239999996</v>
      </c>
      <c r="U130" s="387">
        <v>69</v>
      </c>
      <c r="V130" s="390">
        <f>VLOOKUP(B130,'[1]2021'!$C:$D,2,FALSE)</f>
        <v>3370</v>
      </c>
      <c r="W130" s="436">
        <v>-75255.460000000006</v>
      </c>
      <c r="X130" s="442"/>
      <c r="Y130" s="442">
        <v>-2819.69</v>
      </c>
      <c r="Z130" s="447">
        <v>1.2</v>
      </c>
      <c r="AA130" s="484">
        <v>10878353.24</v>
      </c>
      <c r="AB130" s="484">
        <v>-75255.460000000006</v>
      </c>
      <c r="AC130" s="484"/>
      <c r="AD130" s="484">
        <v>-2819.69</v>
      </c>
      <c r="AE130" s="526">
        <f t="shared" si="9"/>
        <v>0</v>
      </c>
      <c r="AF130" s="526">
        <f t="shared" si="10"/>
        <v>0</v>
      </c>
      <c r="AG130" s="527">
        <f t="shared" si="11"/>
        <v>0</v>
      </c>
      <c r="AH130" s="527">
        <f t="shared" si="12"/>
        <v>0</v>
      </c>
      <c r="AI130" s="489">
        <v>3370</v>
      </c>
      <c r="AJ130" s="489">
        <f t="shared" si="13"/>
        <v>0</v>
      </c>
      <c r="AK130" s="489"/>
      <c r="AL130" s="489"/>
      <c r="AM130" s="489"/>
      <c r="AN130" s="489"/>
    </row>
    <row r="131" spans="1:40" x14ac:dyDescent="0.25">
      <c r="A131" s="332">
        <v>5613</v>
      </c>
      <c r="B131" s="459" t="s">
        <v>413</v>
      </c>
      <c r="C131" s="382">
        <v>15466980.460000001</v>
      </c>
      <c r="D131" s="382">
        <v>5013395.92</v>
      </c>
      <c r="E131" s="380"/>
      <c r="F131" s="518"/>
      <c r="G131" s="382">
        <v>140032.20000000001</v>
      </c>
      <c r="H131" s="382">
        <v>42188.75</v>
      </c>
      <c r="I131" s="382">
        <v>133620.6</v>
      </c>
      <c r="J131" s="382">
        <v>108768.4</v>
      </c>
      <c r="K131" s="382">
        <v>27904.85</v>
      </c>
      <c r="L131" s="513">
        <v>2254298.15</v>
      </c>
      <c r="M131" s="325">
        <f t="shared" si="7"/>
        <v>23187189.330000002</v>
      </c>
      <c r="N131" s="386">
        <v>21021.599999999999</v>
      </c>
      <c r="O131" s="386">
        <v>464844</v>
      </c>
      <c r="P131" s="386">
        <v>931263.75</v>
      </c>
      <c r="Q131" s="386">
        <v>15380.43</v>
      </c>
      <c r="R131" s="386">
        <v>632690.35</v>
      </c>
      <c r="S131" s="371">
        <v>20638.73</v>
      </c>
      <c r="T131" s="439">
        <f t="shared" si="8"/>
        <v>25273028.190000005</v>
      </c>
      <c r="U131" s="387">
        <v>62.5</v>
      </c>
      <c r="V131" s="390">
        <f>VLOOKUP(B131,'[1]2021'!$C:$D,2,FALSE)</f>
        <v>5367</v>
      </c>
      <c r="W131" s="436">
        <v>-108315.66</v>
      </c>
      <c r="X131" s="442"/>
      <c r="Y131" s="442">
        <v>-37799.4</v>
      </c>
      <c r="Z131" s="447">
        <v>1.5</v>
      </c>
      <c r="AA131" s="484">
        <v>25273028.190000001</v>
      </c>
      <c r="AB131" s="484">
        <v>-108315.66</v>
      </c>
      <c r="AC131" s="484"/>
      <c r="AD131" s="484">
        <v>-37799.4</v>
      </c>
      <c r="AE131" s="526">
        <f t="shared" si="9"/>
        <v>0</v>
      </c>
      <c r="AF131" s="526">
        <f t="shared" si="10"/>
        <v>0</v>
      </c>
      <c r="AG131" s="527">
        <f t="shared" si="11"/>
        <v>0</v>
      </c>
      <c r="AH131" s="527">
        <f t="shared" si="12"/>
        <v>0</v>
      </c>
      <c r="AI131" s="489">
        <v>5367</v>
      </c>
      <c r="AJ131" s="489">
        <f t="shared" si="13"/>
        <v>0</v>
      </c>
      <c r="AK131" s="489"/>
      <c r="AL131" s="489"/>
      <c r="AM131" s="489"/>
      <c r="AN131" s="489"/>
    </row>
    <row r="132" spans="1:40" x14ac:dyDescent="0.25">
      <c r="A132" s="332">
        <v>5621</v>
      </c>
      <c r="B132" s="459" t="s">
        <v>393</v>
      </c>
      <c r="C132" s="382">
        <v>1016919.48</v>
      </c>
      <c r="D132" s="382">
        <v>121718.1</v>
      </c>
      <c r="E132" s="380"/>
      <c r="F132" s="518"/>
      <c r="G132" s="382">
        <v>461951.4</v>
      </c>
      <c r="H132" s="382">
        <v>10566.7</v>
      </c>
      <c r="I132" s="382"/>
      <c r="J132" s="382">
        <v>52181.27</v>
      </c>
      <c r="K132" s="382">
        <v>5486.25</v>
      </c>
      <c r="L132" s="382">
        <v>323828.40000000002</v>
      </c>
      <c r="M132" s="325">
        <f t="shared" si="7"/>
        <v>1992651.6</v>
      </c>
      <c r="N132" s="386">
        <v>227041.5</v>
      </c>
      <c r="O132" s="386">
        <v>34896.5</v>
      </c>
      <c r="P132" s="386">
        <v>186875.15</v>
      </c>
      <c r="Q132" s="386">
        <v>2681.08</v>
      </c>
      <c r="R132" s="386">
        <v>72467.8</v>
      </c>
      <c r="S132" s="371">
        <v>53518.400000000001</v>
      </c>
      <c r="T132" s="439">
        <f t="shared" si="8"/>
        <v>2570132.0299999998</v>
      </c>
      <c r="U132" s="387">
        <v>62</v>
      </c>
      <c r="V132" s="390">
        <f>VLOOKUP(B132,'[1]2021'!$C:$D,2,FALSE)</f>
        <v>517</v>
      </c>
      <c r="W132" s="436">
        <v>-15984.06</v>
      </c>
      <c r="X132" s="442"/>
      <c r="Y132" s="442">
        <v>-2607.86</v>
      </c>
      <c r="Z132" s="447">
        <v>1.1000000000000001</v>
      </c>
      <c r="AA132" s="484">
        <v>2570132.0299999998</v>
      </c>
      <c r="AB132" s="484">
        <v>-15984.06</v>
      </c>
      <c r="AC132" s="484"/>
      <c r="AD132" s="484">
        <v>-2607.86</v>
      </c>
      <c r="AE132" s="526">
        <f t="shared" si="9"/>
        <v>0</v>
      </c>
      <c r="AF132" s="526">
        <f t="shared" si="10"/>
        <v>0</v>
      </c>
      <c r="AG132" s="527">
        <f t="shared" si="11"/>
        <v>0</v>
      </c>
      <c r="AH132" s="527">
        <f t="shared" si="12"/>
        <v>0</v>
      </c>
      <c r="AI132" s="489">
        <v>517</v>
      </c>
      <c r="AJ132" s="489">
        <f t="shared" si="13"/>
        <v>0</v>
      </c>
      <c r="AK132" s="489"/>
      <c r="AL132" s="489"/>
      <c r="AM132" s="489"/>
      <c r="AN132" s="489"/>
    </row>
    <row r="133" spans="1:40" x14ac:dyDescent="0.25">
      <c r="A133" s="332">
        <v>5622</v>
      </c>
      <c r="B133" s="459" t="s">
        <v>143</v>
      </c>
      <c r="C133" s="513">
        <v>1542365.03</v>
      </c>
      <c r="D133" s="382">
        <v>232872.03</v>
      </c>
      <c r="E133" s="380"/>
      <c r="F133" s="518"/>
      <c r="G133" s="382">
        <v>24116</v>
      </c>
      <c r="H133" s="382">
        <v>2637.25</v>
      </c>
      <c r="I133" s="382"/>
      <c r="J133" s="382">
        <v>-16815.63</v>
      </c>
      <c r="K133" s="382">
        <v>5220.5</v>
      </c>
      <c r="L133" s="382">
        <v>153568.5</v>
      </c>
      <c r="M133" s="325">
        <f t="shared" si="7"/>
        <v>1943963.6800000002</v>
      </c>
      <c r="N133" s="386">
        <v>30722.9</v>
      </c>
      <c r="O133" s="386">
        <v>58413.9</v>
      </c>
      <c r="P133" s="386">
        <v>105639.8</v>
      </c>
      <c r="Q133" s="386">
        <v>2408.12</v>
      </c>
      <c r="R133" s="386">
        <v>45174.25</v>
      </c>
      <c r="S133" s="371">
        <v>3030.13</v>
      </c>
      <c r="T133" s="439">
        <f t="shared" si="8"/>
        <v>2189352.7799999998</v>
      </c>
      <c r="U133" s="387">
        <v>68</v>
      </c>
      <c r="V133" s="390">
        <f>VLOOKUP(B133,'[1]2021'!$C:$D,2,FALSE)</f>
        <v>607</v>
      </c>
      <c r="W133" s="436">
        <v>-1341</v>
      </c>
      <c r="X133" s="442"/>
      <c r="Y133" s="442">
        <v>-273.10000000000002</v>
      </c>
      <c r="Z133" s="447">
        <v>1</v>
      </c>
      <c r="AA133" s="484">
        <v>2189352.7799999998</v>
      </c>
      <c r="AB133" s="484">
        <v>-1341</v>
      </c>
      <c r="AC133" s="484"/>
      <c r="AD133" s="484">
        <v>-273.10000000000002</v>
      </c>
      <c r="AE133" s="526">
        <f t="shared" si="9"/>
        <v>0</v>
      </c>
      <c r="AF133" s="526">
        <f t="shared" si="10"/>
        <v>0</v>
      </c>
      <c r="AG133" s="527">
        <f t="shared" si="11"/>
        <v>0</v>
      </c>
      <c r="AH133" s="527">
        <f t="shared" si="12"/>
        <v>0</v>
      </c>
      <c r="AI133" s="489">
        <v>607</v>
      </c>
      <c r="AJ133" s="489">
        <f t="shared" si="13"/>
        <v>0</v>
      </c>
      <c r="AK133" s="489"/>
      <c r="AL133" s="489"/>
      <c r="AM133" s="489"/>
      <c r="AN133" s="489"/>
    </row>
    <row r="134" spans="1:40" x14ac:dyDescent="0.25">
      <c r="A134" s="332">
        <v>5623</v>
      </c>
      <c r="B134" s="459" t="s">
        <v>144</v>
      </c>
      <c r="C134" s="513">
        <v>2731796.87</v>
      </c>
      <c r="D134" s="382">
        <v>1295527.8</v>
      </c>
      <c r="E134" s="380"/>
      <c r="F134" s="518"/>
      <c r="G134" s="382">
        <v>31386.45</v>
      </c>
      <c r="H134" s="382">
        <v>89561.1</v>
      </c>
      <c r="I134" s="382">
        <v>70477.600000000006</v>
      </c>
      <c r="J134" s="382">
        <v>78045.86</v>
      </c>
      <c r="K134" s="382">
        <v>956.5</v>
      </c>
      <c r="L134" s="382">
        <v>358974.1</v>
      </c>
      <c r="M134" s="325">
        <f t="shared" ref="M134:M197" si="14">SUM(C134:L134)</f>
        <v>4656726.28</v>
      </c>
      <c r="N134" s="386">
        <v>1734.05</v>
      </c>
      <c r="O134" s="386">
        <v>10586.6</v>
      </c>
      <c r="P134" s="386">
        <v>137176.4</v>
      </c>
      <c r="Q134" s="386">
        <v>3281.99</v>
      </c>
      <c r="R134" s="386">
        <v>76700.600000000006</v>
      </c>
      <c r="S134" s="371">
        <v>13698.78</v>
      </c>
      <c r="T134" s="439">
        <f t="shared" si="8"/>
        <v>4899904.7</v>
      </c>
      <c r="U134" s="387">
        <v>52</v>
      </c>
      <c r="V134" s="390">
        <f>VLOOKUP(B134,'[1]2021'!$C:$D,2,FALSE)</f>
        <v>669</v>
      </c>
      <c r="W134" s="436">
        <v>-5919.64</v>
      </c>
      <c r="X134" s="442"/>
      <c r="Y134" s="442">
        <v>-27725.95</v>
      </c>
      <c r="Z134" s="447">
        <v>1</v>
      </c>
      <c r="AA134" s="484">
        <v>4899904.7</v>
      </c>
      <c r="AB134" s="484">
        <v>-5919.64</v>
      </c>
      <c r="AC134" s="484"/>
      <c r="AD134" s="484">
        <v>-27725.95</v>
      </c>
      <c r="AE134" s="526">
        <f t="shared" si="9"/>
        <v>0</v>
      </c>
      <c r="AF134" s="526">
        <f t="shared" si="10"/>
        <v>0</v>
      </c>
      <c r="AG134" s="527">
        <f t="shared" si="11"/>
        <v>0</v>
      </c>
      <c r="AH134" s="527">
        <f t="shared" si="12"/>
        <v>0</v>
      </c>
      <c r="AI134" s="489">
        <v>669</v>
      </c>
      <c r="AJ134" s="489">
        <f t="shared" si="13"/>
        <v>0</v>
      </c>
      <c r="AK134" s="489"/>
      <c r="AL134" s="489"/>
      <c r="AM134" s="489"/>
      <c r="AN134" s="489"/>
    </row>
    <row r="135" spans="1:40" x14ac:dyDescent="0.25">
      <c r="A135" s="332">
        <v>5624</v>
      </c>
      <c r="B135" s="459" t="s">
        <v>425</v>
      </c>
      <c r="C135" s="513">
        <v>16145435.140000001</v>
      </c>
      <c r="D135" s="513">
        <v>1513935.05</v>
      </c>
      <c r="E135" s="380"/>
      <c r="F135" s="518"/>
      <c r="G135" s="382">
        <v>5592243.7999999998</v>
      </c>
      <c r="H135" s="382">
        <v>366119.2</v>
      </c>
      <c r="I135" s="382">
        <v>0</v>
      </c>
      <c r="J135" s="513">
        <v>829962.01</v>
      </c>
      <c r="K135" s="382">
        <v>374353.85</v>
      </c>
      <c r="L135" s="382">
        <v>2850028.85</v>
      </c>
      <c r="M135" s="325">
        <f t="shared" si="14"/>
        <v>27672077.900000006</v>
      </c>
      <c r="N135" s="386">
        <v>1445680.75</v>
      </c>
      <c r="O135" s="514">
        <v>24489.3</v>
      </c>
      <c r="P135" s="514">
        <v>2047366.75</v>
      </c>
      <c r="Q135" s="514">
        <v>40187.81</v>
      </c>
      <c r="R135" s="386">
        <v>1687978.45</v>
      </c>
      <c r="S135" s="371">
        <v>674856.85</v>
      </c>
      <c r="T135" s="439">
        <f t="shared" ref="T135:T198" si="15">SUM(M135:S135)</f>
        <v>33592637.810000002</v>
      </c>
      <c r="U135" s="387">
        <v>62.5</v>
      </c>
      <c r="V135" s="390">
        <f>VLOOKUP(B135,'[1]2021'!$C:$D,2,FALSE)</f>
        <v>10253</v>
      </c>
      <c r="W135" s="515">
        <v>-194991.64</v>
      </c>
      <c r="X135" s="442"/>
      <c r="Y135" s="442">
        <v>-875.77</v>
      </c>
      <c r="Z135" s="447">
        <v>1.25</v>
      </c>
      <c r="AA135" s="484">
        <v>33592637.810000002</v>
      </c>
      <c r="AB135" s="484">
        <v>-194991.64</v>
      </c>
      <c r="AC135" s="484"/>
      <c r="AD135" s="484">
        <v>-875.77</v>
      </c>
      <c r="AE135" s="526">
        <f t="shared" si="9"/>
        <v>0</v>
      </c>
      <c r="AF135" s="526">
        <f t="shared" si="10"/>
        <v>0</v>
      </c>
      <c r="AG135" s="527">
        <f t="shared" si="11"/>
        <v>0</v>
      </c>
      <c r="AH135" s="527">
        <f t="shared" si="12"/>
        <v>0</v>
      </c>
      <c r="AI135" s="489">
        <v>10253</v>
      </c>
      <c r="AJ135" s="489">
        <f t="shared" si="13"/>
        <v>0</v>
      </c>
      <c r="AK135" s="489"/>
      <c r="AL135" s="489"/>
      <c r="AM135" s="489"/>
      <c r="AN135" s="489"/>
    </row>
    <row r="136" spans="1:40" x14ac:dyDescent="0.25">
      <c r="A136" s="332">
        <v>5625</v>
      </c>
      <c r="B136" s="459" t="s">
        <v>294</v>
      </c>
      <c r="C136" s="513">
        <v>895391.1</v>
      </c>
      <c r="D136" s="513">
        <v>439861.2</v>
      </c>
      <c r="E136" s="380"/>
      <c r="F136" s="518"/>
      <c r="G136" s="382">
        <v>18869.900000000001</v>
      </c>
      <c r="H136" s="382">
        <v>-367.7</v>
      </c>
      <c r="I136" s="382">
        <v>46834.9</v>
      </c>
      <c r="J136" s="382">
        <v>8242.8799999999992</v>
      </c>
      <c r="K136" s="382">
        <v>6599</v>
      </c>
      <c r="L136" s="382">
        <v>122952.7</v>
      </c>
      <c r="M136" s="325">
        <f t="shared" si="14"/>
        <v>1538383.9799999997</v>
      </c>
      <c r="N136" s="386"/>
      <c r="O136" s="386"/>
      <c r="P136" s="514">
        <v>13690.85</v>
      </c>
      <c r="Q136" s="386">
        <v>402.12</v>
      </c>
      <c r="R136" s="386">
        <v>11553.2</v>
      </c>
      <c r="S136" s="371">
        <v>2095.6</v>
      </c>
      <c r="T136" s="439">
        <f t="shared" si="15"/>
        <v>1566125.75</v>
      </c>
      <c r="U136" s="387">
        <v>72</v>
      </c>
      <c r="V136" s="390">
        <v>412</v>
      </c>
      <c r="W136" s="515">
        <v>-450.54</v>
      </c>
      <c r="X136" s="442"/>
      <c r="Y136" s="442">
        <v>-127.35</v>
      </c>
      <c r="Z136" s="447">
        <v>1.2</v>
      </c>
      <c r="AA136" s="484">
        <v>1566125.75</v>
      </c>
      <c r="AB136" s="484">
        <v>-450.54</v>
      </c>
      <c r="AC136" s="484"/>
      <c r="AD136" s="484">
        <v>-127.35</v>
      </c>
      <c r="AE136" s="526">
        <f t="shared" ref="AE136:AE199" si="16">+T136-AA136</f>
        <v>0</v>
      </c>
      <c r="AF136" s="526">
        <f t="shared" ref="AF136:AF199" si="17">+AB136-W136</f>
        <v>0</v>
      </c>
      <c r="AG136" s="527">
        <f t="shared" ref="AG136:AG199" si="18">+AC136-X136</f>
        <v>0</v>
      </c>
      <c r="AH136" s="527">
        <f t="shared" ref="AH136:AH199" si="19">+AD136-Y136</f>
        <v>0</v>
      </c>
      <c r="AI136" s="489">
        <v>412</v>
      </c>
      <c r="AJ136" s="489">
        <f t="shared" ref="AJ136:AJ199" si="20">+AI136-V136</f>
        <v>0</v>
      </c>
      <c r="AK136" s="489"/>
      <c r="AL136" s="489"/>
      <c r="AM136" s="489"/>
      <c r="AN136" s="489"/>
    </row>
    <row r="137" spans="1:40" x14ac:dyDescent="0.25">
      <c r="A137" s="332">
        <v>5627</v>
      </c>
      <c r="B137" s="459" t="s">
        <v>248</v>
      </c>
      <c r="C137" s="382">
        <v>10612983.189999999</v>
      </c>
      <c r="D137" s="382">
        <v>880077.83</v>
      </c>
      <c r="E137" s="380"/>
      <c r="F137" s="518"/>
      <c r="G137" s="382">
        <v>1163957.8</v>
      </c>
      <c r="H137" s="382">
        <v>174066.55</v>
      </c>
      <c r="I137" s="382"/>
      <c r="J137" s="382">
        <v>842647.95</v>
      </c>
      <c r="K137" s="382">
        <v>355316.4</v>
      </c>
      <c r="L137" s="382">
        <v>1812877.8</v>
      </c>
      <c r="M137" s="325">
        <f t="shared" si="14"/>
        <v>15841927.520000001</v>
      </c>
      <c r="N137" s="386">
        <v>446341</v>
      </c>
      <c r="O137" s="386">
        <v>62654.1</v>
      </c>
      <c r="P137" s="386">
        <v>1034028.65</v>
      </c>
      <c r="Q137" s="386">
        <v>69857.63</v>
      </c>
      <c r="R137" s="386">
        <v>765142.4</v>
      </c>
      <c r="S137" s="371">
        <v>151547.48000000001</v>
      </c>
      <c r="T137" s="439">
        <f t="shared" si="15"/>
        <v>18371498.779999997</v>
      </c>
      <c r="U137" s="387">
        <v>77.5</v>
      </c>
      <c r="V137" s="390">
        <f>VLOOKUP(B137,'[1]2021'!$C:$D,2,FALSE)</f>
        <v>8767</v>
      </c>
      <c r="W137" s="436">
        <v>-417827.59</v>
      </c>
      <c r="X137" s="442"/>
      <c r="Y137" s="442">
        <v>-561.55999999999995</v>
      </c>
      <c r="Z137" s="447">
        <v>1.5</v>
      </c>
      <c r="AA137" s="484">
        <v>18371498.780000001</v>
      </c>
      <c r="AB137" s="484">
        <v>-417827.59</v>
      </c>
      <c r="AC137" s="484"/>
      <c r="AD137" s="484">
        <v>-561.55999999999995</v>
      </c>
      <c r="AE137" s="526">
        <f t="shared" si="16"/>
        <v>0</v>
      </c>
      <c r="AF137" s="526">
        <f t="shared" si="17"/>
        <v>0</v>
      </c>
      <c r="AG137" s="527">
        <f t="shared" si="18"/>
        <v>0</v>
      </c>
      <c r="AH137" s="527">
        <f t="shared" si="19"/>
        <v>0</v>
      </c>
      <c r="AI137" s="489">
        <v>8767</v>
      </c>
      <c r="AJ137" s="489">
        <f t="shared" si="20"/>
        <v>0</v>
      </c>
      <c r="AK137" s="489"/>
      <c r="AL137" s="489"/>
      <c r="AM137" s="489"/>
      <c r="AN137" s="489"/>
    </row>
    <row r="138" spans="1:40" x14ac:dyDescent="0.25">
      <c r="A138" s="332">
        <v>5628</v>
      </c>
      <c r="B138" s="459" t="s">
        <v>249</v>
      </c>
      <c r="C138" s="513">
        <v>1484669.19</v>
      </c>
      <c r="D138" s="382"/>
      <c r="E138" s="380"/>
      <c r="F138" s="518"/>
      <c r="G138" s="382">
        <v>3391.25</v>
      </c>
      <c r="H138" s="382">
        <v>1038.2</v>
      </c>
      <c r="I138" s="382"/>
      <c r="J138" s="382">
        <v>3631.2</v>
      </c>
      <c r="K138" s="382">
        <v>859.5</v>
      </c>
      <c r="L138" s="382">
        <v>106327.3</v>
      </c>
      <c r="M138" s="325">
        <f t="shared" si="14"/>
        <v>1599916.64</v>
      </c>
      <c r="N138" s="386">
        <v>2656.6</v>
      </c>
      <c r="O138" s="386"/>
      <c r="P138" s="514">
        <v>20350</v>
      </c>
      <c r="Q138" s="386"/>
      <c r="R138" s="386">
        <v>32439.95</v>
      </c>
      <c r="S138" s="371">
        <v>501.69</v>
      </c>
      <c r="T138" s="439">
        <f t="shared" si="15"/>
        <v>1655864.88</v>
      </c>
      <c r="U138" s="387">
        <v>62</v>
      </c>
      <c r="V138" s="390">
        <f>VLOOKUP(B138,'[1]2021'!$C:$D,2,FALSE)</f>
        <v>405</v>
      </c>
      <c r="W138" s="515">
        <v>-1325.01</v>
      </c>
      <c r="X138" s="442"/>
      <c r="Y138" s="442">
        <v>-57.45</v>
      </c>
      <c r="Z138" s="447">
        <v>1</v>
      </c>
      <c r="AA138" s="484">
        <v>1655864.88</v>
      </c>
      <c r="AB138" s="484">
        <v>-1325.01</v>
      </c>
      <c r="AC138" s="484"/>
      <c r="AD138" s="484">
        <v>-57.45</v>
      </c>
      <c r="AE138" s="526">
        <f t="shared" si="16"/>
        <v>0</v>
      </c>
      <c r="AF138" s="526">
        <f t="shared" si="17"/>
        <v>0</v>
      </c>
      <c r="AG138" s="527">
        <f t="shared" si="18"/>
        <v>0</v>
      </c>
      <c r="AH138" s="527">
        <f t="shared" si="19"/>
        <v>0</v>
      </c>
      <c r="AI138" s="489">
        <v>405</v>
      </c>
      <c r="AJ138" s="489">
        <f t="shared" si="20"/>
        <v>0</v>
      </c>
      <c r="AK138" s="489"/>
      <c r="AL138" s="489"/>
      <c r="AM138" s="489"/>
      <c r="AN138" s="489"/>
    </row>
    <row r="139" spans="1:40" x14ac:dyDescent="0.25">
      <c r="A139" s="332">
        <v>5629</v>
      </c>
      <c r="B139" s="459" t="s">
        <v>147</v>
      </c>
      <c r="C139" s="513">
        <v>638459.94999999995</v>
      </c>
      <c r="D139" s="513">
        <v>55965.06</v>
      </c>
      <c r="E139" s="380"/>
      <c r="F139" s="518"/>
      <c r="G139" s="382">
        <v>2387.1999999999998</v>
      </c>
      <c r="H139" s="382">
        <v>249.1</v>
      </c>
      <c r="I139" s="382"/>
      <c r="J139" s="382">
        <v>1562.05</v>
      </c>
      <c r="K139" s="382">
        <v>334.05</v>
      </c>
      <c r="L139" s="382">
        <v>36930.25</v>
      </c>
      <c r="M139" s="325">
        <f t="shared" si="14"/>
        <v>735887.66</v>
      </c>
      <c r="N139" s="386"/>
      <c r="O139" s="386"/>
      <c r="P139" s="386">
        <v>12450.85</v>
      </c>
      <c r="Q139" s="386">
        <v>120.52</v>
      </c>
      <c r="R139" s="386">
        <v>14621.2</v>
      </c>
      <c r="S139" s="371">
        <v>298.58999999999997</v>
      </c>
      <c r="T139" s="439">
        <f t="shared" si="15"/>
        <v>763378.82</v>
      </c>
      <c r="U139" s="387">
        <v>73.5</v>
      </c>
      <c r="V139" s="390">
        <f>VLOOKUP(B139,'[1]2021'!$C:$D,2,FALSE)</f>
        <v>211</v>
      </c>
      <c r="W139" s="436">
        <v>-5124.25</v>
      </c>
      <c r="X139" s="442"/>
      <c r="Y139" s="442">
        <v>0</v>
      </c>
      <c r="Z139" s="447">
        <v>1</v>
      </c>
      <c r="AA139" s="484">
        <v>763378.82</v>
      </c>
      <c r="AB139" s="484">
        <v>-5124.25</v>
      </c>
      <c r="AC139" s="484"/>
      <c r="AD139" s="484">
        <v>0</v>
      </c>
      <c r="AE139" s="526">
        <f t="shared" si="16"/>
        <v>0</v>
      </c>
      <c r="AF139" s="526">
        <f t="shared" si="17"/>
        <v>0</v>
      </c>
      <c r="AG139" s="527">
        <f t="shared" si="18"/>
        <v>0</v>
      </c>
      <c r="AH139" s="527">
        <f t="shared" si="19"/>
        <v>0</v>
      </c>
      <c r="AI139" s="489">
        <v>211</v>
      </c>
      <c r="AJ139" s="489">
        <f t="shared" si="20"/>
        <v>0</v>
      </c>
      <c r="AK139" s="489"/>
      <c r="AL139" s="489"/>
      <c r="AM139" s="489"/>
      <c r="AN139" s="489"/>
    </row>
    <row r="140" spans="1:40" x14ac:dyDescent="0.25">
      <c r="A140" s="332">
        <v>5631</v>
      </c>
      <c r="B140" s="459" t="s">
        <v>148</v>
      </c>
      <c r="C140" s="382">
        <v>2037104.95</v>
      </c>
      <c r="D140" s="382">
        <v>456220.73</v>
      </c>
      <c r="E140" s="380"/>
      <c r="F140" s="518"/>
      <c r="G140" s="382">
        <v>4302</v>
      </c>
      <c r="H140" s="382">
        <v>3275.45</v>
      </c>
      <c r="I140" s="382">
        <v>187945.55</v>
      </c>
      <c r="J140" s="382">
        <v>48989.72</v>
      </c>
      <c r="K140" s="382">
        <v>2815.65</v>
      </c>
      <c r="L140" s="513">
        <v>212575.75</v>
      </c>
      <c r="M140" s="325">
        <f t="shared" si="14"/>
        <v>2953229.8</v>
      </c>
      <c r="N140" s="386">
        <v>1887.85</v>
      </c>
      <c r="O140" s="386">
        <v>131406</v>
      </c>
      <c r="P140" s="386">
        <v>260616.4</v>
      </c>
      <c r="Q140" s="386">
        <v>994.86</v>
      </c>
      <c r="R140" s="386">
        <v>147694.75</v>
      </c>
      <c r="S140" s="371">
        <v>858.24</v>
      </c>
      <c r="T140" s="439">
        <f t="shared" si="15"/>
        <v>3496687.9</v>
      </c>
      <c r="U140" s="387">
        <v>68</v>
      </c>
      <c r="V140" s="390">
        <f>VLOOKUP(B140,'[1]2021'!$C:$D,2,FALSE)</f>
        <v>733</v>
      </c>
      <c r="W140" s="436">
        <v>-8475.25</v>
      </c>
      <c r="X140" s="442"/>
      <c r="Y140" s="442">
        <v>-2872.06</v>
      </c>
      <c r="Z140" s="447">
        <v>1</v>
      </c>
      <c r="AA140" s="484">
        <v>3496687.9</v>
      </c>
      <c r="AB140" s="484">
        <v>-8475.25</v>
      </c>
      <c r="AC140" s="484"/>
      <c r="AD140" s="484">
        <v>-2872.06</v>
      </c>
      <c r="AE140" s="526">
        <f t="shared" si="16"/>
        <v>0</v>
      </c>
      <c r="AF140" s="526">
        <f t="shared" si="17"/>
        <v>0</v>
      </c>
      <c r="AG140" s="527">
        <f t="shared" si="18"/>
        <v>0</v>
      </c>
      <c r="AH140" s="527">
        <f t="shared" si="19"/>
        <v>0</v>
      </c>
      <c r="AI140" s="489">
        <v>733</v>
      </c>
      <c r="AJ140" s="489">
        <f t="shared" si="20"/>
        <v>0</v>
      </c>
      <c r="AK140" s="489"/>
      <c r="AL140" s="489"/>
      <c r="AM140" s="489"/>
      <c r="AN140" s="489"/>
    </row>
    <row r="141" spans="1:40" x14ac:dyDescent="0.25">
      <c r="A141" s="332">
        <v>5632</v>
      </c>
      <c r="B141" s="459" t="s">
        <v>149</v>
      </c>
      <c r="C141" s="382">
        <v>3463767.35</v>
      </c>
      <c r="D141" s="382">
        <v>607867.53</v>
      </c>
      <c r="E141" s="380"/>
      <c r="F141" s="518"/>
      <c r="G141" s="513">
        <v>296978.8</v>
      </c>
      <c r="H141" s="382">
        <v>5267.85</v>
      </c>
      <c r="I141" s="382"/>
      <c r="J141" s="382">
        <v>210065.67</v>
      </c>
      <c r="K141" s="382">
        <v>51013.1</v>
      </c>
      <c r="L141" s="382">
        <v>370904.4</v>
      </c>
      <c r="M141" s="325">
        <f t="shared" si="14"/>
        <v>5005864.6999999993</v>
      </c>
      <c r="N141" s="386">
        <v>105185.35</v>
      </c>
      <c r="O141" s="386">
        <v>127197.5</v>
      </c>
      <c r="P141" s="386">
        <v>170829.35</v>
      </c>
      <c r="Q141" s="386">
        <v>3743.49</v>
      </c>
      <c r="R141" s="386">
        <v>115364.9</v>
      </c>
      <c r="S141" s="371">
        <v>33859.160000000003</v>
      </c>
      <c r="T141" s="439">
        <f t="shared" si="15"/>
        <v>5562044.4499999993</v>
      </c>
      <c r="U141" s="387">
        <v>62</v>
      </c>
      <c r="V141" s="390">
        <f>VLOOKUP(B141,'[1]2021'!$C:$D,2,FALSE)</f>
        <v>1744</v>
      </c>
      <c r="W141" s="436">
        <v>-49186.16</v>
      </c>
      <c r="X141" s="442"/>
      <c r="Y141" s="442">
        <v>-1965.9</v>
      </c>
      <c r="Z141" s="447">
        <v>1</v>
      </c>
      <c r="AA141" s="484">
        <v>5562044.4500000002</v>
      </c>
      <c r="AB141" s="484">
        <v>-49186.16</v>
      </c>
      <c r="AC141" s="484"/>
      <c r="AD141" s="484">
        <v>-1965.9</v>
      </c>
      <c r="AE141" s="526">
        <f t="shared" si="16"/>
        <v>0</v>
      </c>
      <c r="AF141" s="526">
        <f t="shared" si="17"/>
        <v>0</v>
      </c>
      <c r="AG141" s="527">
        <f t="shared" si="18"/>
        <v>0</v>
      </c>
      <c r="AH141" s="527">
        <f t="shared" si="19"/>
        <v>0</v>
      </c>
      <c r="AI141" s="489">
        <v>1744</v>
      </c>
      <c r="AJ141" s="489">
        <f t="shared" si="20"/>
        <v>0</v>
      </c>
      <c r="AK141" s="489"/>
      <c r="AL141" s="489"/>
      <c r="AM141" s="489"/>
      <c r="AN141" s="489"/>
    </row>
    <row r="142" spans="1:40" x14ac:dyDescent="0.25">
      <c r="A142" s="332">
        <v>5633</v>
      </c>
      <c r="B142" s="459" t="s">
        <v>150</v>
      </c>
      <c r="C142" s="513">
        <v>6930522.7400000002</v>
      </c>
      <c r="D142" s="513">
        <v>2121180.62</v>
      </c>
      <c r="E142" s="380"/>
      <c r="F142" s="518"/>
      <c r="G142" s="382">
        <v>379135.8</v>
      </c>
      <c r="H142" s="382">
        <v>72540.95</v>
      </c>
      <c r="I142" s="382"/>
      <c r="J142" s="382">
        <v>111804.69</v>
      </c>
      <c r="K142" s="382">
        <v>35892.25</v>
      </c>
      <c r="L142" s="382">
        <v>671730.3</v>
      </c>
      <c r="M142" s="325">
        <f t="shared" si="14"/>
        <v>10322807.35</v>
      </c>
      <c r="N142" s="386">
        <v>127028.65</v>
      </c>
      <c r="O142" s="514">
        <v>41597.1</v>
      </c>
      <c r="P142" s="514">
        <v>340604.65</v>
      </c>
      <c r="Q142" s="386">
        <v>50546.16</v>
      </c>
      <c r="R142" s="386">
        <v>191341.2</v>
      </c>
      <c r="S142" s="371">
        <v>51157.87</v>
      </c>
      <c r="T142" s="439">
        <f t="shared" si="15"/>
        <v>11125082.979999999</v>
      </c>
      <c r="U142" s="387">
        <v>60.5</v>
      </c>
      <c r="V142" s="390">
        <f>VLOOKUP(B142,'[1]2021'!$C:$D,2,FALSE)</f>
        <v>2775</v>
      </c>
      <c r="W142" s="515">
        <v>-118109.33</v>
      </c>
      <c r="X142" s="442"/>
      <c r="Y142" s="442">
        <v>-4028.35</v>
      </c>
      <c r="Z142" s="447">
        <v>1</v>
      </c>
      <c r="AA142" s="484">
        <v>11125082.98</v>
      </c>
      <c r="AB142" s="484">
        <v>-118109.33</v>
      </c>
      <c r="AC142" s="484"/>
      <c r="AD142" s="484">
        <v>-4028.35</v>
      </c>
      <c r="AE142" s="526">
        <f t="shared" si="16"/>
        <v>0</v>
      </c>
      <c r="AF142" s="526">
        <f t="shared" si="17"/>
        <v>0</v>
      </c>
      <c r="AG142" s="527">
        <f t="shared" si="18"/>
        <v>0</v>
      </c>
      <c r="AH142" s="527">
        <f t="shared" si="19"/>
        <v>0</v>
      </c>
      <c r="AI142" s="489">
        <v>2775</v>
      </c>
      <c r="AJ142" s="489">
        <f t="shared" si="20"/>
        <v>0</v>
      </c>
      <c r="AK142" s="489"/>
      <c r="AL142" s="489"/>
      <c r="AM142" s="489"/>
      <c r="AN142" s="489"/>
    </row>
    <row r="143" spans="1:40" x14ac:dyDescent="0.25">
      <c r="A143" s="332">
        <v>5634</v>
      </c>
      <c r="B143" s="459" t="s">
        <v>151</v>
      </c>
      <c r="C143" s="513">
        <v>7528458.5700000003</v>
      </c>
      <c r="D143" s="382">
        <v>1462902.08</v>
      </c>
      <c r="E143" s="380"/>
      <c r="F143" s="518"/>
      <c r="G143" s="382">
        <v>143052.6</v>
      </c>
      <c r="H143" s="382">
        <v>11341.7</v>
      </c>
      <c r="I143" s="382">
        <v>67961.05</v>
      </c>
      <c r="J143" s="382">
        <v>96837.51</v>
      </c>
      <c r="K143" s="382">
        <v>28641.9</v>
      </c>
      <c r="L143" s="382">
        <v>731624</v>
      </c>
      <c r="M143" s="325">
        <f t="shared" si="14"/>
        <v>10070819.41</v>
      </c>
      <c r="N143" s="386">
        <v>49103.199999999997</v>
      </c>
      <c r="O143" s="386">
        <v>194459</v>
      </c>
      <c r="P143" s="386">
        <v>576328.75</v>
      </c>
      <c r="Q143" s="386">
        <v>7269.84</v>
      </c>
      <c r="R143" s="386">
        <v>282681</v>
      </c>
      <c r="S143" s="371">
        <v>17487.03</v>
      </c>
      <c r="T143" s="439">
        <f t="shared" si="15"/>
        <v>11198148.229999999</v>
      </c>
      <c r="U143" s="387">
        <v>66</v>
      </c>
      <c r="V143" s="390">
        <f>VLOOKUP(B143,'[1]2021'!$C:$D,2,FALSE)</f>
        <v>3142</v>
      </c>
      <c r="W143" s="436">
        <v>-17917.09</v>
      </c>
      <c r="X143" s="442"/>
      <c r="Y143" s="442">
        <v>-8112.3</v>
      </c>
      <c r="Z143" s="447">
        <v>1</v>
      </c>
      <c r="AA143" s="484">
        <v>11198148.23</v>
      </c>
      <c r="AB143" s="484">
        <v>-17917.09</v>
      </c>
      <c r="AC143" s="484"/>
      <c r="AD143" s="484">
        <v>-8112.3</v>
      </c>
      <c r="AE143" s="526">
        <f t="shared" si="16"/>
        <v>0</v>
      </c>
      <c r="AF143" s="526">
        <f t="shared" si="17"/>
        <v>0</v>
      </c>
      <c r="AG143" s="527">
        <f t="shared" si="18"/>
        <v>0</v>
      </c>
      <c r="AH143" s="527">
        <f t="shared" si="19"/>
        <v>0</v>
      </c>
      <c r="AI143" s="489">
        <v>3142</v>
      </c>
      <c r="AJ143" s="489">
        <f t="shared" si="20"/>
        <v>0</v>
      </c>
      <c r="AK143" s="489"/>
      <c r="AL143" s="489"/>
      <c r="AM143" s="489"/>
      <c r="AN143" s="489"/>
    </row>
    <row r="144" spans="1:40" x14ac:dyDescent="0.25">
      <c r="A144" s="332">
        <v>5635</v>
      </c>
      <c r="B144" s="459" t="s">
        <v>152</v>
      </c>
      <c r="C144" s="513">
        <v>17896434.280000001</v>
      </c>
      <c r="D144" s="382">
        <v>2526407.54</v>
      </c>
      <c r="E144" s="380"/>
      <c r="F144" s="518"/>
      <c r="G144" s="382">
        <v>26130287.600000001</v>
      </c>
      <c r="H144" s="382">
        <v>958844.25</v>
      </c>
      <c r="I144" s="382"/>
      <c r="J144" s="382">
        <v>1224895.53</v>
      </c>
      <c r="K144" s="382">
        <v>330560.59999999998</v>
      </c>
      <c r="L144" s="382">
        <v>3260267.95</v>
      </c>
      <c r="M144" s="325">
        <f t="shared" si="14"/>
        <v>52327697.750000007</v>
      </c>
      <c r="N144" s="386">
        <v>1875328.15</v>
      </c>
      <c r="O144" s="386">
        <v>629100.5</v>
      </c>
      <c r="P144" s="386">
        <v>1817345.3</v>
      </c>
      <c r="Q144" s="386">
        <v>89322.18</v>
      </c>
      <c r="R144" s="386">
        <v>657972.1</v>
      </c>
      <c r="S144" s="371">
        <v>3068172.63</v>
      </c>
      <c r="T144" s="439">
        <f t="shared" si="15"/>
        <v>60464938.610000007</v>
      </c>
      <c r="U144" s="387">
        <v>62.5</v>
      </c>
      <c r="V144" s="390">
        <f>VLOOKUP(B144,'[1]2021'!$C:$D,2,FALSE)</f>
        <v>13214</v>
      </c>
      <c r="W144" s="436">
        <v>-398566.14</v>
      </c>
      <c r="X144" s="442"/>
      <c r="Y144" s="442">
        <v>-20305.93</v>
      </c>
      <c r="Z144" s="447">
        <v>1.2</v>
      </c>
      <c r="AA144" s="484">
        <v>60464938.609999999</v>
      </c>
      <c r="AB144" s="484">
        <v>-398566.14</v>
      </c>
      <c r="AC144" s="484"/>
      <c r="AD144" s="484">
        <v>-20305.93</v>
      </c>
      <c r="AE144" s="526">
        <f t="shared" si="16"/>
        <v>0</v>
      </c>
      <c r="AF144" s="526">
        <f t="shared" si="17"/>
        <v>0</v>
      </c>
      <c r="AG144" s="527">
        <f t="shared" si="18"/>
        <v>0</v>
      </c>
      <c r="AH144" s="527">
        <f t="shared" si="19"/>
        <v>0</v>
      </c>
      <c r="AI144" s="489">
        <v>13214</v>
      </c>
      <c r="AJ144" s="489">
        <f t="shared" si="20"/>
        <v>0</v>
      </c>
      <c r="AK144" s="489"/>
      <c r="AL144" s="489"/>
      <c r="AM144" s="489"/>
      <c r="AN144" s="489"/>
    </row>
    <row r="145" spans="1:93" x14ac:dyDescent="0.25">
      <c r="A145" s="332">
        <v>5636</v>
      </c>
      <c r="B145" s="459" t="s">
        <v>153</v>
      </c>
      <c r="C145" s="382">
        <v>5762810.8200000003</v>
      </c>
      <c r="D145" s="382">
        <v>1237426.54</v>
      </c>
      <c r="E145" s="380"/>
      <c r="F145" s="518"/>
      <c r="G145" s="382">
        <v>1782065.45</v>
      </c>
      <c r="H145" s="382">
        <v>357017</v>
      </c>
      <c r="I145" s="382">
        <v>1173.25</v>
      </c>
      <c r="J145" s="382">
        <v>473653.92</v>
      </c>
      <c r="K145" s="382">
        <v>259740.79999999999</v>
      </c>
      <c r="L145" s="382">
        <v>1187161</v>
      </c>
      <c r="M145" s="325">
        <f t="shared" si="14"/>
        <v>11061048.780000001</v>
      </c>
      <c r="N145" s="386">
        <v>570633.05000000005</v>
      </c>
      <c r="O145" s="386">
        <v>372820.6</v>
      </c>
      <c r="P145" s="386">
        <v>1116343.6499999999</v>
      </c>
      <c r="Q145" s="386">
        <v>6392.63</v>
      </c>
      <c r="R145" s="386">
        <v>388089.35</v>
      </c>
      <c r="S145" s="371">
        <v>242277.02</v>
      </c>
      <c r="T145" s="439">
        <f t="shared" si="15"/>
        <v>13757605.080000002</v>
      </c>
      <c r="U145" s="387">
        <v>60</v>
      </c>
      <c r="V145" s="390">
        <f>VLOOKUP(B145,'[1]2021'!$C:$D,2,FALSE)</f>
        <v>2918</v>
      </c>
      <c r="W145" s="436">
        <v>-82175.960000000006</v>
      </c>
      <c r="X145" s="442"/>
      <c r="Y145" s="442">
        <v>-3730.07</v>
      </c>
      <c r="Z145" s="447">
        <v>1</v>
      </c>
      <c r="AA145" s="484">
        <v>13757605.08</v>
      </c>
      <c r="AB145" s="484">
        <v>-82175.960000000006</v>
      </c>
      <c r="AC145" s="484"/>
      <c r="AD145" s="484">
        <v>-3730.07</v>
      </c>
      <c r="AE145" s="526">
        <f t="shared" si="16"/>
        <v>0</v>
      </c>
      <c r="AF145" s="526">
        <f t="shared" si="17"/>
        <v>0</v>
      </c>
      <c r="AG145" s="527">
        <f t="shared" si="18"/>
        <v>0</v>
      </c>
      <c r="AH145" s="527">
        <f t="shared" si="19"/>
        <v>0</v>
      </c>
      <c r="AI145" s="489">
        <v>2918</v>
      </c>
      <c r="AJ145" s="489">
        <f t="shared" si="20"/>
        <v>0</v>
      </c>
      <c r="AK145" s="489"/>
      <c r="AL145" s="489"/>
      <c r="AM145" s="489"/>
      <c r="AN145" s="489"/>
    </row>
    <row r="146" spans="1:93" x14ac:dyDescent="0.25">
      <c r="A146" s="332">
        <v>5637</v>
      </c>
      <c r="B146" s="459" t="s">
        <v>154</v>
      </c>
      <c r="C146" s="382">
        <v>2289600.81</v>
      </c>
      <c r="D146" s="382">
        <v>248714.3</v>
      </c>
      <c r="E146" s="380"/>
      <c r="F146" s="518"/>
      <c r="G146" s="382">
        <v>32038.15</v>
      </c>
      <c r="H146" s="382">
        <v>1936.55</v>
      </c>
      <c r="I146" s="382"/>
      <c r="J146" s="382">
        <v>2127.4499999999998</v>
      </c>
      <c r="K146" s="382">
        <v>8991.35</v>
      </c>
      <c r="L146" s="382">
        <v>293854.5</v>
      </c>
      <c r="M146" s="325">
        <f t="shared" si="14"/>
        <v>2877263.11</v>
      </c>
      <c r="N146" s="386">
        <v>231727.1</v>
      </c>
      <c r="O146" s="386"/>
      <c r="P146" s="386">
        <v>194767.4</v>
      </c>
      <c r="Q146" s="386"/>
      <c r="R146" s="386">
        <v>153664.9</v>
      </c>
      <c r="S146" s="371">
        <v>3848.05</v>
      </c>
      <c r="T146" s="439">
        <f t="shared" si="15"/>
        <v>3461270.5599999996</v>
      </c>
      <c r="U146" s="387">
        <v>73</v>
      </c>
      <c r="V146" s="390">
        <f>VLOOKUP(B146,'[1]2021'!$C:$D,2,FALSE)</f>
        <v>1026</v>
      </c>
      <c r="W146" s="436">
        <v>-14815.91</v>
      </c>
      <c r="X146" s="442"/>
      <c r="Y146" s="442">
        <v>-1570.94</v>
      </c>
      <c r="Z146" s="447">
        <v>1.5</v>
      </c>
      <c r="AA146" s="484">
        <v>3461270.56</v>
      </c>
      <c r="AB146" s="484">
        <v>-14815.91</v>
      </c>
      <c r="AC146" s="484"/>
      <c r="AD146" s="484">
        <v>-1570.94</v>
      </c>
      <c r="AE146" s="526">
        <f t="shared" si="16"/>
        <v>0</v>
      </c>
      <c r="AF146" s="526">
        <f t="shared" si="17"/>
        <v>0</v>
      </c>
      <c r="AG146" s="527">
        <f t="shared" si="18"/>
        <v>0</v>
      </c>
      <c r="AH146" s="527">
        <f t="shared" si="19"/>
        <v>0</v>
      </c>
      <c r="AI146" s="489">
        <v>1026</v>
      </c>
      <c r="AJ146" s="489">
        <f t="shared" si="20"/>
        <v>0</v>
      </c>
      <c r="AK146" s="489"/>
      <c r="AL146" s="489"/>
      <c r="AM146" s="489"/>
      <c r="AN146" s="489"/>
    </row>
    <row r="147" spans="1:93" x14ac:dyDescent="0.25">
      <c r="A147" s="332">
        <v>5638</v>
      </c>
      <c r="B147" s="459" t="s">
        <v>155</v>
      </c>
      <c r="C147" s="513">
        <v>6064624.2599999998</v>
      </c>
      <c r="D147" s="382">
        <v>1514883.64</v>
      </c>
      <c r="E147" s="380"/>
      <c r="F147" s="518"/>
      <c r="G147" s="382">
        <v>660532.25</v>
      </c>
      <c r="H147" s="382">
        <v>80811.600000000006</v>
      </c>
      <c r="I147" s="382">
        <v>248392.75</v>
      </c>
      <c r="J147" s="382">
        <v>173538.12</v>
      </c>
      <c r="K147" s="382">
        <v>66248.100000000006</v>
      </c>
      <c r="L147" s="382">
        <v>674324.6</v>
      </c>
      <c r="M147" s="325">
        <f t="shared" si="14"/>
        <v>9483355.3199999984</v>
      </c>
      <c r="N147" s="386">
        <v>319329.59999999998</v>
      </c>
      <c r="O147" s="386">
        <v>7497652.7999999998</v>
      </c>
      <c r="P147" s="386">
        <v>464147</v>
      </c>
      <c r="Q147" s="386">
        <v>46639.73</v>
      </c>
      <c r="R147" s="386">
        <v>296329.65000000002</v>
      </c>
      <c r="S147" s="371">
        <v>83966.18</v>
      </c>
      <c r="T147" s="439">
        <f t="shared" si="15"/>
        <v>18191420.279999997</v>
      </c>
      <c r="U147" s="387">
        <v>55</v>
      </c>
      <c r="V147" s="390">
        <f>VLOOKUP(B147,'[1]2021'!$C:$D,2,FALSE)</f>
        <v>2751</v>
      </c>
      <c r="W147" s="436">
        <v>-26311.53</v>
      </c>
      <c r="X147" s="442"/>
      <c r="Y147" s="442">
        <v>-9128.07</v>
      </c>
      <c r="Z147" s="447">
        <v>1</v>
      </c>
      <c r="AA147" s="484">
        <v>18191420.280000001</v>
      </c>
      <c r="AB147" s="484">
        <v>-26311.53</v>
      </c>
      <c r="AC147" s="484"/>
      <c r="AD147" s="484">
        <v>-9128.07</v>
      </c>
      <c r="AE147" s="526">
        <f t="shared" si="16"/>
        <v>0</v>
      </c>
      <c r="AF147" s="526">
        <f t="shared" si="17"/>
        <v>0</v>
      </c>
      <c r="AG147" s="527">
        <f t="shared" si="18"/>
        <v>0</v>
      </c>
      <c r="AH147" s="527">
        <f t="shared" si="19"/>
        <v>0</v>
      </c>
      <c r="AI147" s="489">
        <v>2751</v>
      </c>
      <c r="AJ147" s="489">
        <f t="shared" si="20"/>
        <v>0</v>
      </c>
      <c r="AK147" s="489"/>
      <c r="AL147" s="489"/>
      <c r="AM147" s="489"/>
      <c r="AN147" s="489"/>
    </row>
    <row r="148" spans="1:93" x14ac:dyDescent="0.25">
      <c r="A148" s="332">
        <v>5639</v>
      </c>
      <c r="B148" s="459" t="s">
        <v>156</v>
      </c>
      <c r="C148" s="513">
        <v>2355928.21</v>
      </c>
      <c r="D148" s="513">
        <v>611177</v>
      </c>
      <c r="E148" s="380"/>
      <c r="F148" s="518"/>
      <c r="G148" s="382">
        <v>78897.149999999994</v>
      </c>
      <c r="H148" s="382">
        <v>8852.5499999999993</v>
      </c>
      <c r="I148" s="382"/>
      <c r="J148" s="382">
        <v>8717.4699999999993</v>
      </c>
      <c r="K148" s="382">
        <v>-2986.65</v>
      </c>
      <c r="L148" s="382">
        <v>262499.40000000002</v>
      </c>
      <c r="M148" s="325">
        <f t="shared" si="14"/>
        <v>3323085.13</v>
      </c>
      <c r="N148" s="386">
        <v>20293.95</v>
      </c>
      <c r="O148" s="514">
        <v>3958.3</v>
      </c>
      <c r="P148" s="514">
        <v>115570.05</v>
      </c>
      <c r="Q148" s="514">
        <v>100</v>
      </c>
      <c r="R148" s="386">
        <v>61535.75</v>
      </c>
      <c r="S148" s="371">
        <v>9938.7199999999993</v>
      </c>
      <c r="T148" s="439">
        <f t="shared" si="15"/>
        <v>3534481.9</v>
      </c>
      <c r="U148" s="387">
        <v>61</v>
      </c>
      <c r="V148" s="390">
        <f>VLOOKUP(B148,'[1]2021'!$C:$D,2,FALSE)</f>
        <v>828</v>
      </c>
      <c r="W148" s="515">
        <v>-3113.34</v>
      </c>
      <c r="X148" s="442"/>
      <c r="Y148" s="442">
        <v>-1123.2</v>
      </c>
      <c r="Z148" s="447">
        <v>1.25</v>
      </c>
      <c r="AA148" s="484">
        <v>3534481.9</v>
      </c>
      <c r="AB148" s="484">
        <v>-3113.34</v>
      </c>
      <c r="AC148" s="484"/>
      <c r="AD148" s="484">
        <v>-1123.2</v>
      </c>
      <c r="AE148" s="526">
        <f t="shared" si="16"/>
        <v>0</v>
      </c>
      <c r="AF148" s="526">
        <f t="shared" si="17"/>
        <v>0</v>
      </c>
      <c r="AG148" s="527">
        <f t="shared" si="18"/>
        <v>0</v>
      </c>
      <c r="AH148" s="527">
        <f t="shared" si="19"/>
        <v>0</v>
      </c>
      <c r="AI148" s="489">
        <v>828</v>
      </c>
      <c r="AJ148" s="489">
        <f t="shared" si="20"/>
        <v>0</v>
      </c>
      <c r="AK148" s="489"/>
      <c r="AL148" s="489"/>
      <c r="AM148" s="489"/>
      <c r="AN148" s="489"/>
    </row>
    <row r="149" spans="1:93" x14ac:dyDescent="0.25">
      <c r="A149" s="332">
        <v>5640</v>
      </c>
      <c r="B149" s="459" t="s">
        <v>157</v>
      </c>
      <c r="C149" s="382">
        <v>3165169.86</v>
      </c>
      <c r="D149" s="382">
        <v>1031777.18</v>
      </c>
      <c r="E149" s="380"/>
      <c r="F149" s="518"/>
      <c r="G149" s="382">
        <v>41257.75</v>
      </c>
      <c r="H149" s="382">
        <v>10122.700000000001</v>
      </c>
      <c r="I149" s="382">
        <v>91375.2</v>
      </c>
      <c r="J149" s="382">
        <v>3882.25</v>
      </c>
      <c r="K149" s="382">
        <v>10428.75</v>
      </c>
      <c r="L149" s="382">
        <v>215657.65</v>
      </c>
      <c r="M149" s="325">
        <f t="shared" si="14"/>
        <v>4569671.3400000008</v>
      </c>
      <c r="N149" s="386">
        <v>20984.3</v>
      </c>
      <c r="O149" s="386">
        <v>309842.59999999998</v>
      </c>
      <c r="P149" s="386">
        <v>263911.8</v>
      </c>
      <c r="Q149" s="386">
        <v>2635.17</v>
      </c>
      <c r="R149" s="386">
        <v>163436</v>
      </c>
      <c r="S149" s="371">
        <v>5819.46</v>
      </c>
      <c r="T149" s="439">
        <f t="shared" si="15"/>
        <v>5336300.67</v>
      </c>
      <c r="U149" s="387">
        <v>64.5</v>
      </c>
      <c r="V149" s="390">
        <f>VLOOKUP(B149,'[1]2021'!$C:$D,2,FALSE)</f>
        <v>740</v>
      </c>
      <c r="W149" s="436">
        <v>-4482.5200000000004</v>
      </c>
      <c r="X149" s="442"/>
      <c r="Y149" s="442">
        <v>-24599.439999999999</v>
      </c>
      <c r="Z149" s="447">
        <v>1</v>
      </c>
      <c r="AA149" s="484">
        <v>5336300.67</v>
      </c>
      <c r="AB149" s="484">
        <v>-4482.5200000000004</v>
      </c>
      <c r="AC149" s="484"/>
      <c r="AD149" s="484">
        <v>-24599.439999999999</v>
      </c>
      <c r="AE149" s="526">
        <f t="shared" si="16"/>
        <v>0</v>
      </c>
      <c r="AF149" s="526">
        <f t="shared" si="17"/>
        <v>0</v>
      </c>
      <c r="AG149" s="527">
        <f t="shared" si="18"/>
        <v>0</v>
      </c>
      <c r="AH149" s="527">
        <f t="shared" si="19"/>
        <v>0</v>
      </c>
      <c r="AI149" s="489">
        <v>740</v>
      </c>
      <c r="AJ149" s="489">
        <f t="shared" si="20"/>
        <v>0</v>
      </c>
      <c r="AK149" s="489"/>
      <c r="AL149" s="489"/>
      <c r="AM149" s="489"/>
      <c r="AN149" s="489"/>
    </row>
    <row r="150" spans="1:93" x14ac:dyDescent="0.25">
      <c r="A150" s="332">
        <v>5642</v>
      </c>
      <c r="B150" s="459" t="s">
        <v>158</v>
      </c>
      <c r="C150" s="513">
        <v>36138678.350000001</v>
      </c>
      <c r="D150" s="382">
        <v>5889287.7199999997</v>
      </c>
      <c r="E150" s="380"/>
      <c r="F150" s="518"/>
      <c r="G150" s="513">
        <v>18857158.550000001</v>
      </c>
      <c r="H150" s="382">
        <v>524718.6</v>
      </c>
      <c r="I150" s="513">
        <v>-886329.76</v>
      </c>
      <c r="J150" s="382">
        <v>2165278.56</v>
      </c>
      <c r="K150" s="382">
        <v>524306.9</v>
      </c>
      <c r="L150" s="382">
        <v>3380590.7</v>
      </c>
      <c r="M150" s="325">
        <f t="shared" si="14"/>
        <v>66593689.620000012</v>
      </c>
      <c r="N150" s="386">
        <v>1327116.8999999999</v>
      </c>
      <c r="O150" s="386">
        <v>2837589.9</v>
      </c>
      <c r="P150" s="386">
        <v>1295627.5</v>
      </c>
      <c r="Q150" s="386">
        <v>51028.26</v>
      </c>
      <c r="R150" s="386">
        <v>1325952.5</v>
      </c>
      <c r="S150" s="371">
        <v>970411.44</v>
      </c>
      <c r="T150" s="439">
        <f t="shared" si="15"/>
        <v>74401416.12000002</v>
      </c>
      <c r="U150" s="387">
        <v>67</v>
      </c>
      <c r="V150" s="390">
        <f>VLOOKUP(B150,'[1]2021'!$C:$D,2,FALSE)</f>
        <v>16885</v>
      </c>
      <c r="W150" s="436">
        <v>-539005.03</v>
      </c>
      <c r="X150" s="442"/>
      <c r="Y150" s="442">
        <v>-94427.27</v>
      </c>
      <c r="Z150" s="447">
        <v>1</v>
      </c>
      <c r="AA150" s="484">
        <v>74401416.120000005</v>
      </c>
      <c r="AB150" s="484">
        <v>-539005.03</v>
      </c>
      <c r="AC150" s="484"/>
      <c r="AD150" s="484">
        <v>-94427.27</v>
      </c>
      <c r="AE150" s="526">
        <f t="shared" si="16"/>
        <v>0</v>
      </c>
      <c r="AF150" s="526">
        <f t="shared" si="17"/>
        <v>0</v>
      </c>
      <c r="AG150" s="527">
        <f t="shared" si="18"/>
        <v>0</v>
      </c>
      <c r="AH150" s="527">
        <f t="shared" si="19"/>
        <v>0</v>
      </c>
      <c r="AI150" s="489">
        <v>16885</v>
      </c>
      <c r="AJ150" s="489">
        <f t="shared" si="20"/>
        <v>0</v>
      </c>
      <c r="AK150" s="489"/>
      <c r="AL150" s="489"/>
      <c r="AM150" s="489"/>
      <c r="AN150" s="489"/>
    </row>
    <row r="151" spans="1:93" x14ac:dyDescent="0.25">
      <c r="A151" s="332">
        <v>5643</v>
      </c>
      <c r="B151" s="459" t="s">
        <v>159</v>
      </c>
      <c r="C151" s="513">
        <v>11401422.15</v>
      </c>
      <c r="D151" s="382">
        <v>2328590.2999999998</v>
      </c>
      <c r="E151" s="380"/>
      <c r="F151" s="518"/>
      <c r="G151" s="382">
        <v>468385.8</v>
      </c>
      <c r="H151" s="382">
        <v>121536</v>
      </c>
      <c r="I151" s="382">
        <v>365406.59</v>
      </c>
      <c r="J151" s="382">
        <v>196489.56</v>
      </c>
      <c r="K151" s="382">
        <v>130915.1</v>
      </c>
      <c r="L151" s="382">
        <v>1138350.72</v>
      </c>
      <c r="M151" s="325">
        <f t="shared" si="14"/>
        <v>16151096.220000001</v>
      </c>
      <c r="N151" s="386">
        <v>200612.9</v>
      </c>
      <c r="O151" s="386">
        <v>-50459</v>
      </c>
      <c r="P151" s="386">
        <v>454440.25</v>
      </c>
      <c r="Q151" s="386">
        <v>70180.77</v>
      </c>
      <c r="R151" s="386">
        <v>477859.3</v>
      </c>
      <c r="S151" s="371">
        <v>66815.8</v>
      </c>
      <c r="T151" s="439">
        <f t="shared" si="15"/>
        <v>17370546.240000002</v>
      </c>
      <c r="U151" s="387">
        <v>62.5</v>
      </c>
      <c r="V151" s="390">
        <f>VLOOKUP(B151,'[1]2021'!$C:$D,2,FALSE)</f>
        <v>5208</v>
      </c>
      <c r="W151" s="436">
        <v>-160578.53</v>
      </c>
      <c r="X151" s="442"/>
      <c r="Y151" s="442">
        <v>-17962.939999999999</v>
      </c>
      <c r="Z151" s="447">
        <v>1</v>
      </c>
      <c r="AA151" s="484">
        <v>17370546.239999998</v>
      </c>
      <c r="AB151" s="484">
        <v>-160578.53</v>
      </c>
      <c r="AC151" s="484"/>
      <c r="AD151" s="484">
        <v>-17962.939999999999</v>
      </c>
      <c r="AE151" s="526">
        <f t="shared" si="16"/>
        <v>0</v>
      </c>
      <c r="AF151" s="526">
        <f t="shared" si="17"/>
        <v>0</v>
      </c>
      <c r="AG151" s="527">
        <f t="shared" si="18"/>
        <v>0</v>
      </c>
      <c r="AH151" s="527">
        <f t="shared" si="19"/>
        <v>0</v>
      </c>
      <c r="AI151" s="489">
        <v>5208</v>
      </c>
      <c r="AJ151" s="489">
        <f t="shared" si="20"/>
        <v>0</v>
      </c>
      <c r="AK151" s="489"/>
      <c r="AL151" s="489"/>
      <c r="AM151" s="489"/>
      <c r="AN151" s="489"/>
    </row>
    <row r="152" spans="1:93" x14ac:dyDescent="0.25">
      <c r="A152" s="332">
        <v>5644</v>
      </c>
      <c r="B152" s="459" t="s">
        <v>305</v>
      </c>
      <c r="C152" s="382">
        <v>976280.85</v>
      </c>
      <c r="D152" s="382">
        <v>148601.03</v>
      </c>
      <c r="E152" s="380"/>
      <c r="F152" s="518"/>
      <c r="G152" s="382">
        <v>-980.8</v>
      </c>
      <c r="H152" s="382">
        <v>58.05</v>
      </c>
      <c r="I152" s="382"/>
      <c r="J152" s="382">
        <v>424.05</v>
      </c>
      <c r="K152" s="382"/>
      <c r="L152" s="382">
        <v>85750.65</v>
      </c>
      <c r="M152" s="325">
        <f t="shared" si="14"/>
        <v>1210133.8299999998</v>
      </c>
      <c r="N152" s="386">
        <v>2764.4</v>
      </c>
      <c r="O152" s="386">
        <v>770</v>
      </c>
      <c r="P152" s="386">
        <v>32890</v>
      </c>
      <c r="Q152" s="386">
        <v>7850.9</v>
      </c>
      <c r="R152" s="386">
        <v>7896.35</v>
      </c>
      <c r="S152" s="371">
        <v>-104.51</v>
      </c>
      <c r="T152" s="439">
        <f t="shared" si="15"/>
        <v>1262200.9699999997</v>
      </c>
      <c r="U152" s="387">
        <v>74</v>
      </c>
      <c r="V152" s="390">
        <v>403</v>
      </c>
      <c r="W152" s="436">
        <v>-6773.74</v>
      </c>
      <c r="X152" s="442"/>
      <c r="Y152" s="442">
        <v>-210.59</v>
      </c>
      <c r="Z152" s="447">
        <v>1</v>
      </c>
      <c r="AA152" s="484">
        <v>1262200.97</v>
      </c>
      <c r="AB152" s="484">
        <v>-6773.74</v>
      </c>
      <c r="AC152" s="484"/>
      <c r="AD152" s="484">
        <v>-210.59</v>
      </c>
      <c r="AE152" s="526">
        <f t="shared" si="16"/>
        <v>0</v>
      </c>
      <c r="AF152" s="526">
        <f t="shared" si="17"/>
        <v>0</v>
      </c>
      <c r="AG152" s="527">
        <f t="shared" si="18"/>
        <v>0</v>
      </c>
      <c r="AH152" s="527">
        <f t="shared" si="19"/>
        <v>0</v>
      </c>
      <c r="AI152" s="489">
        <v>403</v>
      </c>
      <c r="AJ152" s="489">
        <f t="shared" si="20"/>
        <v>0</v>
      </c>
      <c r="AK152" s="489"/>
      <c r="AL152" s="489"/>
      <c r="AM152" s="489"/>
      <c r="AN152" s="489"/>
    </row>
    <row r="153" spans="1:93" x14ac:dyDescent="0.25">
      <c r="A153" s="332">
        <v>5645</v>
      </c>
      <c r="B153" s="459" t="s">
        <v>306</v>
      </c>
      <c r="C153" s="382">
        <v>913007.86</v>
      </c>
      <c r="D153" s="382">
        <v>173002.2</v>
      </c>
      <c r="E153" s="380"/>
      <c r="F153" s="518"/>
      <c r="G153" s="382">
        <v>85805.6</v>
      </c>
      <c r="H153" s="382">
        <v>68095.05</v>
      </c>
      <c r="I153" s="382"/>
      <c r="J153" s="382">
        <v>55470.86</v>
      </c>
      <c r="K153" s="382">
        <v>21581.5</v>
      </c>
      <c r="L153" s="382">
        <v>162543.5</v>
      </c>
      <c r="M153" s="325">
        <f t="shared" si="14"/>
        <v>1479506.5700000003</v>
      </c>
      <c r="N153" s="386">
        <v>66780.649999999994</v>
      </c>
      <c r="O153" s="386">
        <v>96188.7</v>
      </c>
      <c r="P153" s="386">
        <v>35423</v>
      </c>
      <c r="Q153" s="386">
        <v>1707.71</v>
      </c>
      <c r="R153" s="386">
        <v>55080.4</v>
      </c>
      <c r="S153" s="371">
        <v>17431.11</v>
      </c>
      <c r="T153" s="439">
        <f t="shared" si="15"/>
        <v>1752118.1400000001</v>
      </c>
      <c r="U153" s="387">
        <v>56</v>
      </c>
      <c r="V153" s="390">
        <f>VLOOKUP(B153,'[1]2021'!$C:$D,2,FALSE)</f>
        <v>466</v>
      </c>
      <c r="W153" s="436">
        <v>-9250.36</v>
      </c>
      <c r="X153" s="442"/>
      <c r="Y153" s="442">
        <v>-577.80999999999995</v>
      </c>
      <c r="Z153" s="447">
        <v>1</v>
      </c>
      <c r="AA153" s="484">
        <v>1752118.14</v>
      </c>
      <c r="AB153" s="484">
        <v>-9250.36</v>
      </c>
      <c r="AC153" s="484"/>
      <c r="AD153" s="484">
        <v>-577.80999999999995</v>
      </c>
      <c r="AE153" s="526">
        <f t="shared" si="16"/>
        <v>0</v>
      </c>
      <c r="AF153" s="526">
        <f t="shared" si="17"/>
        <v>0</v>
      </c>
      <c r="AG153" s="527">
        <f t="shared" si="18"/>
        <v>0</v>
      </c>
      <c r="AH153" s="527">
        <f t="shared" si="19"/>
        <v>0</v>
      </c>
      <c r="AI153" s="489">
        <v>466</v>
      </c>
      <c r="AJ153" s="489">
        <f t="shared" si="20"/>
        <v>0</v>
      </c>
      <c r="AK153" s="489"/>
      <c r="AL153" s="489"/>
      <c r="AM153" s="489"/>
      <c r="AN153" s="489"/>
    </row>
    <row r="154" spans="1:93" x14ac:dyDescent="0.25">
      <c r="A154" s="332">
        <v>5646</v>
      </c>
      <c r="B154" s="459" t="s">
        <v>307</v>
      </c>
      <c r="C154" s="382">
        <v>13071868.77</v>
      </c>
      <c r="D154" s="382">
        <v>3302996.34</v>
      </c>
      <c r="E154" s="380"/>
      <c r="F154" s="518"/>
      <c r="G154" s="382">
        <v>3311152.75</v>
      </c>
      <c r="H154" s="382">
        <v>7354170.9000000004</v>
      </c>
      <c r="I154" s="382">
        <v>554981.4</v>
      </c>
      <c r="J154" s="382">
        <v>621836.80000000005</v>
      </c>
      <c r="K154" s="382">
        <v>156366.6</v>
      </c>
      <c r="L154" s="382">
        <v>2022915</v>
      </c>
      <c r="M154" s="325">
        <f t="shared" si="14"/>
        <v>30396288.559999999</v>
      </c>
      <c r="N154" s="386">
        <v>663063.1</v>
      </c>
      <c r="O154" s="386">
        <v>329676.09999999998</v>
      </c>
      <c r="P154" s="386">
        <v>1568269.65</v>
      </c>
      <c r="Q154" s="386">
        <v>10829.31</v>
      </c>
      <c r="R154" s="386">
        <v>1542299.7</v>
      </c>
      <c r="S154" s="371">
        <v>1207977.22</v>
      </c>
      <c r="T154" s="439">
        <f t="shared" si="15"/>
        <v>35718403.640000001</v>
      </c>
      <c r="U154" s="387">
        <v>59</v>
      </c>
      <c r="V154" s="390">
        <f>VLOOKUP(B154,'[1]2021'!$C:$D,2,FALSE)</f>
        <v>5866</v>
      </c>
      <c r="W154" s="436">
        <v>-104718.29</v>
      </c>
      <c r="X154" s="442"/>
      <c r="Y154" s="442">
        <v>-22242.06</v>
      </c>
      <c r="Z154" s="447">
        <v>1.2</v>
      </c>
      <c r="AA154" s="484">
        <v>35718403.640000001</v>
      </c>
      <c r="AB154" s="484">
        <v>-104718.29</v>
      </c>
      <c r="AC154" s="484"/>
      <c r="AD154" s="484">
        <v>-22242.06</v>
      </c>
      <c r="AE154" s="526">
        <f t="shared" si="16"/>
        <v>0</v>
      </c>
      <c r="AF154" s="526">
        <f t="shared" si="17"/>
        <v>0</v>
      </c>
      <c r="AG154" s="527">
        <f t="shared" si="18"/>
        <v>0</v>
      </c>
      <c r="AH154" s="527">
        <f t="shared" si="19"/>
        <v>0</v>
      </c>
      <c r="AI154" s="489">
        <v>5866</v>
      </c>
      <c r="AJ154" s="489">
        <f t="shared" si="20"/>
        <v>0</v>
      </c>
      <c r="AK154" s="489"/>
      <c r="AL154" s="489"/>
      <c r="AM154" s="489"/>
      <c r="AN154" s="489"/>
    </row>
    <row r="155" spans="1:93" x14ac:dyDescent="0.25">
      <c r="A155" s="332">
        <v>5648</v>
      </c>
      <c r="B155" s="459" t="s">
        <v>308</v>
      </c>
      <c r="C155" s="513">
        <v>13898691.439999999</v>
      </c>
      <c r="D155" s="382">
        <v>3891889.21</v>
      </c>
      <c r="E155" s="380"/>
      <c r="F155" s="518"/>
      <c r="G155" s="382">
        <v>802518.1</v>
      </c>
      <c r="H155" s="382">
        <v>304086.95</v>
      </c>
      <c r="I155" s="382">
        <v>375047.25</v>
      </c>
      <c r="J155" s="382">
        <v>433976.27</v>
      </c>
      <c r="K155" s="382">
        <v>186166.35</v>
      </c>
      <c r="L155" s="382">
        <v>1404512.91</v>
      </c>
      <c r="M155" s="325">
        <f t="shared" si="14"/>
        <v>21296888.48</v>
      </c>
      <c r="N155" s="386">
        <v>75692.7</v>
      </c>
      <c r="O155" s="386">
        <v>1216225.3999999999</v>
      </c>
      <c r="P155" s="386">
        <v>978139.95</v>
      </c>
      <c r="Q155" s="386">
        <v>48693.31</v>
      </c>
      <c r="R155" s="386">
        <v>766442.95</v>
      </c>
      <c r="S155" s="371">
        <v>125336.44</v>
      </c>
      <c r="T155" s="439">
        <f t="shared" si="15"/>
        <v>24507419.229999997</v>
      </c>
      <c r="U155" s="387">
        <v>55</v>
      </c>
      <c r="V155" s="390">
        <f>VLOOKUP(B155,'[1]2021'!$C:$D,2,FALSE)</f>
        <v>4932</v>
      </c>
      <c r="W155" s="436">
        <v>-86714.29</v>
      </c>
      <c r="X155" s="442"/>
      <c r="Y155" s="442">
        <v>-41864.28</v>
      </c>
      <c r="Z155" s="447">
        <v>0.8</v>
      </c>
      <c r="AA155" s="484">
        <v>24507419.23</v>
      </c>
      <c r="AB155" s="484">
        <v>-86714.29</v>
      </c>
      <c r="AC155" s="484"/>
      <c r="AD155" s="484">
        <v>-41864.28</v>
      </c>
      <c r="AE155" s="526">
        <f t="shared" si="16"/>
        <v>0</v>
      </c>
      <c r="AF155" s="526">
        <f t="shared" si="17"/>
        <v>0</v>
      </c>
      <c r="AG155" s="527">
        <f t="shared" si="18"/>
        <v>0</v>
      </c>
      <c r="AH155" s="527">
        <f t="shared" si="19"/>
        <v>0</v>
      </c>
      <c r="AI155" s="489">
        <v>4932</v>
      </c>
      <c r="AJ155" s="489">
        <f t="shared" si="20"/>
        <v>0</v>
      </c>
      <c r="AK155" s="489"/>
      <c r="AL155" s="489"/>
      <c r="AM155" s="489"/>
      <c r="AN155" s="489"/>
    </row>
    <row r="156" spans="1:93" x14ac:dyDescent="0.25">
      <c r="A156" s="332">
        <v>5649</v>
      </c>
      <c r="B156" s="459" t="s">
        <v>309</v>
      </c>
      <c r="C156" s="513">
        <v>3838129.67</v>
      </c>
      <c r="D156" s="513">
        <v>564281.01</v>
      </c>
      <c r="E156" s="380"/>
      <c r="F156" s="518"/>
      <c r="G156" s="382">
        <v>3094437.8</v>
      </c>
      <c r="H156" s="382">
        <v>937626.75</v>
      </c>
      <c r="I156" s="382">
        <v>63551.6</v>
      </c>
      <c r="J156" s="382">
        <v>531421.27</v>
      </c>
      <c r="K156" s="382">
        <v>63393.1</v>
      </c>
      <c r="L156" s="382">
        <v>562068.44999999995</v>
      </c>
      <c r="M156" s="325">
        <f t="shared" si="14"/>
        <v>9654909.6499999985</v>
      </c>
      <c r="N156" s="386">
        <v>287080.5</v>
      </c>
      <c r="O156" s="386">
        <v>76927.199999999997</v>
      </c>
      <c r="P156" s="386">
        <v>239799.65</v>
      </c>
      <c r="Q156" s="514">
        <v>2541.71</v>
      </c>
      <c r="R156" s="386">
        <v>201356.5</v>
      </c>
      <c r="S156" s="371">
        <v>456680.2</v>
      </c>
      <c r="T156" s="439">
        <f t="shared" si="15"/>
        <v>10919295.409999998</v>
      </c>
      <c r="U156" s="387">
        <v>64</v>
      </c>
      <c r="V156" s="390">
        <f>VLOOKUP(B156,'[1]2021'!$C:$D,2,FALSE)</f>
        <v>1886</v>
      </c>
      <c r="W156" s="436">
        <v>-141662.75</v>
      </c>
      <c r="X156" s="442"/>
      <c r="Y156" s="442">
        <v>-2649.82</v>
      </c>
      <c r="Z156" s="447">
        <v>1</v>
      </c>
      <c r="AA156" s="484">
        <v>10919295.41</v>
      </c>
      <c r="AB156" s="484">
        <v>-141662.75</v>
      </c>
      <c r="AC156" s="484"/>
      <c r="AD156" s="484">
        <v>-2649.82</v>
      </c>
      <c r="AE156" s="526">
        <f t="shared" si="16"/>
        <v>0</v>
      </c>
      <c r="AF156" s="526">
        <f t="shared" si="17"/>
        <v>0</v>
      </c>
      <c r="AG156" s="527">
        <f t="shared" si="18"/>
        <v>0</v>
      </c>
      <c r="AH156" s="527">
        <f t="shared" si="19"/>
        <v>0</v>
      </c>
      <c r="AI156" s="489">
        <v>1886</v>
      </c>
      <c r="AJ156" s="489">
        <f t="shared" si="20"/>
        <v>0</v>
      </c>
      <c r="AK156" s="489"/>
      <c r="AL156" s="489"/>
      <c r="AM156" s="489"/>
      <c r="AN156" s="489"/>
    </row>
    <row r="157" spans="1:93" s="328" customFormat="1" x14ac:dyDescent="0.25">
      <c r="A157" s="333">
        <v>5650</v>
      </c>
      <c r="B157" s="459" t="s">
        <v>310</v>
      </c>
      <c r="C157" s="513">
        <v>2044917.51</v>
      </c>
      <c r="D157" s="513">
        <v>2553070.6</v>
      </c>
      <c r="E157" s="380"/>
      <c r="F157" s="518"/>
      <c r="G157" s="382">
        <v>8239.1</v>
      </c>
      <c r="H157" s="382">
        <v>22.85</v>
      </c>
      <c r="I157" s="382"/>
      <c r="J157" s="382">
        <v>7063.68</v>
      </c>
      <c r="K157" s="382"/>
      <c r="L157" s="382">
        <v>57315</v>
      </c>
      <c r="M157" s="325">
        <f t="shared" si="14"/>
        <v>4670628.7399999993</v>
      </c>
      <c r="N157" s="386">
        <v>137.19999999999999</v>
      </c>
      <c r="O157" s="514">
        <v>1217687.3999999999</v>
      </c>
      <c r="P157" s="514">
        <v>18150</v>
      </c>
      <c r="Q157" s="386"/>
      <c r="R157" s="386">
        <v>27945</v>
      </c>
      <c r="S157" s="371">
        <v>935.77</v>
      </c>
      <c r="T157" s="439">
        <f t="shared" si="15"/>
        <v>5935484.1099999994</v>
      </c>
      <c r="U157" s="387">
        <v>56</v>
      </c>
      <c r="V157" s="390">
        <f>VLOOKUP(B157,'[1]2021'!$C:$D,2,FALSE)</f>
        <v>196</v>
      </c>
      <c r="W157" s="436">
        <v>-1.19</v>
      </c>
      <c r="X157" s="327"/>
      <c r="Y157" s="442">
        <v>-5060.2</v>
      </c>
      <c r="Z157" s="447">
        <v>1.25</v>
      </c>
      <c r="AA157" s="484">
        <v>5935484.1100000003</v>
      </c>
      <c r="AB157" s="484">
        <v>-1.19</v>
      </c>
      <c r="AC157" s="484"/>
      <c r="AD157" s="484">
        <v>-5060.2</v>
      </c>
      <c r="AE157" s="526">
        <f t="shared" si="16"/>
        <v>0</v>
      </c>
      <c r="AF157" s="526">
        <f t="shared" si="17"/>
        <v>0</v>
      </c>
      <c r="AG157" s="527">
        <f t="shared" si="18"/>
        <v>0</v>
      </c>
      <c r="AH157" s="527">
        <f t="shared" si="19"/>
        <v>0</v>
      </c>
      <c r="AI157" s="489">
        <v>196</v>
      </c>
      <c r="AJ157" s="489">
        <f t="shared" si="20"/>
        <v>0</v>
      </c>
      <c r="AK157" s="489"/>
      <c r="AL157" s="489"/>
      <c r="AM157" s="489"/>
      <c r="AN157" s="489"/>
      <c r="AO157" s="436"/>
      <c r="AP157" s="436"/>
      <c r="AQ157" s="436"/>
      <c r="AR157" s="436"/>
      <c r="AS157" s="436"/>
      <c r="AT157" s="436"/>
      <c r="AU157" s="436"/>
      <c r="AV157" s="6"/>
      <c r="AW157" s="436"/>
      <c r="AX157" s="436"/>
      <c r="AY157" s="436"/>
      <c r="AZ157" s="436"/>
      <c r="BA157" s="436"/>
      <c r="BB157" s="436"/>
      <c r="BC157" s="436"/>
      <c r="BD157" s="436"/>
      <c r="BE157" s="436"/>
      <c r="BF157" s="436"/>
      <c r="BG157" s="436"/>
      <c r="BH157" s="436"/>
      <c r="BI157" s="436"/>
      <c r="BJ157" s="436"/>
      <c r="BK157" s="436"/>
      <c r="BL157" s="436"/>
      <c r="BM157" s="436"/>
      <c r="BN157" s="436"/>
      <c r="BO157" s="436"/>
      <c r="BP157" s="436"/>
      <c r="BQ157" s="436"/>
      <c r="BR157" s="436"/>
      <c r="BS157" s="436"/>
      <c r="BT157" s="436"/>
      <c r="BU157" s="436"/>
      <c r="BV157" s="436"/>
      <c r="BW157" s="436"/>
      <c r="BX157" s="436"/>
      <c r="BY157" s="436"/>
      <c r="BZ157" s="436"/>
      <c r="CA157" s="436"/>
      <c r="CB157" s="436"/>
      <c r="CC157" s="436"/>
      <c r="CD157" s="436"/>
      <c r="CE157" s="436"/>
      <c r="CF157" s="436"/>
      <c r="CG157" s="436"/>
      <c r="CH157" s="436"/>
      <c r="CI157" s="436"/>
      <c r="CJ157" s="436"/>
      <c r="CK157" s="436"/>
      <c r="CL157" s="436"/>
      <c r="CM157" s="436"/>
      <c r="CN157" s="436"/>
      <c r="CO157" s="436"/>
    </row>
    <row r="158" spans="1:93" x14ac:dyDescent="0.25">
      <c r="A158" s="332">
        <v>5651</v>
      </c>
      <c r="B158" s="459" t="s">
        <v>311</v>
      </c>
      <c r="C158" s="382">
        <v>2306560.65</v>
      </c>
      <c r="D158" s="382">
        <v>278010.39</v>
      </c>
      <c r="E158" s="380"/>
      <c r="F158" s="518"/>
      <c r="G158" s="513">
        <v>418688.1</v>
      </c>
      <c r="H158" s="382">
        <v>22217.4</v>
      </c>
      <c r="I158" s="382"/>
      <c r="J158" s="382">
        <v>13586.85</v>
      </c>
      <c r="K158" s="382">
        <v>39207.9</v>
      </c>
      <c r="L158" s="382">
        <v>371048.7</v>
      </c>
      <c r="M158" s="325">
        <f t="shared" si="14"/>
        <v>3449319.99</v>
      </c>
      <c r="N158" s="514">
        <v>178489.65</v>
      </c>
      <c r="O158" s="386"/>
      <c r="P158" s="386">
        <v>168784</v>
      </c>
      <c r="Q158" s="386">
        <v>14966.94</v>
      </c>
      <c r="R158" s="386">
        <v>15593.35</v>
      </c>
      <c r="S158" s="513">
        <v>49937.9</v>
      </c>
      <c r="T158" s="439">
        <f t="shared" si="15"/>
        <v>3877091.83</v>
      </c>
      <c r="U158" s="387">
        <v>60.5</v>
      </c>
      <c r="V158" s="390">
        <f>VLOOKUP(B158,'[1]2021'!$C:$D,2,FALSE)</f>
        <v>958</v>
      </c>
      <c r="W158" s="436">
        <v>-10039.99</v>
      </c>
      <c r="X158" s="442"/>
      <c r="Y158" s="442">
        <v>-13514.42</v>
      </c>
      <c r="Z158" s="447">
        <v>1</v>
      </c>
      <c r="AA158" s="484">
        <v>3877091.83</v>
      </c>
      <c r="AB158" s="484">
        <v>-10039.99</v>
      </c>
      <c r="AC158" s="484"/>
      <c r="AD158" s="484">
        <v>-13514.42</v>
      </c>
      <c r="AE158" s="526">
        <f t="shared" si="16"/>
        <v>0</v>
      </c>
      <c r="AF158" s="526">
        <f t="shared" si="17"/>
        <v>0</v>
      </c>
      <c r="AG158" s="527">
        <f t="shared" si="18"/>
        <v>0</v>
      </c>
      <c r="AH158" s="527">
        <f t="shared" si="19"/>
        <v>0</v>
      </c>
      <c r="AI158" s="489">
        <v>958</v>
      </c>
      <c r="AJ158" s="489">
        <f t="shared" si="20"/>
        <v>0</v>
      </c>
      <c r="AK158" s="489"/>
      <c r="AL158" s="489"/>
      <c r="AM158" s="489"/>
      <c r="AN158" s="489"/>
    </row>
    <row r="159" spans="1:93" x14ac:dyDescent="0.25">
      <c r="A159" s="332">
        <v>5652</v>
      </c>
      <c r="B159" s="459" t="s">
        <v>194</v>
      </c>
      <c r="C159" s="382">
        <v>1544892.45</v>
      </c>
      <c r="D159" s="382">
        <v>323848.58</v>
      </c>
      <c r="E159" s="380"/>
      <c r="F159" s="518"/>
      <c r="G159" s="382">
        <v>-3672.1</v>
      </c>
      <c r="H159" s="382">
        <v>336.75</v>
      </c>
      <c r="I159" s="382"/>
      <c r="J159" s="382">
        <v>33410.160000000003</v>
      </c>
      <c r="K159" s="382">
        <v>1037.1500000000001</v>
      </c>
      <c r="L159" s="382">
        <v>139839.70000000001</v>
      </c>
      <c r="M159" s="325">
        <f t="shared" si="14"/>
        <v>2039692.6899999997</v>
      </c>
      <c r="N159" s="386"/>
      <c r="O159" s="386"/>
      <c r="P159" s="386">
        <v>25787.599999999999</v>
      </c>
      <c r="Q159" s="386">
        <v>725.9</v>
      </c>
      <c r="R159" s="386">
        <v>35181.050000000003</v>
      </c>
      <c r="S159" s="371">
        <v>-377.77</v>
      </c>
      <c r="T159" s="439">
        <f t="shared" si="15"/>
        <v>2101009.4699999997</v>
      </c>
      <c r="U159" s="387">
        <v>76</v>
      </c>
      <c r="V159" s="390">
        <f>VLOOKUP(B159,'[1]2021'!$C:$D,2,FALSE)</f>
        <v>626</v>
      </c>
      <c r="W159" s="436">
        <v>-47588.06</v>
      </c>
      <c r="X159" s="442"/>
      <c r="Y159" s="442">
        <v>-546.20000000000005</v>
      </c>
      <c r="Z159" s="447">
        <v>1.2</v>
      </c>
      <c r="AA159" s="484">
        <v>2101009.4700000002</v>
      </c>
      <c r="AB159" s="484">
        <v>-47588.06</v>
      </c>
      <c r="AC159" s="484"/>
      <c r="AD159" s="484">
        <v>-546.20000000000005</v>
      </c>
      <c r="AE159" s="526">
        <f t="shared" si="16"/>
        <v>0</v>
      </c>
      <c r="AF159" s="526">
        <f t="shared" si="17"/>
        <v>0</v>
      </c>
      <c r="AG159" s="527">
        <f t="shared" si="18"/>
        <v>0</v>
      </c>
      <c r="AH159" s="527">
        <f t="shared" si="19"/>
        <v>0</v>
      </c>
      <c r="AI159" s="489">
        <v>626</v>
      </c>
      <c r="AJ159" s="489">
        <f t="shared" si="20"/>
        <v>0</v>
      </c>
      <c r="AK159" s="489"/>
      <c r="AL159" s="489"/>
      <c r="AM159" s="489"/>
      <c r="AN159" s="489"/>
    </row>
    <row r="160" spans="1:93" x14ac:dyDescent="0.25">
      <c r="A160" s="332">
        <v>5653</v>
      </c>
      <c r="B160" s="459" t="s">
        <v>195</v>
      </c>
      <c r="C160" s="382">
        <v>2615838.92</v>
      </c>
      <c r="D160" s="382">
        <v>877625.75</v>
      </c>
      <c r="E160" s="380"/>
      <c r="F160" s="518"/>
      <c r="G160" s="382">
        <v>12421.55</v>
      </c>
      <c r="H160" s="382">
        <v>6416.6</v>
      </c>
      <c r="I160" s="382">
        <v>186157.8</v>
      </c>
      <c r="J160" s="382">
        <v>25311.98</v>
      </c>
      <c r="K160" s="382">
        <v>3597.5</v>
      </c>
      <c r="L160" s="382">
        <v>212345.2</v>
      </c>
      <c r="M160" s="325">
        <f t="shared" si="14"/>
        <v>3939715.3</v>
      </c>
      <c r="N160" s="386">
        <v>4440.8999999999996</v>
      </c>
      <c r="O160" s="386"/>
      <c r="P160" s="386">
        <v>113478.7</v>
      </c>
      <c r="Q160" s="386"/>
      <c r="R160" s="386">
        <v>217114.15</v>
      </c>
      <c r="S160" s="371">
        <v>2133.65</v>
      </c>
      <c r="T160" s="439">
        <f t="shared" si="15"/>
        <v>4276882.7</v>
      </c>
      <c r="U160" s="387">
        <v>58.5</v>
      </c>
      <c r="V160" s="390">
        <f>VLOOKUP(B160,'[1]2021'!$C:$D,2,FALSE)</f>
        <v>894</v>
      </c>
      <c r="W160" s="436">
        <v>-7926.74</v>
      </c>
      <c r="X160" s="442"/>
      <c r="Y160" s="442">
        <v>-38483.769999999997</v>
      </c>
      <c r="Z160" s="447">
        <v>0.8</v>
      </c>
      <c r="AA160" s="484">
        <v>4276882.7</v>
      </c>
      <c r="AB160" s="484">
        <v>-7926.74</v>
      </c>
      <c r="AC160" s="484"/>
      <c r="AD160" s="484">
        <v>-38483.769999999997</v>
      </c>
      <c r="AE160" s="526">
        <f t="shared" si="16"/>
        <v>0</v>
      </c>
      <c r="AF160" s="526">
        <f t="shared" si="17"/>
        <v>0</v>
      </c>
      <c r="AG160" s="527">
        <f t="shared" si="18"/>
        <v>0</v>
      </c>
      <c r="AH160" s="527">
        <f t="shared" si="19"/>
        <v>0</v>
      </c>
      <c r="AI160" s="489">
        <v>894</v>
      </c>
      <c r="AJ160" s="489">
        <f t="shared" si="20"/>
        <v>0</v>
      </c>
      <c r="AK160" s="489"/>
      <c r="AL160" s="489"/>
      <c r="AM160" s="489"/>
      <c r="AN160" s="489"/>
    </row>
    <row r="161" spans="1:40" x14ac:dyDescent="0.25">
      <c r="A161" s="332">
        <v>5654</v>
      </c>
      <c r="B161" s="459" t="s">
        <v>196</v>
      </c>
      <c r="C161" s="513">
        <v>1153574.2</v>
      </c>
      <c r="D161" s="382">
        <v>261994.31</v>
      </c>
      <c r="E161" s="380"/>
      <c r="F161" s="518"/>
      <c r="G161" s="382">
        <v>38019.4</v>
      </c>
      <c r="H161" s="382">
        <v>1270.1500000000001</v>
      </c>
      <c r="I161" s="382"/>
      <c r="J161" s="382">
        <v>1589.15</v>
      </c>
      <c r="K161" s="382">
        <v>1581</v>
      </c>
      <c r="L161" s="382">
        <v>112373.85</v>
      </c>
      <c r="M161" s="325">
        <f t="shared" si="14"/>
        <v>1570402.0599999998</v>
      </c>
      <c r="N161" s="386">
        <v>6542.3</v>
      </c>
      <c r="O161" s="386">
        <v>3395.3</v>
      </c>
      <c r="P161" s="386">
        <v>85266.7</v>
      </c>
      <c r="Q161" s="386"/>
      <c r="R161" s="386">
        <v>80384.350000000006</v>
      </c>
      <c r="S161" s="371">
        <v>4450.0200000000004</v>
      </c>
      <c r="T161" s="439">
        <f t="shared" si="15"/>
        <v>1750440.73</v>
      </c>
      <c r="U161" s="387">
        <v>76</v>
      </c>
      <c r="V161" s="390">
        <f>VLOOKUP(B161,'[1]2021'!$C:$D,2,FALSE)</f>
        <v>560</v>
      </c>
      <c r="W161" s="436">
        <v>-2734.79</v>
      </c>
      <c r="X161" s="442"/>
      <c r="Y161" s="442">
        <v>-1524.66</v>
      </c>
      <c r="Z161" s="447">
        <v>1</v>
      </c>
      <c r="AA161" s="484">
        <v>1750440.73</v>
      </c>
      <c r="AB161" s="484">
        <v>-2734.79</v>
      </c>
      <c r="AC161" s="484"/>
      <c r="AD161" s="484">
        <v>-1524.66</v>
      </c>
      <c r="AE161" s="526">
        <f t="shared" si="16"/>
        <v>0</v>
      </c>
      <c r="AF161" s="526">
        <f t="shared" si="17"/>
        <v>0</v>
      </c>
      <c r="AG161" s="527">
        <f t="shared" si="18"/>
        <v>0</v>
      </c>
      <c r="AH161" s="527">
        <f t="shared" si="19"/>
        <v>0</v>
      </c>
      <c r="AI161" s="489">
        <v>560</v>
      </c>
      <c r="AJ161" s="489">
        <f t="shared" si="20"/>
        <v>0</v>
      </c>
      <c r="AK161" s="489"/>
      <c r="AL161" s="489"/>
      <c r="AM161" s="489"/>
      <c r="AN161" s="489"/>
    </row>
    <row r="162" spans="1:40" x14ac:dyDescent="0.25">
      <c r="A162" s="332">
        <v>5655</v>
      </c>
      <c r="B162" s="459" t="s">
        <v>197</v>
      </c>
      <c r="C162" s="382">
        <v>4069160.48</v>
      </c>
      <c r="D162" s="382">
        <v>873123.6</v>
      </c>
      <c r="E162" s="380"/>
      <c r="F162" s="518"/>
      <c r="G162" s="382">
        <v>-185064.55</v>
      </c>
      <c r="H162" s="382">
        <v>9272.5</v>
      </c>
      <c r="I162" s="382">
        <v>66010.45</v>
      </c>
      <c r="J162" s="382">
        <v>50940.13</v>
      </c>
      <c r="K162" s="382">
        <v>11547.1</v>
      </c>
      <c r="L162" s="382">
        <v>430184.7</v>
      </c>
      <c r="M162" s="325">
        <f t="shared" si="14"/>
        <v>5325174.41</v>
      </c>
      <c r="N162" s="386">
        <v>80041.2</v>
      </c>
      <c r="O162" s="386">
        <v>12243.4</v>
      </c>
      <c r="P162" s="386">
        <v>104769.5</v>
      </c>
      <c r="Q162" s="386">
        <v>7360.54</v>
      </c>
      <c r="R162" s="386">
        <v>-7759.1</v>
      </c>
      <c r="S162" s="371">
        <v>-19910.580000000002</v>
      </c>
      <c r="T162" s="439">
        <f t="shared" si="15"/>
        <v>5501919.370000001</v>
      </c>
      <c r="U162" s="387">
        <v>71.5</v>
      </c>
      <c r="V162" s="390">
        <f>VLOOKUP(B162,'[1]2021'!$C:$D,2,FALSE)</f>
        <v>1499</v>
      </c>
      <c r="W162" s="436">
        <v>-49474.57</v>
      </c>
      <c r="X162" s="442"/>
      <c r="Y162" s="442">
        <v>-11127.59</v>
      </c>
      <c r="Z162" s="447">
        <v>1</v>
      </c>
      <c r="AA162" s="484">
        <v>5501919.3700000001</v>
      </c>
      <c r="AB162" s="484">
        <v>-49474.57</v>
      </c>
      <c r="AC162" s="484"/>
      <c r="AD162" s="484">
        <v>-11127.59</v>
      </c>
      <c r="AE162" s="526">
        <f t="shared" si="16"/>
        <v>0</v>
      </c>
      <c r="AF162" s="526">
        <f t="shared" si="17"/>
        <v>0</v>
      </c>
      <c r="AG162" s="527">
        <f t="shared" si="18"/>
        <v>0</v>
      </c>
      <c r="AH162" s="527">
        <f t="shared" si="19"/>
        <v>0</v>
      </c>
      <c r="AI162" s="489">
        <v>1499</v>
      </c>
      <c r="AJ162" s="489">
        <f t="shared" si="20"/>
        <v>0</v>
      </c>
      <c r="AK162" s="489"/>
      <c r="AL162" s="489"/>
      <c r="AM162" s="489"/>
      <c r="AN162" s="489"/>
    </row>
    <row r="163" spans="1:40" x14ac:dyDescent="0.25">
      <c r="A163" s="332">
        <v>5661</v>
      </c>
      <c r="B163" s="459" t="s">
        <v>198</v>
      </c>
      <c r="C163" s="513">
        <v>668759.29</v>
      </c>
      <c r="D163" s="513">
        <v>56633.72</v>
      </c>
      <c r="E163" s="380"/>
      <c r="F163" s="518"/>
      <c r="G163" s="382">
        <v>5625.5</v>
      </c>
      <c r="H163" s="382">
        <v>22.95</v>
      </c>
      <c r="I163" s="382"/>
      <c r="J163" s="382">
        <v>11126.13</v>
      </c>
      <c r="K163" s="382">
        <v>555</v>
      </c>
      <c r="L163" s="382">
        <v>60664.75</v>
      </c>
      <c r="M163" s="325">
        <f t="shared" si="14"/>
        <v>803387.34</v>
      </c>
      <c r="N163" s="386">
        <v>18731.2</v>
      </c>
      <c r="O163" s="386"/>
      <c r="P163" s="386">
        <v>27582.5</v>
      </c>
      <c r="Q163" s="386">
        <v>60.95</v>
      </c>
      <c r="R163" s="386">
        <v>20575.5</v>
      </c>
      <c r="S163" s="371">
        <v>639.76</v>
      </c>
      <c r="T163" s="439">
        <f t="shared" si="15"/>
        <v>870977.24999999988</v>
      </c>
      <c r="U163" s="387">
        <v>71.5</v>
      </c>
      <c r="V163" s="390">
        <f>VLOOKUP(B163,'[1]2021'!$C:$D,2,FALSE)</f>
        <v>371</v>
      </c>
      <c r="W163" s="436">
        <v>-1386.94</v>
      </c>
      <c r="X163" s="442"/>
      <c r="Y163" s="442">
        <v>0</v>
      </c>
      <c r="Z163" s="447">
        <v>1</v>
      </c>
      <c r="AA163" s="484">
        <v>870977.25</v>
      </c>
      <c r="AB163" s="484">
        <v>-1386.94</v>
      </c>
      <c r="AC163" s="484"/>
      <c r="AD163" s="484">
        <v>0</v>
      </c>
      <c r="AE163" s="526">
        <f t="shared" si="16"/>
        <v>0</v>
      </c>
      <c r="AF163" s="526">
        <f t="shared" si="17"/>
        <v>0</v>
      </c>
      <c r="AG163" s="527">
        <f t="shared" si="18"/>
        <v>0</v>
      </c>
      <c r="AH163" s="527">
        <f t="shared" si="19"/>
        <v>0</v>
      </c>
      <c r="AI163" s="489">
        <v>371</v>
      </c>
      <c r="AJ163" s="489">
        <f t="shared" si="20"/>
        <v>0</v>
      </c>
      <c r="AK163" s="489"/>
      <c r="AL163" s="489"/>
      <c r="AM163" s="489"/>
      <c r="AN163" s="489"/>
    </row>
    <row r="164" spans="1:40" x14ac:dyDescent="0.25">
      <c r="A164" s="332">
        <v>5663</v>
      </c>
      <c r="B164" s="459" t="s">
        <v>199</v>
      </c>
      <c r="C164" s="382">
        <v>331647.48</v>
      </c>
      <c r="D164" s="382">
        <v>32520.19</v>
      </c>
      <c r="E164" s="380"/>
      <c r="F164" s="518">
        <v>1350</v>
      </c>
      <c r="G164" s="382">
        <v>1093.9000000000001</v>
      </c>
      <c r="H164" s="382">
        <v>320.7</v>
      </c>
      <c r="I164" s="382"/>
      <c r="J164" s="382">
        <v>13237.34</v>
      </c>
      <c r="K164" s="382">
        <v>325.2</v>
      </c>
      <c r="L164" s="382">
        <v>32601.05</v>
      </c>
      <c r="M164" s="325">
        <f t="shared" si="14"/>
        <v>413095.86000000004</v>
      </c>
      <c r="N164" s="386"/>
      <c r="O164" s="386"/>
      <c r="P164" s="386">
        <v>22816.2</v>
      </c>
      <c r="Q164" s="386"/>
      <c r="R164" s="386">
        <v>2408.15</v>
      </c>
      <c r="S164" s="371">
        <v>160.22</v>
      </c>
      <c r="T164" s="439">
        <f t="shared" si="15"/>
        <v>438480.43000000005</v>
      </c>
      <c r="U164" s="387">
        <v>78.5</v>
      </c>
      <c r="V164" s="390">
        <f>VLOOKUP(B164,'[1]2021'!$C:$D,2,FALSE)</f>
        <v>236</v>
      </c>
      <c r="W164" s="436">
        <v>-57.56</v>
      </c>
      <c r="X164" s="442"/>
      <c r="Y164" s="442">
        <v>0</v>
      </c>
      <c r="Z164" s="447">
        <v>1</v>
      </c>
      <c r="AA164" s="484">
        <v>438480.43</v>
      </c>
      <c r="AB164" s="484">
        <v>-57.56</v>
      </c>
      <c r="AC164" s="484"/>
      <c r="AD164" s="484">
        <v>0</v>
      </c>
      <c r="AE164" s="526">
        <f t="shared" si="16"/>
        <v>0</v>
      </c>
      <c r="AF164" s="526">
        <f t="shared" si="17"/>
        <v>0</v>
      </c>
      <c r="AG164" s="527">
        <f t="shared" si="18"/>
        <v>0</v>
      </c>
      <c r="AH164" s="527">
        <f t="shared" si="19"/>
        <v>0</v>
      </c>
      <c r="AI164" s="489">
        <v>236</v>
      </c>
      <c r="AJ164" s="489">
        <f t="shared" si="20"/>
        <v>0</v>
      </c>
      <c r="AK164" s="489"/>
      <c r="AL164" s="489"/>
      <c r="AM164" s="489"/>
      <c r="AN164" s="489"/>
    </row>
    <row r="165" spans="1:40" x14ac:dyDescent="0.25">
      <c r="A165" s="332">
        <v>5665</v>
      </c>
      <c r="B165" s="459" t="s">
        <v>95</v>
      </c>
      <c r="C165" s="382">
        <v>263828.63</v>
      </c>
      <c r="D165" s="382">
        <v>43527.41</v>
      </c>
      <c r="E165" s="380"/>
      <c r="F165" s="518"/>
      <c r="G165" s="382">
        <v>2287.0500000000002</v>
      </c>
      <c r="H165" s="382">
        <v>26.9</v>
      </c>
      <c r="I165" s="382"/>
      <c r="J165" s="382">
        <v>5964.57</v>
      </c>
      <c r="K165" s="382">
        <v>4.5</v>
      </c>
      <c r="L165" s="382">
        <v>28605.4</v>
      </c>
      <c r="M165" s="325">
        <f t="shared" si="14"/>
        <v>344244.46000000008</v>
      </c>
      <c r="N165" s="386"/>
      <c r="O165" s="386"/>
      <c r="P165" s="386">
        <v>7885.75</v>
      </c>
      <c r="Q165" s="386"/>
      <c r="R165" s="386">
        <v>2791.65</v>
      </c>
      <c r="S165" s="371">
        <v>262.08</v>
      </c>
      <c r="T165" s="439">
        <f t="shared" si="15"/>
        <v>355183.94000000012</v>
      </c>
      <c r="U165" s="387">
        <v>70</v>
      </c>
      <c r="V165" s="390">
        <f>VLOOKUP(B165,'[1]2021'!$C:$D,2,FALSE)</f>
        <v>222</v>
      </c>
      <c r="W165" s="436">
        <v>-45.68</v>
      </c>
      <c r="X165" s="442"/>
      <c r="Y165" s="442">
        <v>0</v>
      </c>
      <c r="Z165" s="447">
        <v>1</v>
      </c>
      <c r="AA165" s="484">
        <v>355183.94</v>
      </c>
      <c r="AB165" s="484">
        <v>-45.68</v>
      </c>
      <c r="AC165" s="484"/>
      <c r="AD165" s="484">
        <v>0</v>
      </c>
      <c r="AE165" s="526">
        <f t="shared" si="16"/>
        <v>0</v>
      </c>
      <c r="AF165" s="526">
        <f t="shared" si="17"/>
        <v>0</v>
      </c>
      <c r="AG165" s="527">
        <f t="shared" si="18"/>
        <v>0</v>
      </c>
      <c r="AH165" s="527">
        <f t="shared" si="19"/>
        <v>0</v>
      </c>
      <c r="AI165" s="489">
        <v>222</v>
      </c>
      <c r="AJ165" s="489">
        <f t="shared" si="20"/>
        <v>0</v>
      </c>
      <c r="AK165" s="489"/>
      <c r="AL165" s="489"/>
      <c r="AM165" s="489"/>
      <c r="AN165" s="489"/>
    </row>
    <row r="166" spans="1:40" x14ac:dyDescent="0.25">
      <c r="A166" s="332">
        <v>5669</v>
      </c>
      <c r="B166" s="459" t="s">
        <v>96</v>
      </c>
      <c r="C166" s="382">
        <v>514530.92</v>
      </c>
      <c r="D166" s="382">
        <v>110689.07</v>
      </c>
      <c r="E166" s="380"/>
      <c r="F166" s="518"/>
      <c r="G166" s="382">
        <v>16094.1</v>
      </c>
      <c r="H166" s="382">
        <v>200.85</v>
      </c>
      <c r="I166" s="382"/>
      <c r="J166" s="382">
        <v>1884.79</v>
      </c>
      <c r="K166" s="382">
        <v>-1050.3</v>
      </c>
      <c r="L166" s="382">
        <v>24127.3</v>
      </c>
      <c r="M166" s="325">
        <f t="shared" si="14"/>
        <v>666476.73</v>
      </c>
      <c r="N166" s="386"/>
      <c r="O166" s="386">
        <v>40750</v>
      </c>
      <c r="P166" s="386">
        <v>33489.15</v>
      </c>
      <c r="Q166" s="386"/>
      <c r="R166" s="386">
        <v>15400</v>
      </c>
      <c r="S166" s="371">
        <v>1845.6</v>
      </c>
      <c r="T166" s="439">
        <f t="shared" si="15"/>
        <v>757961.48</v>
      </c>
      <c r="U166" s="387">
        <v>73</v>
      </c>
      <c r="V166" s="390">
        <f>VLOOKUP(B166,'[1]2021'!$C:$D,2,FALSE)</f>
        <v>296</v>
      </c>
      <c r="W166" s="436">
        <v>-10748.08</v>
      </c>
      <c r="X166" s="442"/>
      <c r="Y166" s="442">
        <v>0</v>
      </c>
      <c r="Z166" s="447">
        <v>0.5</v>
      </c>
      <c r="AA166" s="484">
        <v>757961.48</v>
      </c>
      <c r="AB166" s="484">
        <v>-10748.08</v>
      </c>
      <c r="AC166" s="484"/>
      <c r="AD166" s="484">
        <v>0</v>
      </c>
      <c r="AE166" s="526">
        <f t="shared" si="16"/>
        <v>0</v>
      </c>
      <c r="AF166" s="526">
        <f t="shared" si="17"/>
        <v>0</v>
      </c>
      <c r="AG166" s="527">
        <f t="shared" si="18"/>
        <v>0</v>
      </c>
      <c r="AH166" s="527">
        <f t="shared" si="19"/>
        <v>0</v>
      </c>
      <c r="AI166" s="489">
        <v>296</v>
      </c>
      <c r="AJ166" s="489">
        <f t="shared" si="20"/>
        <v>0</v>
      </c>
      <c r="AK166" s="489"/>
      <c r="AL166" s="489"/>
      <c r="AM166" s="489"/>
      <c r="AN166" s="489"/>
    </row>
    <row r="167" spans="1:40" x14ac:dyDescent="0.25">
      <c r="A167" s="332">
        <v>5671</v>
      </c>
      <c r="B167" s="459" t="s">
        <v>97</v>
      </c>
      <c r="C167" s="382">
        <v>396872.74</v>
      </c>
      <c r="D167" s="382">
        <v>54825.43</v>
      </c>
      <c r="E167" s="380"/>
      <c r="F167" s="518">
        <v>1480</v>
      </c>
      <c r="G167" s="382">
        <v>10755.8</v>
      </c>
      <c r="H167" s="382">
        <v>129.35</v>
      </c>
      <c r="I167" s="382"/>
      <c r="J167" s="382">
        <v>3734.29</v>
      </c>
      <c r="K167" s="382">
        <v>223.5</v>
      </c>
      <c r="L167" s="382">
        <v>35237.85</v>
      </c>
      <c r="M167" s="325">
        <f t="shared" si="14"/>
        <v>503258.9599999999</v>
      </c>
      <c r="N167" s="386">
        <v>5497.4</v>
      </c>
      <c r="O167" s="386"/>
      <c r="P167" s="386">
        <v>55902.95</v>
      </c>
      <c r="Q167" s="386">
        <v>358.55</v>
      </c>
      <c r="R167" s="386">
        <v>47585.2</v>
      </c>
      <c r="S167" s="371">
        <v>1232.8800000000001</v>
      </c>
      <c r="T167" s="439">
        <f t="shared" si="15"/>
        <v>613835.93999999994</v>
      </c>
      <c r="U167" s="387">
        <v>78</v>
      </c>
      <c r="V167" s="390">
        <f>VLOOKUP(B167,'[1]2021'!$C:$D,2,FALSE)</f>
        <v>246</v>
      </c>
      <c r="W167" s="436">
        <v>-660.07</v>
      </c>
      <c r="X167" s="442"/>
      <c r="Y167" s="442">
        <v>0</v>
      </c>
      <c r="Z167" s="447">
        <v>1</v>
      </c>
      <c r="AA167" s="484">
        <v>613835.93999999994</v>
      </c>
      <c r="AB167" s="484">
        <v>-660.07</v>
      </c>
      <c r="AC167" s="484"/>
      <c r="AD167" s="484">
        <v>0</v>
      </c>
      <c r="AE167" s="526">
        <f t="shared" si="16"/>
        <v>0</v>
      </c>
      <c r="AF167" s="526">
        <f t="shared" si="17"/>
        <v>0</v>
      </c>
      <c r="AG167" s="527">
        <f t="shared" si="18"/>
        <v>0</v>
      </c>
      <c r="AH167" s="527">
        <f t="shared" si="19"/>
        <v>0</v>
      </c>
      <c r="AI167" s="489">
        <v>246</v>
      </c>
      <c r="AJ167" s="489">
        <f t="shared" si="20"/>
        <v>0</v>
      </c>
      <c r="AK167" s="489"/>
      <c r="AL167" s="489"/>
      <c r="AM167" s="489"/>
      <c r="AN167" s="489"/>
    </row>
    <row r="168" spans="1:40" x14ac:dyDescent="0.25">
      <c r="A168" s="332">
        <v>5673</v>
      </c>
      <c r="B168" s="459" t="s">
        <v>98</v>
      </c>
      <c r="C168" s="382">
        <v>607420.5</v>
      </c>
      <c r="D168" s="382">
        <v>90143.52</v>
      </c>
      <c r="E168" s="380"/>
      <c r="F168" s="518">
        <v>2200</v>
      </c>
      <c r="G168" s="382">
        <v>831.1</v>
      </c>
      <c r="H168" s="382">
        <v>830.45</v>
      </c>
      <c r="I168" s="382"/>
      <c r="J168" s="382">
        <v>5680.46</v>
      </c>
      <c r="K168" s="382">
        <v>408</v>
      </c>
      <c r="L168" s="382">
        <v>28648.95</v>
      </c>
      <c r="M168" s="325">
        <f t="shared" si="14"/>
        <v>736162.97999999986</v>
      </c>
      <c r="N168" s="386">
        <v>11063.95</v>
      </c>
      <c r="O168" s="386"/>
      <c r="P168" s="386">
        <v>3890.2</v>
      </c>
      <c r="Q168" s="386"/>
      <c r="R168" s="386"/>
      <c r="S168" s="371">
        <v>188.19</v>
      </c>
      <c r="T168" s="439">
        <f t="shared" si="15"/>
        <v>751305.31999999972</v>
      </c>
      <c r="U168" s="387">
        <v>73.5</v>
      </c>
      <c r="V168" s="390">
        <f>VLOOKUP(B168,'[1]2021'!$C:$D,2,FALSE)</f>
        <v>371</v>
      </c>
      <c r="W168" s="436">
        <v>-3682.67</v>
      </c>
      <c r="X168" s="442"/>
      <c r="Y168" s="442">
        <v>-51.6</v>
      </c>
      <c r="Z168" s="447">
        <v>0.6</v>
      </c>
      <c r="AA168" s="484">
        <v>751305.32</v>
      </c>
      <c r="AB168" s="484">
        <v>-3682.67</v>
      </c>
      <c r="AC168" s="484"/>
      <c r="AD168" s="484">
        <v>-51.6</v>
      </c>
      <c r="AE168" s="526">
        <f t="shared" si="16"/>
        <v>0</v>
      </c>
      <c r="AF168" s="526">
        <f t="shared" si="17"/>
        <v>0</v>
      </c>
      <c r="AG168" s="527">
        <f t="shared" si="18"/>
        <v>0</v>
      </c>
      <c r="AH168" s="527">
        <f t="shared" si="19"/>
        <v>0</v>
      </c>
      <c r="AI168" s="490">
        <v>371</v>
      </c>
      <c r="AJ168" s="489">
        <f t="shared" si="20"/>
        <v>0</v>
      </c>
      <c r="AK168" s="490"/>
      <c r="AL168" s="490"/>
      <c r="AM168" s="490"/>
      <c r="AN168" s="490"/>
    </row>
    <row r="169" spans="1:40" x14ac:dyDescent="0.25">
      <c r="A169" s="332">
        <v>5674</v>
      </c>
      <c r="B169" s="459" t="s">
        <v>99</v>
      </c>
      <c r="C169" s="513">
        <v>236498.07</v>
      </c>
      <c r="D169" s="513">
        <v>53856.55</v>
      </c>
      <c r="E169" s="380"/>
      <c r="F169" s="518"/>
      <c r="G169" s="382">
        <v>282.3</v>
      </c>
      <c r="H169" s="382">
        <v>82.8</v>
      </c>
      <c r="I169" s="382"/>
      <c r="J169" s="382">
        <v>454.23</v>
      </c>
      <c r="K169" s="382">
        <v>64.099999999999994</v>
      </c>
      <c r="L169" s="382">
        <v>17925.95</v>
      </c>
      <c r="M169" s="325">
        <f t="shared" si="14"/>
        <v>309163.99999999994</v>
      </c>
      <c r="N169" s="386"/>
      <c r="O169" s="514">
        <v>4852.5</v>
      </c>
      <c r="P169" s="386">
        <v>16139.75</v>
      </c>
      <c r="Q169" s="386"/>
      <c r="R169" s="386">
        <v>17011.650000000001</v>
      </c>
      <c r="S169" s="371">
        <v>41.35</v>
      </c>
      <c r="T169" s="439">
        <f t="shared" si="15"/>
        <v>347209.24999999994</v>
      </c>
      <c r="U169" s="387">
        <v>75</v>
      </c>
      <c r="V169" s="390">
        <f>VLOOKUP(B169,'[1]2021'!$C:$D,2,FALSE)</f>
        <v>146</v>
      </c>
      <c r="W169" s="436">
        <v>-516.04</v>
      </c>
      <c r="X169" s="442"/>
      <c r="Y169" s="442">
        <v>-76.5</v>
      </c>
      <c r="Z169" s="447">
        <v>0.7</v>
      </c>
      <c r="AA169" s="484">
        <v>347209.25</v>
      </c>
      <c r="AB169" s="484">
        <v>-516.04</v>
      </c>
      <c r="AC169" s="484"/>
      <c r="AD169" s="484">
        <v>-76.5</v>
      </c>
      <c r="AE169" s="526">
        <f t="shared" si="16"/>
        <v>0</v>
      </c>
      <c r="AF169" s="526">
        <f t="shared" si="17"/>
        <v>0</v>
      </c>
      <c r="AG169" s="527">
        <f t="shared" si="18"/>
        <v>0</v>
      </c>
      <c r="AH169" s="527">
        <f t="shared" si="19"/>
        <v>0</v>
      </c>
      <c r="AI169" s="490">
        <v>146</v>
      </c>
      <c r="AJ169" s="489">
        <f t="shared" si="20"/>
        <v>0</v>
      </c>
      <c r="AK169" s="490"/>
      <c r="AL169" s="490"/>
      <c r="AM169" s="490"/>
      <c r="AN169" s="490"/>
    </row>
    <row r="170" spans="1:40" x14ac:dyDescent="0.25">
      <c r="A170" s="332">
        <v>5675</v>
      </c>
      <c r="B170" s="459" t="s">
        <v>100</v>
      </c>
      <c r="C170" s="382">
        <v>5218800.9000000004</v>
      </c>
      <c r="D170" s="382">
        <v>571095.06000000006</v>
      </c>
      <c r="E170" s="380"/>
      <c r="F170" s="518"/>
      <c r="G170" s="382">
        <v>369142.9</v>
      </c>
      <c r="H170" s="382">
        <v>39245.550000000003</v>
      </c>
      <c r="I170" s="382"/>
      <c r="J170" s="382">
        <v>260799.76</v>
      </c>
      <c r="K170" s="382">
        <v>92100.55</v>
      </c>
      <c r="L170" s="382">
        <v>706880.5</v>
      </c>
      <c r="M170" s="325">
        <f t="shared" si="14"/>
        <v>7258065.2200000007</v>
      </c>
      <c r="N170" s="386">
        <v>41543.800000000003</v>
      </c>
      <c r="O170" s="386">
        <v>88404.3</v>
      </c>
      <c r="P170" s="386">
        <v>613887.94999999995</v>
      </c>
      <c r="Q170" s="386">
        <v>83927.44</v>
      </c>
      <c r="R170" s="386">
        <v>327262.84999999998</v>
      </c>
      <c r="S170" s="371">
        <v>46254.94</v>
      </c>
      <c r="T170" s="439">
        <f t="shared" si="15"/>
        <v>8459346.5</v>
      </c>
      <c r="U170" s="387">
        <v>67.5</v>
      </c>
      <c r="V170" s="390">
        <f>VLOOKUP(B170,'[1]2021'!$C:$D,2,FALSE)</f>
        <v>4373</v>
      </c>
      <c r="W170" s="436">
        <v>-220965.2</v>
      </c>
      <c r="X170" s="442"/>
      <c r="Y170" s="442">
        <v>-4006.24</v>
      </c>
      <c r="Z170" s="447">
        <v>1.1000000000000001</v>
      </c>
      <c r="AA170" s="484">
        <v>8459346.5</v>
      </c>
      <c r="AB170" s="484">
        <v>-220965.2</v>
      </c>
      <c r="AC170" s="484"/>
      <c r="AD170" s="484">
        <v>-4006.24</v>
      </c>
      <c r="AE170" s="526">
        <f t="shared" si="16"/>
        <v>0</v>
      </c>
      <c r="AF170" s="526">
        <f t="shared" si="17"/>
        <v>0</v>
      </c>
      <c r="AG170" s="527">
        <f t="shared" si="18"/>
        <v>0</v>
      </c>
      <c r="AH170" s="527">
        <f t="shared" si="19"/>
        <v>0</v>
      </c>
      <c r="AI170" s="490">
        <v>4373</v>
      </c>
      <c r="AJ170" s="489">
        <f t="shared" si="20"/>
        <v>0</v>
      </c>
      <c r="AK170" s="490"/>
      <c r="AL170" s="490"/>
      <c r="AM170" s="490"/>
      <c r="AN170" s="490"/>
    </row>
    <row r="171" spans="1:40" x14ac:dyDescent="0.25">
      <c r="A171" s="332">
        <v>5678</v>
      </c>
      <c r="B171" s="459" t="s">
        <v>101</v>
      </c>
      <c r="C171" s="382">
        <v>6682916.4699999997</v>
      </c>
      <c r="D171" s="382">
        <v>767537.95</v>
      </c>
      <c r="E171" s="380"/>
      <c r="F171" s="518">
        <v>34559.300000000003</v>
      </c>
      <c r="G171" s="382">
        <v>449086.15</v>
      </c>
      <c r="H171" s="382">
        <v>21812.1</v>
      </c>
      <c r="I171" s="382"/>
      <c r="J171" s="382">
        <v>427139.97</v>
      </c>
      <c r="K171" s="382">
        <v>82929.649999999994</v>
      </c>
      <c r="L171" s="382">
        <v>833738</v>
      </c>
      <c r="M171" s="325">
        <f t="shared" si="14"/>
        <v>9299719.5899999999</v>
      </c>
      <c r="N171" s="386">
        <v>212026.15</v>
      </c>
      <c r="O171" s="386">
        <v>448635.9</v>
      </c>
      <c r="P171" s="386">
        <v>653881.19999999995</v>
      </c>
      <c r="Q171" s="386">
        <v>43932.25</v>
      </c>
      <c r="R171" s="386">
        <v>641035.19999999995</v>
      </c>
      <c r="S171" s="371">
        <v>53334.94</v>
      </c>
      <c r="T171" s="439">
        <f t="shared" si="15"/>
        <v>11352565.229999999</v>
      </c>
      <c r="U171" s="387">
        <v>72.5</v>
      </c>
      <c r="V171" s="390">
        <f>VLOOKUP(B171,'[1]2021'!$C:$D,2,FALSE)</f>
        <v>6120</v>
      </c>
      <c r="W171" s="436">
        <v>-341427.49</v>
      </c>
      <c r="X171" s="442"/>
      <c r="Y171" s="442">
        <v>-4887.5200000000004</v>
      </c>
      <c r="Z171" s="447">
        <v>1</v>
      </c>
      <c r="AA171" s="484">
        <v>11352565.23</v>
      </c>
      <c r="AB171" s="484">
        <v>-341427.49</v>
      </c>
      <c r="AC171" s="484"/>
      <c r="AD171" s="484">
        <v>-4887.5200000000004</v>
      </c>
      <c r="AE171" s="526">
        <f t="shared" si="16"/>
        <v>0</v>
      </c>
      <c r="AF171" s="526">
        <f t="shared" si="17"/>
        <v>0</v>
      </c>
      <c r="AG171" s="527">
        <f t="shared" si="18"/>
        <v>0</v>
      </c>
      <c r="AH171" s="527">
        <f t="shared" si="19"/>
        <v>0</v>
      </c>
      <c r="AI171" s="490">
        <v>6120</v>
      </c>
      <c r="AJ171" s="489">
        <f t="shared" si="20"/>
        <v>0</v>
      </c>
      <c r="AK171" s="490"/>
      <c r="AL171" s="490"/>
      <c r="AM171" s="490"/>
      <c r="AN171" s="490"/>
    </row>
    <row r="172" spans="1:40" x14ac:dyDescent="0.25">
      <c r="A172" s="332">
        <v>5680</v>
      </c>
      <c r="B172" s="459" t="s">
        <v>102</v>
      </c>
      <c r="C172" s="382">
        <v>547999.37</v>
      </c>
      <c r="D172" s="382">
        <v>63260.29</v>
      </c>
      <c r="E172" s="380"/>
      <c r="F172" s="518"/>
      <c r="G172" s="382">
        <v>-507.3</v>
      </c>
      <c r="H172" s="382">
        <v>387.75</v>
      </c>
      <c r="I172" s="382"/>
      <c r="J172" s="382">
        <v>10395.280000000001</v>
      </c>
      <c r="K172" s="382">
        <v>625</v>
      </c>
      <c r="L172" s="531">
        <v>76527.55</v>
      </c>
      <c r="M172" s="325">
        <f t="shared" si="14"/>
        <v>698687.94000000006</v>
      </c>
      <c r="N172" s="386"/>
      <c r="O172" s="386">
        <v>12.2</v>
      </c>
      <c r="P172" s="386">
        <v>28101.1</v>
      </c>
      <c r="Q172" s="386">
        <v>0.09</v>
      </c>
      <c r="R172" s="386">
        <v>22073.85</v>
      </c>
      <c r="S172" s="371">
        <v>-13.54</v>
      </c>
      <c r="T172" s="439">
        <f t="shared" si="15"/>
        <v>748861.6399999999</v>
      </c>
      <c r="U172" s="387">
        <v>78</v>
      </c>
      <c r="V172" s="390">
        <f>VLOOKUP(B172,'[1]2021'!$C:$D,2,FALSE)</f>
        <v>321</v>
      </c>
      <c r="W172" s="436">
        <v>-10045.25</v>
      </c>
      <c r="X172" s="442"/>
      <c r="Y172" s="442">
        <v>0</v>
      </c>
      <c r="Z172" s="447">
        <v>1.5</v>
      </c>
      <c r="AA172" s="484"/>
      <c r="AB172" s="484"/>
      <c r="AC172" s="484"/>
      <c r="AD172" s="484"/>
      <c r="AE172" s="526">
        <f t="shared" si="16"/>
        <v>748861.6399999999</v>
      </c>
      <c r="AF172" s="526">
        <f t="shared" si="17"/>
        <v>10045.25</v>
      </c>
      <c r="AG172" s="527">
        <f t="shared" si="18"/>
        <v>0</v>
      </c>
      <c r="AH172" s="527">
        <f t="shared" si="19"/>
        <v>0</v>
      </c>
      <c r="AI172" s="490">
        <v>321</v>
      </c>
      <c r="AJ172" s="489">
        <f t="shared" si="20"/>
        <v>0</v>
      </c>
      <c r="AK172" s="490"/>
      <c r="AL172" s="490"/>
      <c r="AM172" s="490"/>
      <c r="AN172" s="490"/>
    </row>
    <row r="173" spans="1:40" x14ac:dyDescent="0.25">
      <c r="A173" s="332">
        <v>5683</v>
      </c>
      <c r="B173" s="459" t="s">
        <v>103</v>
      </c>
      <c r="C173" s="382">
        <v>331571.86</v>
      </c>
      <c r="D173" s="382">
        <v>26370.17</v>
      </c>
      <c r="E173" s="380"/>
      <c r="F173" s="518"/>
      <c r="G173" s="382">
        <v>1253.6500000000001</v>
      </c>
      <c r="H173" s="382">
        <v>439.45</v>
      </c>
      <c r="I173" s="382"/>
      <c r="J173" s="382">
        <v>862.08</v>
      </c>
      <c r="K173" s="382">
        <v>2220.5</v>
      </c>
      <c r="L173" s="531">
        <v>29104.75</v>
      </c>
      <c r="M173" s="325">
        <f t="shared" si="14"/>
        <v>391822.46</v>
      </c>
      <c r="N173" s="386"/>
      <c r="O173" s="386">
        <v>243.3</v>
      </c>
      <c r="P173" s="386">
        <v>20577.75</v>
      </c>
      <c r="Q173" s="386">
        <v>0</v>
      </c>
      <c r="R173" s="386">
        <v>22067.05</v>
      </c>
      <c r="S173" s="371">
        <v>191.76</v>
      </c>
      <c r="T173" s="439">
        <f t="shared" si="15"/>
        <v>434902.32</v>
      </c>
      <c r="U173" s="387">
        <v>72.5</v>
      </c>
      <c r="V173" s="390">
        <f>VLOOKUP(B173,'[1]2021'!$C:$D,2,FALSE)</f>
        <v>215</v>
      </c>
      <c r="W173" s="436">
        <v>-1497.32</v>
      </c>
      <c r="X173" s="442"/>
      <c r="Y173" s="442">
        <v>0</v>
      </c>
      <c r="Z173" s="447">
        <v>1</v>
      </c>
      <c r="AA173" s="484"/>
      <c r="AB173" s="484"/>
      <c r="AC173" s="484"/>
      <c r="AD173" s="484"/>
      <c r="AE173" s="526">
        <f t="shared" si="16"/>
        <v>434902.32</v>
      </c>
      <c r="AF173" s="526">
        <f t="shared" si="17"/>
        <v>1497.32</v>
      </c>
      <c r="AG173" s="527">
        <f t="shared" si="18"/>
        <v>0</v>
      </c>
      <c r="AH173" s="527">
        <f t="shared" si="19"/>
        <v>0</v>
      </c>
      <c r="AI173" s="490">
        <v>215</v>
      </c>
      <c r="AJ173" s="489">
        <f t="shared" si="20"/>
        <v>0</v>
      </c>
      <c r="AK173" s="490"/>
      <c r="AL173" s="490"/>
      <c r="AM173" s="490"/>
      <c r="AN173" s="490"/>
    </row>
    <row r="174" spans="1:40" x14ac:dyDescent="0.25">
      <c r="A174" s="332">
        <v>5684</v>
      </c>
      <c r="B174" s="459" t="s">
        <v>104</v>
      </c>
      <c r="C174" s="382">
        <v>245383.9</v>
      </c>
      <c r="D174" s="382">
        <v>-5482.69</v>
      </c>
      <c r="E174" s="380"/>
      <c r="F174" s="518"/>
      <c r="G174" s="382">
        <v>1092.7</v>
      </c>
      <c r="H174" s="382">
        <v>9</v>
      </c>
      <c r="I174" s="382"/>
      <c r="J174" s="382">
        <v>116.62</v>
      </c>
      <c r="K174" s="382"/>
      <c r="L174" s="382">
        <v>6461.9</v>
      </c>
      <c r="M174" s="325">
        <f t="shared" si="14"/>
        <v>247581.43</v>
      </c>
      <c r="N174" s="386"/>
      <c r="O174" s="386"/>
      <c r="P174" s="386"/>
      <c r="Q174" s="386"/>
      <c r="R174" s="386"/>
      <c r="S174" s="371">
        <v>124.78</v>
      </c>
      <c r="T174" s="439">
        <f t="shared" si="15"/>
        <v>247706.21</v>
      </c>
      <c r="U174" s="387">
        <v>75</v>
      </c>
      <c r="V174" s="390">
        <f>VLOOKUP(B174,'[1]2021'!$C:$D,2,FALSE)</f>
        <v>93</v>
      </c>
      <c r="W174" s="436">
        <v>-5290.27</v>
      </c>
      <c r="X174" s="442"/>
      <c r="Y174" s="442">
        <v>-20.29</v>
      </c>
      <c r="Z174" s="447">
        <v>0.8</v>
      </c>
      <c r="AA174" s="484">
        <v>247706.21</v>
      </c>
      <c r="AB174" s="484">
        <v>-5290.27</v>
      </c>
      <c r="AC174" s="484"/>
      <c r="AD174" s="484">
        <v>-20.29</v>
      </c>
      <c r="AE174" s="526">
        <f t="shared" si="16"/>
        <v>0</v>
      </c>
      <c r="AF174" s="526">
        <f t="shared" si="17"/>
        <v>0</v>
      </c>
      <c r="AG174" s="527">
        <f t="shared" si="18"/>
        <v>0</v>
      </c>
      <c r="AH174" s="527">
        <f t="shared" si="19"/>
        <v>0</v>
      </c>
      <c r="AI174" s="490">
        <v>93</v>
      </c>
      <c r="AJ174" s="489">
        <f t="shared" si="20"/>
        <v>0</v>
      </c>
      <c r="AK174" s="490"/>
      <c r="AL174" s="490"/>
      <c r="AM174" s="490"/>
      <c r="AN174" s="490"/>
    </row>
    <row r="175" spans="1:40" x14ac:dyDescent="0.25">
      <c r="A175" s="332">
        <v>5688</v>
      </c>
      <c r="B175" s="459" t="s">
        <v>105</v>
      </c>
      <c r="C175" s="513">
        <v>343315.25</v>
      </c>
      <c r="D175" s="513">
        <v>73646.5</v>
      </c>
      <c r="E175" s="380"/>
      <c r="F175" s="518"/>
      <c r="G175" s="382">
        <v>-21922.25</v>
      </c>
      <c r="H175" s="382">
        <v>261.39999999999998</v>
      </c>
      <c r="I175" s="382"/>
      <c r="J175" s="382">
        <v>2193.36</v>
      </c>
      <c r="K175" s="382">
        <v>105</v>
      </c>
      <c r="L175" s="382">
        <v>24705</v>
      </c>
      <c r="M175" s="325">
        <f t="shared" si="14"/>
        <v>422304.26</v>
      </c>
      <c r="N175" s="386"/>
      <c r="O175" s="386"/>
      <c r="P175" s="386">
        <v>8170.65</v>
      </c>
      <c r="Q175" s="386">
        <v>26.03</v>
      </c>
      <c r="R175" s="386">
        <v>17809.55</v>
      </c>
      <c r="S175" s="371">
        <v>-2453.35</v>
      </c>
      <c r="T175" s="439">
        <f t="shared" si="15"/>
        <v>445857.14000000007</v>
      </c>
      <c r="U175" s="387">
        <v>65</v>
      </c>
      <c r="V175" s="390">
        <f>VLOOKUP(B175,'[1]2021'!$C:$D,2,FALSE)</f>
        <v>161</v>
      </c>
      <c r="W175" s="515">
        <v>-13908.64</v>
      </c>
      <c r="X175" s="442"/>
      <c r="Y175" s="442">
        <v>0</v>
      </c>
      <c r="Z175" s="447">
        <v>1</v>
      </c>
      <c r="AA175" s="484">
        <v>445857.14</v>
      </c>
      <c r="AB175" s="484">
        <v>-13908.64</v>
      </c>
      <c r="AC175" s="484"/>
      <c r="AD175" s="484">
        <v>0</v>
      </c>
      <c r="AE175" s="526">
        <f t="shared" si="16"/>
        <v>0</v>
      </c>
      <c r="AF175" s="526">
        <f t="shared" si="17"/>
        <v>0</v>
      </c>
      <c r="AG175" s="527">
        <f t="shared" si="18"/>
        <v>0</v>
      </c>
      <c r="AH175" s="527">
        <f t="shared" si="19"/>
        <v>0</v>
      </c>
      <c r="AI175" s="490">
        <v>161</v>
      </c>
      <c r="AJ175" s="489">
        <f t="shared" si="20"/>
        <v>0</v>
      </c>
      <c r="AK175" s="490"/>
      <c r="AL175" s="490"/>
      <c r="AM175" s="490"/>
      <c r="AN175" s="490"/>
    </row>
    <row r="176" spans="1:40" x14ac:dyDescent="0.25">
      <c r="A176" s="332">
        <v>5690</v>
      </c>
      <c r="B176" s="459" t="s">
        <v>106</v>
      </c>
      <c r="C176" s="382">
        <v>176025.33</v>
      </c>
      <c r="D176" s="382">
        <v>48562.65</v>
      </c>
      <c r="E176" s="380"/>
      <c r="F176" s="518">
        <v>730</v>
      </c>
      <c r="G176" s="382">
        <v>988</v>
      </c>
      <c r="H176" s="382">
        <v>408.4</v>
      </c>
      <c r="I176" s="382"/>
      <c r="J176" s="382"/>
      <c r="K176" s="382">
        <v>184.1</v>
      </c>
      <c r="L176" s="382">
        <v>25168.7</v>
      </c>
      <c r="M176" s="325">
        <f t="shared" si="14"/>
        <v>252067.18</v>
      </c>
      <c r="N176" s="386"/>
      <c r="O176" s="386">
        <v>17912.2</v>
      </c>
      <c r="P176" s="386">
        <v>996.55</v>
      </c>
      <c r="Q176" s="386"/>
      <c r="R176" s="386">
        <v>505.75</v>
      </c>
      <c r="S176" s="371">
        <v>158.16</v>
      </c>
      <c r="T176" s="439">
        <f t="shared" si="15"/>
        <v>271639.83999999997</v>
      </c>
      <c r="U176" s="387">
        <v>70</v>
      </c>
      <c r="V176" s="390">
        <f>VLOOKUP(B176,'[1]2021'!$C:$D,2,FALSE)</f>
        <v>133</v>
      </c>
      <c r="W176" s="436">
        <v>-2328.0500000000002</v>
      </c>
      <c r="X176" s="442"/>
      <c r="Y176" s="442">
        <v>0</v>
      </c>
      <c r="Z176" s="447">
        <v>1.2</v>
      </c>
      <c r="AA176" s="484">
        <v>271639.84000000003</v>
      </c>
      <c r="AB176" s="484">
        <v>-2328.0500000000002</v>
      </c>
      <c r="AC176" s="484"/>
      <c r="AD176" s="484">
        <v>0</v>
      </c>
      <c r="AE176" s="526">
        <f t="shared" si="16"/>
        <v>0</v>
      </c>
      <c r="AF176" s="526">
        <f t="shared" si="17"/>
        <v>0</v>
      </c>
      <c r="AG176" s="527">
        <f t="shared" si="18"/>
        <v>0</v>
      </c>
      <c r="AH176" s="527">
        <f t="shared" si="19"/>
        <v>0</v>
      </c>
      <c r="AI176" s="490">
        <v>133</v>
      </c>
      <c r="AJ176" s="489">
        <f t="shared" si="20"/>
        <v>0</v>
      </c>
      <c r="AK176" s="490"/>
      <c r="AL176" s="490"/>
      <c r="AM176" s="490"/>
      <c r="AN176" s="490"/>
    </row>
    <row r="177" spans="1:40" x14ac:dyDescent="0.25">
      <c r="A177" s="332">
        <v>5692</v>
      </c>
      <c r="B177" s="459" t="s">
        <v>107</v>
      </c>
      <c r="C177" s="382">
        <v>1185147.97</v>
      </c>
      <c r="D177" s="382">
        <v>163167.76999999999</v>
      </c>
      <c r="E177" s="380"/>
      <c r="F177" s="518"/>
      <c r="G177" s="382">
        <v>11843.3</v>
      </c>
      <c r="H177" s="382">
        <v>1824.55</v>
      </c>
      <c r="I177" s="382"/>
      <c r="J177" s="382">
        <v>14293.11</v>
      </c>
      <c r="K177" s="382">
        <v>2474.4499999999998</v>
      </c>
      <c r="L177" s="382">
        <v>99134.9</v>
      </c>
      <c r="M177" s="325">
        <f t="shared" si="14"/>
        <v>1477886.05</v>
      </c>
      <c r="N177" s="386">
        <v>10724.2</v>
      </c>
      <c r="O177" s="386"/>
      <c r="P177" s="386">
        <v>99618</v>
      </c>
      <c r="Q177" s="386">
        <v>1087.77</v>
      </c>
      <c r="R177" s="386">
        <v>94542.7</v>
      </c>
      <c r="S177" s="371">
        <v>1548.05</v>
      </c>
      <c r="T177" s="439">
        <f t="shared" si="15"/>
        <v>1685406.77</v>
      </c>
      <c r="U177" s="387">
        <v>77</v>
      </c>
      <c r="V177" s="390">
        <f>VLOOKUP(B177,'[1]2021'!$C:$D,2,FALSE)</f>
        <v>623</v>
      </c>
      <c r="W177" s="436">
        <v>-33446.31</v>
      </c>
      <c r="X177" s="442"/>
      <c r="Y177" s="442">
        <v>0</v>
      </c>
      <c r="Z177" s="447">
        <v>1</v>
      </c>
      <c r="AA177" s="484">
        <v>1685406.77</v>
      </c>
      <c r="AB177" s="484">
        <v>-33446.31</v>
      </c>
      <c r="AC177" s="484"/>
      <c r="AD177" s="484">
        <v>0</v>
      </c>
      <c r="AE177" s="526">
        <f t="shared" si="16"/>
        <v>0</v>
      </c>
      <c r="AF177" s="526">
        <f t="shared" si="17"/>
        <v>0</v>
      </c>
      <c r="AG177" s="527">
        <f t="shared" si="18"/>
        <v>0</v>
      </c>
      <c r="AH177" s="527">
        <f t="shared" si="19"/>
        <v>0</v>
      </c>
      <c r="AI177" s="490">
        <v>623</v>
      </c>
      <c r="AJ177" s="489">
        <f t="shared" si="20"/>
        <v>0</v>
      </c>
      <c r="AK177" s="490"/>
      <c r="AL177" s="490"/>
      <c r="AM177" s="490"/>
      <c r="AN177" s="490"/>
    </row>
    <row r="178" spans="1:40" x14ac:dyDescent="0.25">
      <c r="A178" s="332">
        <v>5693</v>
      </c>
      <c r="B178" s="459" t="s">
        <v>427</v>
      </c>
      <c r="C178" s="382">
        <v>4210626.55</v>
      </c>
      <c r="D178" s="382">
        <v>514256.55</v>
      </c>
      <c r="E178" s="380"/>
      <c r="F178" s="518"/>
      <c r="G178" s="382">
        <v>114653.7</v>
      </c>
      <c r="H178" s="382">
        <v>4386.95</v>
      </c>
      <c r="I178" s="382"/>
      <c r="J178" s="382">
        <v>70814.34</v>
      </c>
      <c r="K178" s="382">
        <v>9962</v>
      </c>
      <c r="L178" s="382">
        <v>428714.75</v>
      </c>
      <c r="M178" s="325">
        <f t="shared" si="14"/>
        <v>5353414.84</v>
      </c>
      <c r="N178" s="386">
        <v>63509.05</v>
      </c>
      <c r="O178" s="386">
        <v>162899.4</v>
      </c>
      <c r="P178" s="386">
        <v>178469.45</v>
      </c>
      <c r="Q178" s="386">
        <v>25511.61</v>
      </c>
      <c r="R178" s="386">
        <v>143986.65</v>
      </c>
      <c r="S178" s="371">
        <v>13482.8</v>
      </c>
      <c r="T178" s="439">
        <f t="shared" si="15"/>
        <v>5941273.8000000007</v>
      </c>
      <c r="U178" s="387">
        <v>70</v>
      </c>
      <c r="V178" s="390">
        <f>VLOOKUP(B178,'[1]2021'!$C:$D,2,FALSE)</f>
        <v>2768</v>
      </c>
      <c r="W178" s="515">
        <v>-93836.39</v>
      </c>
      <c r="X178" s="442"/>
      <c r="Y178" s="442">
        <v>-261.51</v>
      </c>
      <c r="Z178" s="447">
        <v>1</v>
      </c>
      <c r="AA178" s="484">
        <v>5941273.7999999998</v>
      </c>
      <c r="AB178" s="484">
        <v>-93836.39</v>
      </c>
      <c r="AC178" s="484"/>
      <c r="AD178" s="484">
        <v>-261.51</v>
      </c>
      <c r="AE178" s="526">
        <f t="shared" si="16"/>
        <v>0</v>
      </c>
      <c r="AF178" s="526">
        <f t="shared" si="17"/>
        <v>0</v>
      </c>
      <c r="AG178" s="527">
        <f t="shared" si="18"/>
        <v>0</v>
      </c>
      <c r="AH178" s="527">
        <f t="shared" si="19"/>
        <v>0</v>
      </c>
      <c r="AI178" s="490">
        <v>2768</v>
      </c>
      <c r="AJ178" s="489">
        <f t="shared" si="20"/>
        <v>0</v>
      </c>
      <c r="AK178" s="490"/>
      <c r="AL178" s="490"/>
      <c r="AM178" s="490"/>
      <c r="AN178" s="490"/>
    </row>
    <row r="179" spans="1:40" x14ac:dyDescent="0.25">
      <c r="A179" s="332">
        <v>5701</v>
      </c>
      <c r="B179" s="459" t="s">
        <v>108</v>
      </c>
      <c r="C179" s="382">
        <v>764056.09</v>
      </c>
      <c r="D179" s="382">
        <v>89144.18</v>
      </c>
      <c r="E179" s="380"/>
      <c r="F179" s="518"/>
      <c r="G179" s="382">
        <v>63.65</v>
      </c>
      <c r="H179" s="382">
        <v>1621.4</v>
      </c>
      <c r="I179" s="382">
        <v>65333.35</v>
      </c>
      <c r="J179" s="382">
        <v>21681.83</v>
      </c>
      <c r="K179" s="382">
        <v>508.25</v>
      </c>
      <c r="L179" s="382">
        <v>73466.600000000006</v>
      </c>
      <c r="M179" s="325">
        <f t="shared" si="14"/>
        <v>1015875.35</v>
      </c>
      <c r="N179" s="386">
        <v>1264.6500000000001</v>
      </c>
      <c r="O179" s="386">
        <v>78125</v>
      </c>
      <c r="P179" s="386">
        <v>15950</v>
      </c>
      <c r="Q179" s="386"/>
      <c r="R179" s="386">
        <v>68557</v>
      </c>
      <c r="S179" s="371">
        <v>190.85</v>
      </c>
      <c r="T179" s="439">
        <f t="shared" si="15"/>
        <v>1179962.8500000001</v>
      </c>
      <c r="U179" s="387">
        <v>70</v>
      </c>
      <c r="V179" s="390">
        <f>VLOOKUP(B179,'[1]2021'!$C:$D,2,FALSE)</f>
        <v>226</v>
      </c>
      <c r="W179" s="436">
        <v>-1274.97</v>
      </c>
      <c r="X179" s="442"/>
      <c r="Y179" s="442">
        <v>-581.19000000000005</v>
      </c>
      <c r="Z179" s="447">
        <v>1</v>
      </c>
      <c r="AA179" s="484">
        <v>1179962.8500000001</v>
      </c>
      <c r="AB179" s="484">
        <v>-1274.97</v>
      </c>
      <c r="AC179" s="484"/>
      <c r="AD179" s="484">
        <v>-581.19000000000005</v>
      </c>
      <c r="AE179" s="526">
        <f t="shared" si="16"/>
        <v>0</v>
      </c>
      <c r="AF179" s="526">
        <f t="shared" si="17"/>
        <v>0</v>
      </c>
      <c r="AG179" s="527">
        <f t="shared" si="18"/>
        <v>0</v>
      </c>
      <c r="AH179" s="527">
        <f t="shared" si="19"/>
        <v>0</v>
      </c>
      <c r="AI179" s="490">
        <v>226</v>
      </c>
      <c r="AJ179" s="489">
        <f t="shared" si="20"/>
        <v>0</v>
      </c>
      <c r="AK179" s="490"/>
      <c r="AL179" s="490"/>
      <c r="AM179" s="490"/>
      <c r="AN179" s="490"/>
    </row>
    <row r="180" spans="1:40" x14ac:dyDescent="0.25">
      <c r="A180" s="332">
        <v>5702</v>
      </c>
      <c r="B180" s="459" t="s">
        <v>426</v>
      </c>
      <c r="C180" s="382">
        <v>8101624.1200000001</v>
      </c>
      <c r="D180" s="382">
        <v>1546900.52</v>
      </c>
      <c r="E180" s="380"/>
      <c r="F180" s="518"/>
      <c r="G180" s="382">
        <v>122387</v>
      </c>
      <c r="H180" s="382">
        <v>18812.650000000001</v>
      </c>
      <c r="I180" s="382">
        <v>414594.65</v>
      </c>
      <c r="J180" s="382">
        <v>186766.5</v>
      </c>
      <c r="K180" s="382">
        <v>1851.65</v>
      </c>
      <c r="L180" s="382">
        <v>1263086.8999999999</v>
      </c>
      <c r="M180" s="325">
        <f t="shared" si="14"/>
        <v>11656023.990000002</v>
      </c>
      <c r="N180" s="386">
        <v>76946.45</v>
      </c>
      <c r="O180" s="386">
        <v>111916.4</v>
      </c>
      <c r="P180" s="386">
        <v>811611.15</v>
      </c>
      <c r="Q180" s="386">
        <v>149621.63</v>
      </c>
      <c r="R180" s="386">
        <v>543079.1</v>
      </c>
      <c r="S180" s="371">
        <v>15992.57</v>
      </c>
      <c r="T180" s="439">
        <f t="shared" si="15"/>
        <v>13365191.290000003</v>
      </c>
      <c r="U180" s="387">
        <v>64</v>
      </c>
      <c r="V180" s="390">
        <f>VLOOKUP(B180,'[1]2021'!$C:$D,2,FALSE)</f>
        <v>2947</v>
      </c>
      <c r="W180" s="436">
        <v>-186322.45</v>
      </c>
      <c r="X180" s="442"/>
      <c r="Y180" s="442">
        <v>-23057.17</v>
      </c>
      <c r="Z180" s="447">
        <v>1.5</v>
      </c>
      <c r="AA180" s="484">
        <v>13365191.289999999</v>
      </c>
      <c r="AB180" s="484">
        <v>-186322.45</v>
      </c>
      <c r="AC180" s="484"/>
      <c r="AD180" s="484">
        <v>-23057.17</v>
      </c>
      <c r="AE180" s="526">
        <f t="shared" si="16"/>
        <v>0</v>
      </c>
      <c r="AF180" s="526">
        <f t="shared" si="17"/>
        <v>0</v>
      </c>
      <c r="AG180" s="527">
        <f t="shared" si="18"/>
        <v>0</v>
      </c>
      <c r="AH180" s="527">
        <f t="shared" si="19"/>
        <v>0</v>
      </c>
      <c r="AI180" s="490">
        <v>2947</v>
      </c>
      <c r="AJ180" s="489">
        <f t="shared" si="20"/>
        <v>0</v>
      </c>
      <c r="AK180" s="490"/>
      <c r="AL180" s="490"/>
      <c r="AM180" s="490"/>
      <c r="AN180" s="490"/>
    </row>
    <row r="181" spans="1:40" x14ac:dyDescent="0.25">
      <c r="A181" s="332">
        <v>5703</v>
      </c>
      <c r="B181" s="459" t="s">
        <v>109</v>
      </c>
      <c r="C181" s="382">
        <v>3949712.7</v>
      </c>
      <c r="D181" s="382">
        <v>516881.8</v>
      </c>
      <c r="E181" s="380"/>
      <c r="F181" s="518"/>
      <c r="G181" s="382">
        <v>29457.7</v>
      </c>
      <c r="H181" s="382">
        <v>1603.45</v>
      </c>
      <c r="I181" s="382"/>
      <c r="J181" s="382">
        <v>31253.81</v>
      </c>
      <c r="K181" s="382">
        <v>927.75</v>
      </c>
      <c r="L181" s="382">
        <v>474336.25</v>
      </c>
      <c r="M181" s="325">
        <f t="shared" si="14"/>
        <v>5004173.46</v>
      </c>
      <c r="N181" s="386">
        <v>30033.35</v>
      </c>
      <c r="O181" s="386"/>
      <c r="P181" s="386">
        <v>298205.34999999998</v>
      </c>
      <c r="Q181" s="386">
        <v>6774.96</v>
      </c>
      <c r="R181" s="386">
        <v>181551.1</v>
      </c>
      <c r="S181" s="371">
        <v>3518.05</v>
      </c>
      <c r="T181" s="439">
        <f t="shared" si="15"/>
        <v>5524256.2699999986</v>
      </c>
      <c r="U181" s="387">
        <v>72.5</v>
      </c>
      <c r="V181" s="390">
        <f>VLOOKUP(B181,'[1]2021'!$C:$D,2,FALSE)</f>
        <v>1487</v>
      </c>
      <c r="W181" s="436">
        <v>-33422.980000000003</v>
      </c>
      <c r="X181" s="442"/>
      <c r="Y181" s="442">
        <v>-2500.88</v>
      </c>
      <c r="Z181" s="447">
        <v>1.4</v>
      </c>
      <c r="AA181" s="484">
        <v>5524256.2699999996</v>
      </c>
      <c r="AB181" s="484">
        <v>-33422.980000000003</v>
      </c>
      <c r="AC181" s="484"/>
      <c r="AD181" s="484">
        <v>-2500.88</v>
      </c>
      <c r="AE181" s="526">
        <f t="shared" si="16"/>
        <v>0</v>
      </c>
      <c r="AF181" s="526">
        <f t="shared" si="17"/>
        <v>0</v>
      </c>
      <c r="AG181" s="527">
        <f t="shared" si="18"/>
        <v>0</v>
      </c>
      <c r="AH181" s="527">
        <f t="shared" si="19"/>
        <v>0</v>
      </c>
      <c r="AI181" s="490">
        <v>1487</v>
      </c>
      <c r="AJ181" s="489">
        <f t="shared" si="20"/>
        <v>0</v>
      </c>
      <c r="AK181" s="490"/>
      <c r="AL181" s="490"/>
      <c r="AM181" s="490"/>
      <c r="AN181" s="490"/>
    </row>
    <row r="182" spans="1:40" x14ac:dyDescent="0.25">
      <c r="A182" s="332">
        <v>5704</v>
      </c>
      <c r="B182" s="459" t="s">
        <v>214</v>
      </c>
      <c r="C182" s="382">
        <v>8082094.4199999999</v>
      </c>
      <c r="D182" s="382">
        <v>3643815.88</v>
      </c>
      <c r="E182" s="380"/>
      <c r="F182" s="518"/>
      <c r="G182" s="382">
        <v>59989.8</v>
      </c>
      <c r="H182" s="382">
        <v>6981</v>
      </c>
      <c r="I182" s="382">
        <v>331610.95</v>
      </c>
      <c r="J182" s="382">
        <v>134617.20000000001</v>
      </c>
      <c r="K182" s="382">
        <v>15685.15</v>
      </c>
      <c r="L182" s="382">
        <v>793867.2</v>
      </c>
      <c r="M182" s="325">
        <f t="shared" si="14"/>
        <v>13068661.6</v>
      </c>
      <c r="N182" s="386">
        <v>24992.05</v>
      </c>
      <c r="O182" s="386">
        <v>119098.2</v>
      </c>
      <c r="P182" s="386">
        <v>311473.3</v>
      </c>
      <c r="Q182" s="386">
        <v>12522.13</v>
      </c>
      <c r="R182" s="386">
        <v>194104</v>
      </c>
      <c r="S182" s="371">
        <v>7585.26</v>
      </c>
      <c r="T182" s="439">
        <f t="shared" si="15"/>
        <v>13738436.540000001</v>
      </c>
      <c r="U182" s="387">
        <v>62.5</v>
      </c>
      <c r="V182" s="390">
        <f>VLOOKUP(B182,'[1]2021'!$C:$D,2,FALSE)</f>
        <v>1941</v>
      </c>
      <c r="W182" s="436">
        <v>-55365.69</v>
      </c>
      <c r="X182" s="442"/>
      <c r="Y182" s="442">
        <v>-122321.3</v>
      </c>
      <c r="Z182" s="447">
        <v>1.5</v>
      </c>
      <c r="AA182" s="484">
        <v>13738436.539999999</v>
      </c>
      <c r="AB182" s="484">
        <v>-55365.69</v>
      </c>
      <c r="AC182" s="484"/>
      <c r="AD182" s="484">
        <v>-122321.3</v>
      </c>
      <c r="AE182" s="526">
        <f t="shared" si="16"/>
        <v>0</v>
      </c>
      <c r="AF182" s="526">
        <f t="shared" si="17"/>
        <v>0</v>
      </c>
      <c r="AG182" s="527">
        <f t="shared" si="18"/>
        <v>0</v>
      </c>
      <c r="AH182" s="527">
        <f t="shared" si="19"/>
        <v>0</v>
      </c>
      <c r="AI182" s="490">
        <v>1941</v>
      </c>
      <c r="AJ182" s="489">
        <f t="shared" si="20"/>
        <v>0</v>
      </c>
      <c r="AK182" s="490"/>
      <c r="AL182" s="490"/>
      <c r="AM182" s="490"/>
      <c r="AN182" s="490"/>
    </row>
    <row r="183" spans="1:40" x14ac:dyDescent="0.25">
      <c r="A183" s="332">
        <v>5705</v>
      </c>
      <c r="B183" s="459" t="s">
        <v>215</v>
      </c>
      <c r="C183" s="382">
        <v>2949886.67</v>
      </c>
      <c r="D183" s="382">
        <v>501881.45</v>
      </c>
      <c r="E183" s="380"/>
      <c r="F183" s="518"/>
      <c r="G183" s="382">
        <v>59163.8</v>
      </c>
      <c r="H183" s="382">
        <v>1655.1</v>
      </c>
      <c r="I183" s="382">
        <v>106832.5</v>
      </c>
      <c r="J183" s="382">
        <v>21583.82</v>
      </c>
      <c r="K183" s="382">
        <v>11017.25</v>
      </c>
      <c r="L183" s="382">
        <v>231509.5</v>
      </c>
      <c r="M183" s="325">
        <f t="shared" si="14"/>
        <v>3883530.09</v>
      </c>
      <c r="N183" s="386">
        <v>47048.800000000003</v>
      </c>
      <c r="O183" s="386"/>
      <c r="P183" s="386">
        <v>332784.75</v>
      </c>
      <c r="Q183" s="386">
        <v>1831.91</v>
      </c>
      <c r="R183" s="386">
        <v>211433.65</v>
      </c>
      <c r="S183" s="371">
        <v>6888.48</v>
      </c>
      <c r="T183" s="439">
        <f t="shared" si="15"/>
        <v>4483517.6800000006</v>
      </c>
      <c r="U183" s="387">
        <v>74.5</v>
      </c>
      <c r="V183" s="390">
        <f>VLOOKUP(B183,'[1]2021'!$C:$D,2,FALSE)</f>
        <v>888</v>
      </c>
      <c r="W183" s="436">
        <v>-15256.03</v>
      </c>
      <c r="X183" s="442"/>
      <c r="Y183" s="442">
        <v>-6470.74</v>
      </c>
      <c r="Z183" s="447">
        <v>1</v>
      </c>
      <c r="AA183" s="484">
        <v>4483517.68</v>
      </c>
      <c r="AB183" s="484">
        <v>-15256.03</v>
      </c>
      <c r="AC183" s="484"/>
      <c r="AD183" s="484">
        <v>-6470.74</v>
      </c>
      <c r="AE183" s="526">
        <f t="shared" si="16"/>
        <v>0</v>
      </c>
      <c r="AF183" s="526">
        <f t="shared" si="17"/>
        <v>0</v>
      </c>
      <c r="AG183" s="527">
        <f t="shared" si="18"/>
        <v>0</v>
      </c>
      <c r="AH183" s="527">
        <f t="shared" si="19"/>
        <v>0</v>
      </c>
      <c r="AI183" s="490">
        <v>888</v>
      </c>
      <c r="AJ183" s="489">
        <f t="shared" si="20"/>
        <v>0</v>
      </c>
      <c r="AK183" s="490"/>
      <c r="AL183" s="490"/>
      <c r="AM183" s="490"/>
      <c r="AN183" s="490"/>
    </row>
    <row r="184" spans="1:40" x14ac:dyDescent="0.25">
      <c r="A184" s="332">
        <v>5706</v>
      </c>
      <c r="B184" s="459" t="s">
        <v>216</v>
      </c>
      <c r="C184" s="382">
        <v>3219818.98</v>
      </c>
      <c r="D184" s="382">
        <v>500991.95</v>
      </c>
      <c r="E184" s="380"/>
      <c r="F184" s="518"/>
      <c r="G184" s="382">
        <v>-5879.5</v>
      </c>
      <c r="H184" s="382">
        <v>10304.65</v>
      </c>
      <c r="I184" s="382">
        <v>14964.7</v>
      </c>
      <c r="J184" s="382">
        <v>32456.15</v>
      </c>
      <c r="K184" s="382">
        <v>10637.7</v>
      </c>
      <c r="L184" s="382">
        <v>435111.45</v>
      </c>
      <c r="M184" s="325">
        <f t="shared" si="14"/>
        <v>4218406.08</v>
      </c>
      <c r="N184" s="386">
        <v>10314.15</v>
      </c>
      <c r="O184" s="386"/>
      <c r="P184" s="386">
        <v>201410</v>
      </c>
      <c r="Q184" s="386"/>
      <c r="R184" s="386">
        <v>118489.60000000001</v>
      </c>
      <c r="S184" s="371">
        <v>501.2</v>
      </c>
      <c r="T184" s="439">
        <f t="shared" si="15"/>
        <v>4549121.03</v>
      </c>
      <c r="U184" s="387">
        <v>57</v>
      </c>
      <c r="V184" s="390">
        <f>VLOOKUP(B184,'[1]2021'!$C:$D,2,FALSE)</f>
        <v>1165</v>
      </c>
      <c r="W184" s="436">
        <v>-7286.69</v>
      </c>
      <c r="X184" s="442"/>
      <c r="Y184" s="442">
        <v>-7727.67</v>
      </c>
      <c r="Z184" s="447">
        <v>1.5</v>
      </c>
      <c r="AA184" s="484">
        <v>4549121.03</v>
      </c>
      <c r="AB184" s="484">
        <v>-7286.69</v>
      </c>
      <c r="AC184" s="484"/>
      <c r="AD184" s="484">
        <v>-7727.67</v>
      </c>
      <c r="AE184" s="526">
        <f t="shared" si="16"/>
        <v>0</v>
      </c>
      <c r="AF184" s="526">
        <f t="shared" si="17"/>
        <v>0</v>
      </c>
      <c r="AG184" s="527">
        <f t="shared" si="18"/>
        <v>0</v>
      </c>
      <c r="AH184" s="527">
        <f t="shared" si="19"/>
        <v>0</v>
      </c>
      <c r="AI184" s="490">
        <v>1165</v>
      </c>
      <c r="AJ184" s="489">
        <f t="shared" si="20"/>
        <v>0</v>
      </c>
      <c r="AK184" s="490"/>
      <c r="AL184" s="490"/>
      <c r="AM184" s="490"/>
      <c r="AN184" s="490"/>
    </row>
    <row r="185" spans="1:40" x14ac:dyDescent="0.25">
      <c r="A185" s="332">
        <v>5707</v>
      </c>
      <c r="B185" s="459" t="s">
        <v>217</v>
      </c>
      <c r="C185" s="382">
        <v>3479956</v>
      </c>
      <c r="D185" s="382">
        <v>683312.49</v>
      </c>
      <c r="E185" s="380"/>
      <c r="F185" s="518"/>
      <c r="G185" s="382">
        <v>276580.65000000002</v>
      </c>
      <c r="H185" s="382">
        <v>7899.55</v>
      </c>
      <c r="I185" s="382">
        <v>36135.800000000003</v>
      </c>
      <c r="J185" s="382">
        <v>70076.149999999994</v>
      </c>
      <c r="K185" s="382">
        <v>60635.1</v>
      </c>
      <c r="L185" s="382">
        <v>718694.9</v>
      </c>
      <c r="M185" s="325">
        <f t="shared" si="14"/>
        <v>5333290.6400000006</v>
      </c>
      <c r="N185" s="386">
        <v>706882.95</v>
      </c>
      <c r="O185" s="386"/>
      <c r="P185" s="386">
        <v>517016.35</v>
      </c>
      <c r="Q185" s="386">
        <v>4114.8599999999997</v>
      </c>
      <c r="R185" s="386">
        <v>331529.5</v>
      </c>
      <c r="S185" s="371">
        <v>32220.83</v>
      </c>
      <c r="T185" s="439">
        <f t="shared" si="15"/>
        <v>6925055.1300000008</v>
      </c>
      <c r="U185" s="387">
        <v>58</v>
      </c>
      <c r="V185" s="390">
        <f>VLOOKUP(B185,'[1]2021'!$C:$D,2,FALSE)</f>
        <v>1330</v>
      </c>
      <c r="W185" s="436">
        <v>-13446.05</v>
      </c>
      <c r="X185" s="442"/>
      <c r="Y185" s="442">
        <v>-11373.21</v>
      </c>
      <c r="Z185" s="447">
        <v>1.5</v>
      </c>
      <c r="AA185" s="484">
        <v>6925055.1299999999</v>
      </c>
      <c r="AB185" s="484">
        <v>-13446.05</v>
      </c>
      <c r="AC185" s="484"/>
      <c r="AD185" s="484">
        <v>-11373.21</v>
      </c>
      <c r="AE185" s="526">
        <f t="shared" si="16"/>
        <v>0</v>
      </c>
      <c r="AF185" s="526">
        <f t="shared" si="17"/>
        <v>0</v>
      </c>
      <c r="AG185" s="527">
        <f t="shared" si="18"/>
        <v>0</v>
      </c>
      <c r="AH185" s="527">
        <f t="shared" si="19"/>
        <v>0</v>
      </c>
      <c r="AI185" s="490">
        <v>1330</v>
      </c>
      <c r="AJ185" s="489">
        <f t="shared" si="20"/>
        <v>0</v>
      </c>
      <c r="AK185" s="490"/>
      <c r="AL185" s="490"/>
      <c r="AM185" s="490"/>
      <c r="AN185" s="490"/>
    </row>
    <row r="186" spans="1:40" x14ac:dyDescent="0.25">
      <c r="A186" s="332">
        <v>5708</v>
      </c>
      <c r="B186" s="459" t="s">
        <v>218</v>
      </c>
      <c r="C186" s="382">
        <v>3588220.12</v>
      </c>
      <c r="D186" s="382">
        <v>647936.54</v>
      </c>
      <c r="E186" s="380"/>
      <c r="F186" s="518"/>
      <c r="G186" s="382">
        <v>152931.25</v>
      </c>
      <c r="H186" s="382">
        <v>644.20000000000005</v>
      </c>
      <c r="I186" s="382"/>
      <c r="J186" s="382">
        <v>-140648.74</v>
      </c>
      <c r="K186" s="382">
        <v>2504.3000000000002</v>
      </c>
      <c r="L186" s="382">
        <v>438216.3</v>
      </c>
      <c r="M186" s="325">
        <f t="shared" si="14"/>
        <v>4689803.97</v>
      </c>
      <c r="N186" s="386">
        <v>11789.25</v>
      </c>
      <c r="O186" s="386"/>
      <c r="P186" s="386">
        <v>149748.1</v>
      </c>
      <c r="Q186" s="386"/>
      <c r="R186" s="386">
        <v>133122</v>
      </c>
      <c r="S186" s="371">
        <v>17394.28</v>
      </c>
      <c r="T186" s="439">
        <f t="shared" si="15"/>
        <v>5001857.5999999996</v>
      </c>
      <c r="U186" s="387">
        <v>68</v>
      </c>
      <c r="V186" s="390">
        <f>VLOOKUP(B186,'[1]2021'!$C:$D,2,FALSE)</f>
        <v>1005</v>
      </c>
      <c r="W186" s="436">
        <v>-404.54</v>
      </c>
      <c r="X186" s="442"/>
      <c r="Y186" s="442">
        <v>-4610.09</v>
      </c>
      <c r="Z186" s="447">
        <v>1.5</v>
      </c>
      <c r="AA186" s="484">
        <v>5001857.5999999996</v>
      </c>
      <c r="AB186" s="484">
        <v>-404.54</v>
      </c>
      <c r="AC186" s="484"/>
      <c r="AD186" s="484">
        <v>-4610.09</v>
      </c>
      <c r="AE186" s="526">
        <f t="shared" si="16"/>
        <v>0</v>
      </c>
      <c r="AF186" s="526">
        <f t="shared" si="17"/>
        <v>0</v>
      </c>
      <c r="AG186" s="527">
        <f t="shared" si="18"/>
        <v>0</v>
      </c>
      <c r="AH186" s="527">
        <f t="shared" si="19"/>
        <v>0</v>
      </c>
      <c r="AI186" s="490">
        <v>1005</v>
      </c>
      <c r="AJ186" s="489">
        <f t="shared" si="20"/>
        <v>0</v>
      </c>
      <c r="AK186" s="490"/>
      <c r="AL186" s="490"/>
      <c r="AM186" s="490"/>
      <c r="AN186" s="490"/>
    </row>
    <row r="187" spans="1:40" x14ac:dyDescent="0.25">
      <c r="A187" s="332">
        <v>5709</v>
      </c>
      <c r="B187" s="459" t="s">
        <v>219</v>
      </c>
      <c r="C187" s="382">
        <v>3299310.07</v>
      </c>
      <c r="D187" s="382">
        <v>775602.39</v>
      </c>
      <c r="E187" s="380"/>
      <c r="F187" s="518"/>
      <c r="G187" s="382">
        <v>9957</v>
      </c>
      <c r="H187" s="382">
        <v>12982.65</v>
      </c>
      <c r="I187" s="382">
        <v>544660.1</v>
      </c>
      <c r="J187" s="382">
        <v>33643.4</v>
      </c>
      <c r="K187" s="382">
        <v>6284.05</v>
      </c>
      <c r="L187" s="382">
        <v>393676.85</v>
      </c>
      <c r="M187" s="325">
        <f t="shared" si="14"/>
        <v>5076116.51</v>
      </c>
      <c r="N187" s="386">
        <v>45594</v>
      </c>
      <c r="O187" s="386"/>
      <c r="P187" s="386">
        <v>170346.85</v>
      </c>
      <c r="Q187" s="386"/>
      <c r="R187" s="386">
        <v>1665970.35</v>
      </c>
      <c r="S187" s="371">
        <v>2598.19</v>
      </c>
      <c r="T187" s="439">
        <f t="shared" si="15"/>
        <v>6960625.8999999994</v>
      </c>
      <c r="U187" s="387">
        <v>57</v>
      </c>
      <c r="V187" s="390">
        <f>VLOOKUP(B187,'[1]2021'!$C:$D,2,FALSE)</f>
        <v>1263</v>
      </c>
      <c r="W187" s="436">
        <v>-37331.360000000001</v>
      </c>
      <c r="X187" s="442"/>
      <c r="Y187" s="442">
        <v>-5867.36</v>
      </c>
      <c r="Z187" s="447">
        <v>1</v>
      </c>
      <c r="AA187" s="484">
        <v>6960625.9000000004</v>
      </c>
      <c r="AB187" s="484">
        <v>-37331.360000000001</v>
      </c>
      <c r="AC187" s="484"/>
      <c r="AD187" s="484">
        <v>-5867.36</v>
      </c>
      <c r="AE187" s="526">
        <f t="shared" si="16"/>
        <v>0</v>
      </c>
      <c r="AF187" s="526">
        <f t="shared" si="17"/>
        <v>0</v>
      </c>
      <c r="AG187" s="527">
        <f t="shared" si="18"/>
        <v>0</v>
      </c>
      <c r="AH187" s="527">
        <f t="shared" si="19"/>
        <v>0</v>
      </c>
      <c r="AI187" s="490">
        <v>1263</v>
      </c>
      <c r="AJ187" s="489">
        <f t="shared" si="20"/>
        <v>0</v>
      </c>
      <c r="AK187" s="490"/>
      <c r="AL187" s="490"/>
      <c r="AM187" s="490"/>
      <c r="AN187" s="490"/>
    </row>
    <row r="188" spans="1:40" x14ac:dyDescent="0.25">
      <c r="A188" s="332">
        <v>5710</v>
      </c>
      <c r="B188" s="459" t="s">
        <v>220</v>
      </c>
      <c r="C188" s="382">
        <v>1279873.33</v>
      </c>
      <c r="D188" s="382">
        <v>331736.81</v>
      </c>
      <c r="E188" s="380"/>
      <c r="F188" s="518"/>
      <c r="G188" s="382">
        <v>-386473.95</v>
      </c>
      <c r="H188" s="382">
        <v>735616.95</v>
      </c>
      <c r="I188" s="382">
        <v>110957.8</v>
      </c>
      <c r="J188" s="382">
        <v>13621.24</v>
      </c>
      <c r="K188" s="382">
        <v>-26200.55</v>
      </c>
      <c r="L188" s="382">
        <v>134068.20000000001</v>
      </c>
      <c r="M188" s="325">
        <f t="shared" si="14"/>
        <v>2193199.83</v>
      </c>
      <c r="N188" s="386">
        <v>46509.95</v>
      </c>
      <c r="O188" s="386"/>
      <c r="P188" s="386">
        <v>102602.5</v>
      </c>
      <c r="Q188" s="386">
        <v>11.45</v>
      </c>
      <c r="R188" s="386">
        <v>55699.25</v>
      </c>
      <c r="S188" s="371">
        <v>39544.68</v>
      </c>
      <c r="T188" s="439">
        <f t="shared" si="15"/>
        <v>2437567.6600000006</v>
      </c>
      <c r="U188" s="387">
        <v>51</v>
      </c>
      <c r="V188" s="390">
        <f>VLOOKUP(B188,'[1]2021'!$C:$D,2,FALSE)</f>
        <v>508</v>
      </c>
      <c r="W188" s="436">
        <v>-10534.21</v>
      </c>
      <c r="X188" s="442"/>
      <c r="Y188" s="442">
        <v>-8196.23</v>
      </c>
      <c r="Z188" s="447">
        <v>1</v>
      </c>
      <c r="AA188" s="484">
        <v>2437567.66</v>
      </c>
      <c r="AB188" s="484">
        <v>-10534.21</v>
      </c>
      <c r="AC188" s="484"/>
      <c r="AD188" s="484">
        <v>-8196.23</v>
      </c>
      <c r="AE188" s="526">
        <f t="shared" si="16"/>
        <v>0</v>
      </c>
      <c r="AF188" s="526">
        <f t="shared" si="17"/>
        <v>0</v>
      </c>
      <c r="AG188" s="527">
        <f t="shared" si="18"/>
        <v>0</v>
      </c>
      <c r="AH188" s="527">
        <f t="shared" si="19"/>
        <v>0</v>
      </c>
      <c r="AI188" s="490">
        <v>508</v>
      </c>
      <c r="AJ188" s="489">
        <f t="shared" si="20"/>
        <v>0</v>
      </c>
      <c r="AK188" s="490"/>
      <c r="AL188" s="490"/>
      <c r="AM188" s="490"/>
      <c r="AN188" s="490"/>
    </row>
    <row r="189" spans="1:40" x14ac:dyDescent="0.25">
      <c r="A189" s="332">
        <v>5711</v>
      </c>
      <c r="B189" s="459" t="s">
        <v>221</v>
      </c>
      <c r="C189" s="382">
        <v>11949961.24</v>
      </c>
      <c r="D189" s="382">
        <v>2581634.71</v>
      </c>
      <c r="E189" s="380"/>
      <c r="F189" s="518"/>
      <c r="G189" s="382">
        <v>79953.350000000006</v>
      </c>
      <c r="H189" s="382">
        <v>10194.700000000001</v>
      </c>
      <c r="I189" s="382">
        <v>162941.45000000001</v>
      </c>
      <c r="J189" s="382">
        <v>150861.20000000001</v>
      </c>
      <c r="K189" s="382">
        <v>17437.5</v>
      </c>
      <c r="L189" s="382">
        <v>1241659.7</v>
      </c>
      <c r="M189" s="325">
        <f t="shared" si="14"/>
        <v>16194643.849999996</v>
      </c>
      <c r="N189" s="386">
        <v>25768.5</v>
      </c>
      <c r="O189" s="386">
        <v>56023.8</v>
      </c>
      <c r="P189" s="386">
        <v>1095794.3</v>
      </c>
      <c r="Q189" s="386">
        <v>-3967.2</v>
      </c>
      <c r="R189" s="386">
        <v>1039147.95</v>
      </c>
      <c r="S189" s="371">
        <v>10210.36</v>
      </c>
      <c r="T189" s="439">
        <f t="shared" si="15"/>
        <v>18417621.559999995</v>
      </c>
      <c r="U189" s="387">
        <v>55.5</v>
      </c>
      <c r="V189" s="390">
        <f>VLOOKUP(B189,'[1]2021'!$C:$D,2,FALSE)</f>
        <v>3001</v>
      </c>
      <c r="W189" s="436">
        <v>4758.5200000000004</v>
      </c>
      <c r="X189" s="442"/>
      <c r="Y189" s="442">
        <v>-30955.25</v>
      </c>
      <c r="Z189" s="447">
        <v>1.3</v>
      </c>
      <c r="AA189" s="484">
        <v>18417621.559999999</v>
      </c>
      <c r="AB189" s="484">
        <v>4758.5200000000004</v>
      </c>
      <c r="AC189" s="484"/>
      <c r="AD189" s="484">
        <v>-30955.25</v>
      </c>
      <c r="AE189" s="526">
        <f t="shared" si="16"/>
        <v>0</v>
      </c>
      <c r="AF189" s="526">
        <f t="shared" si="17"/>
        <v>0</v>
      </c>
      <c r="AG189" s="527">
        <f t="shared" si="18"/>
        <v>0</v>
      </c>
      <c r="AH189" s="527">
        <f t="shared" si="19"/>
        <v>0</v>
      </c>
      <c r="AI189" s="490">
        <v>3001</v>
      </c>
      <c r="AJ189" s="489">
        <f t="shared" si="20"/>
        <v>0</v>
      </c>
      <c r="AK189" s="490"/>
      <c r="AL189" s="490"/>
      <c r="AM189" s="490"/>
      <c r="AN189" s="490"/>
    </row>
    <row r="190" spans="1:40" x14ac:dyDescent="0.25">
      <c r="A190" s="332">
        <v>5712</v>
      </c>
      <c r="B190" s="459" t="s">
        <v>222</v>
      </c>
      <c r="C190" s="382">
        <v>11157052.970000001</v>
      </c>
      <c r="D190" s="382">
        <v>4214779.21</v>
      </c>
      <c r="E190" s="380"/>
      <c r="F190" s="518"/>
      <c r="G190" s="382">
        <v>134589.29999999999</v>
      </c>
      <c r="H190" s="382">
        <v>36444.9</v>
      </c>
      <c r="I190" s="382">
        <v>1088137.19</v>
      </c>
      <c r="J190" s="382">
        <v>-86074.68</v>
      </c>
      <c r="K190" s="382">
        <v>25170.5</v>
      </c>
      <c r="L190" s="382">
        <v>1810541.7</v>
      </c>
      <c r="M190" s="325">
        <f t="shared" si="14"/>
        <v>18380641.09</v>
      </c>
      <c r="N190" s="386">
        <v>136878.75</v>
      </c>
      <c r="O190" s="386">
        <v>510250</v>
      </c>
      <c r="P190" s="386">
        <v>972593.2</v>
      </c>
      <c r="Q190" s="386">
        <v>2167.21</v>
      </c>
      <c r="R190" s="386">
        <v>570732.44999999995</v>
      </c>
      <c r="S190" s="371">
        <v>19371.7</v>
      </c>
      <c r="T190" s="439">
        <f t="shared" si="15"/>
        <v>20592634.399999999</v>
      </c>
      <c r="U190" s="387">
        <v>53</v>
      </c>
      <c r="V190" s="390">
        <f>VLOOKUP(B190,'[1]2021'!$C:$D,2,FALSE)</f>
        <v>3211</v>
      </c>
      <c r="W190" s="436">
        <v>-56289.72</v>
      </c>
      <c r="X190" s="442"/>
      <c r="Y190" s="442">
        <v>-53393.47</v>
      </c>
      <c r="Z190" s="447">
        <v>1.5</v>
      </c>
      <c r="AA190" s="484">
        <v>20592634.399999999</v>
      </c>
      <c r="AB190" s="484">
        <v>-56289.72</v>
      </c>
      <c r="AC190" s="484"/>
      <c r="AD190" s="484">
        <v>-53393.47</v>
      </c>
      <c r="AE190" s="526">
        <f t="shared" si="16"/>
        <v>0</v>
      </c>
      <c r="AF190" s="526">
        <f t="shared" si="17"/>
        <v>0</v>
      </c>
      <c r="AG190" s="527">
        <f t="shared" si="18"/>
        <v>0</v>
      </c>
      <c r="AH190" s="527">
        <f t="shared" si="19"/>
        <v>0</v>
      </c>
      <c r="AI190" s="490">
        <v>3211</v>
      </c>
      <c r="AJ190" s="489">
        <f t="shared" si="20"/>
        <v>0</v>
      </c>
      <c r="AK190" s="490"/>
      <c r="AL190" s="490"/>
      <c r="AM190" s="490"/>
      <c r="AN190" s="490"/>
    </row>
    <row r="191" spans="1:40" x14ac:dyDescent="0.25">
      <c r="A191" s="332">
        <v>5713</v>
      </c>
      <c r="B191" s="459" t="s">
        <v>584</v>
      </c>
      <c r="C191" s="382">
        <v>9731853.0800000001</v>
      </c>
      <c r="D191" s="382">
        <v>5268318.41</v>
      </c>
      <c r="E191" s="380"/>
      <c r="F191" s="518"/>
      <c r="G191" s="382">
        <v>39949.9</v>
      </c>
      <c r="H191" s="382">
        <v>9549.85</v>
      </c>
      <c r="I191" s="382">
        <v>535479.17000000004</v>
      </c>
      <c r="J191" s="382">
        <v>541679.1</v>
      </c>
      <c r="K191" s="382">
        <v>18938.05</v>
      </c>
      <c r="L191" s="382">
        <v>898983.85</v>
      </c>
      <c r="M191" s="325">
        <f t="shared" si="14"/>
        <v>17044751.41</v>
      </c>
      <c r="N191" s="386">
        <v>40096.699999999997</v>
      </c>
      <c r="O191" s="386">
        <v>1474721.4</v>
      </c>
      <c r="P191" s="386">
        <v>677094</v>
      </c>
      <c r="Q191" s="386">
        <v>3865.85</v>
      </c>
      <c r="R191" s="386">
        <v>1134337.6000000001</v>
      </c>
      <c r="S191" s="371">
        <v>5606.45</v>
      </c>
      <c r="T191" s="439">
        <f t="shared" si="15"/>
        <v>20380473.41</v>
      </c>
      <c r="U191" s="387">
        <v>56</v>
      </c>
      <c r="V191" s="390">
        <f>VLOOKUP(B191,'[1]2021'!$C:$D,2,FALSE)</f>
        <v>2373</v>
      </c>
      <c r="W191" s="436">
        <v>-10790.21</v>
      </c>
      <c r="X191" s="442"/>
      <c r="Y191" s="442">
        <v>-103164.71</v>
      </c>
      <c r="Z191" s="447">
        <v>1</v>
      </c>
      <c r="AA191" s="484">
        <v>20380473.41</v>
      </c>
      <c r="AB191" s="484">
        <v>-10790.21</v>
      </c>
      <c r="AC191" s="484"/>
      <c r="AD191" s="484">
        <v>-103164.71</v>
      </c>
      <c r="AE191" s="526">
        <f t="shared" si="16"/>
        <v>0</v>
      </c>
      <c r="AF191" s="526">
        <f t="shared" si="17"/>
        <v>0</v>
      </c>
      <c r="AG191" s="527">
        <f t="shared" si="18"/>
        <v>0</v>
      </c>
      <c r="AH191" s="527">
        <f t="shared" si="19"/>
        <v>0</v>
      </c>
      <c r="AI191" s="490">
        <v>2373</v>
      </c>
      <c r="AJ191" s="489">
        <f t="shared" si="20"/>
        <v>0</v>
      </c>
      <c r="AK191" s="490"/>
      <c r="AL191" s="490"/>
      <c r="AM191" s="490"/>
      <c r="AN191" s="490"/>
    </row>
    <row r="192" spans="1:40" x14ac:dyDescent="0.25">
      <c r="A192" s="332">
        <v>5714</v>
      </c>
      <c r="B192" s="459" t="s">
        <v>224</v>
      </c>
      <c r="C192" s="382">
        <v>3125593.81</v>
      </c>
      <c r="D192" s="382">
        <v>568137.09</v>
      </c>
      <c r="E192" s="380"/>
      <c r="F192" s="518"/>
      <c r="G192" s="382">
        <v>45794.8</v>
      </c>
      <c r="H192" s="382">
        <v>1315.65</v>
      </c>
      <c r="I192" s="382">
        <v>111001</v>
      </c>
      <c r="J192" s="382">
        <v>72501.87</v>
      </c>
      <c r="K192" s="382">
        <v>7238.3</v>
      </c>
      <c r="L192" s="382">
        <v>296056.65000000002</v>
      </c>
      <c r="M192" s="325">
        <f t="shared" si="14"/>
        <v>4227639.17</v>
      </c>
      <c r="N192" s="386">
        <v>144109.9</v>
      </c>
      <c r="O192" s="386">
        <v>3583.5</v>
      </c>
      <c r="P192" s="386">
        <v>410571.7</v>
      </c>
      <c r="Q192" s="386">
        <v>3088.67</v>
      </c>
      <c r="R192" s="386">
        <v>201409.35</v>
      </c>
      <c r="S192" s="371">
        <v>5335.83</v>
      </c>
      <c r="T192" s="439">
        <f t="shared" si="15"/>
        <v>4995738.12</v>
      </c>
      <c r="U192" s="387">
        <v>68</v>
      </c>
      <c r="V192" s="390">
        <f>VLOOKUP(B192,'[1]2021'!$C:$D,2,FALSE)</f>
        <v>1228</v>
      </c>
      <c r="W192" s="436">
        <v>-7574.24</v>
      </c>
      <c r="X192" s="442"/>
      <c r="Y192" s="442">
        <v>-3239.4</v>
      </c>
      <c r="Z192" s="447">
        <v>1</v>
      </c>
      <c r="AA192" s="484">
        <v>4995738.12</v>
      </c>
      <c r="AB192" s="484">
        <v>-7574.24</v>
      </c>
      <c r="AC192" s="484"/>
      <c r="AD192" s="484">
        <v>-3239.4</v>
      </c>
      <c r="AE192" s="526">
        <f t="shared" si="16"/>
        <v>0</v>
      </c>
      <c r="AF192" s="526">
        <f t="shared" si="17"/>
        <v>0</v>
      </c>
      <c r="AG192" s="527">
        <f t="shared" si="18"/>
        <v>0</v>
      </c>
      <c r="AH192" s="527">
        <f t="shared" si="19"/>
        <v>0</v>
      </c>
      <c r="AI192" s="490">
        <v>1228</v>
      </c>
      <c r="AJ192" s="489">
        <f t="shared" si="20"/>
        <v>0</v>
      </c>
      <c r="AK192" s="490"/>
      <c r="AL192" s="490"/>
      <c r="AM192" s="490"/>
      <c r="AN192" s="490"/>
    </row>
    <row r="193" spans="1:40" x14ac:dyDescent="0.25">
      <c r="A193" s="332">
        <v>5715</v>
      </c>
      <c r="B193" s="459" t="s">
        <v>225</v>
      </c>
      <c r="C193" s="382">
        <v>3624742.75</v>
      </c>
      <c r="D193" s="382">
        <v>678519.88</v>
      </c>
      <c r="E193" s="380"/>
      <c r="F193" s="518"/>
      <c r="G193" s="382">
        <v>39191.1</v>
      </c>
      <c r="H193" s="382">
        <v>5460.7</v>
      </c>
      <c r="I193" s="382"/>
      <c r="J193" s="382">
        <v>38423.9</v>
      </c>
      <c r="K193" s="382">
        <v>2974.5</v>
      </c>
      <c r="L193" s="382">
        <v>283485.90000000002</v>
      </c>
      <c r="M193" s="325">
        <f t="shared" si="14"/>
        <v>4672798.7300000004</v>
      </c>
      <c r="N193" s="386">
        <v>115813.65</v>
      </c>
      <c r="O193" s="386"/>
      <c r="P193" s="386">
        <v>424957.5</v>
      </c>
      <c r="Q193" s="386">
        <v>1872.64</v>
      </c>
      <c r="R193" s="386">
        <v>431528.05</v>
      </c>
      <c r="S193" s="371">
        <v>5057.3599999999997</v>
      </c>
      <c r="T193" s="439">
        <f t="shared" si="15"/>
        <v>5652027.9300000006</v>
      </c>
      <c r="U193" s="387">
        <v>66</v>
      </c>
      <c r="V193" s="390">
        <f>VLOOKUP(B193,'[1]2021'!$C:$D,2,FALSE)</f>
        <v>1146</v>
      </c>
      <c r="W193" s="436">
        <v>-31477.46</v>
      </c>
      <c r="X193" s="442"/>
      <c r="Y193" s="442">
        <v>-2172.73</v>
      </c>
      <c r="Z193" s="447">
        <v>1</v>
      </c>
      <c r="AA193" s="484">
        <v>5652027.9299999997</v>
      </c>
      <c r="AB193" s="484">
        <v>-31477.46</v>
      </c>
      <c r="AC193" s="484"/>
      <c r="AD193" s="484">
        <v>-2172.73</v>
      </c>
      <c r="AE193" s="526">
        <f t="shared" si="16"/>
        <v>0</v>
      </c>
      <c r="AF193" s="526">
        <f t="shared" si="17"/>
        <v>0</v>
      </c>
      <c r="AG193" s="527">
        <f t="shared" si="18"/>
        <v>0</v>
      </c>
      <c r="AH193" s="527">
        <f t="shared" si="19"/>
        <v>0</v>
      </c>
      <c r="AI193" s="490">
        <v>1146</v>
      </c>
      <c r="AJ193" s="489">
        <f t="shared" si="20"/>
        <v>0</v>
      </c>
      <c r="AK193" s="490"/>
      <c r="AL193" s="490"/>
      <c r="AM193" s="490"/>
      <c r="AN193" s="490"/>
    </row>
    <row r="194" spans="1:40" x14ac:dyDescent="0.25">
      <c r="A194" s="332">
        <v>5716</v>
      </c>
      <c r="B194" s="459" t="s">
        <v>226</v>
      </c>
      <c r="C194" s="382">
        <v>4008259.29</v>
      </c>
      <c r="D194" s="382">
        <v>643318.18999999994</v>
      </c>
      <c r="E194" s="380"/>
      <c r="F194" s="518"/>
      <c r="G194" s="382">
        <v>5491211.5</v>
      </c>
      <c r="H194" s="382">
        <v>1180097.6499999999</v>
      </c>
      <c r="I194" s="382"/>
      <c r="J194" s="382">
        <v>300606.15000000002</v>
      </c>
      <c r="K194" s="382">
        <v>115376.75</v>
      </c>
      <c r="L194" s="382">
        <v>713756.25</v>
      </c>
      <c r="M194" s="325">
        <f t="shared" si="14"/>
        <v>12452625.780000001</v>
      </c>
      <c r="N194" s="386">
        <v>412218.95</v>
      </c>
      <c r="O194" s="386">
        <v>6939.6</v>
      </c>
      <c r="P194" s="386">
        <v>127321.35</v>
      </c>
      <c r="Q194" s="386">
        <v>5265.49</v>
      </c>
      <c r="R194" s="386">
        <v>64215.8</v>
      </c>
      <c r="S194" s="371">
        <v>755606.65</v>
      </c>
      <c r="T194" s="439">
        <f t="shared" si="15"/>
        <v>13824193.620000001</v>
      </c>
      <c r="U194" s="387">
        <v>59.5</v>
      </c>
      <c r="V194" s="390">
        <f>VLOOKUP(B194,'[1]2021'!$C:$D,2,FALSE)</f>
        <v>1736</v>
      </c>
      <c r="W194" s="436">
        <v>-743221.16</v>
      </c>
      <c r="X194" s="442"/>
      <c r="Y194" s="442">
        <v>-340941.98</v>
      </c>
      <c r="Z194" s="447">
        <v>1</v>
      </c>
      <c r="AA194" s="484">
        <v>13824193.619999999</v>
      </c>
      <c r="AB194" s="484">
        <v>-743221.16</v>
      </c>
      <c r="AC194" s="484"/>
      <c r="AD194" s="484">
        <v>-340941.98</v>
      </c>
      <c r="AE194" s="526">
        <f t="shared" si="16"/>
        <v>0</v>
      </c>
      <c r="AF194" s="526">
        <f t="shared" si="17"/>
        <v>0</v>
      </c>
      <c r="AG194" s="527">
        <f t="shared" si="18"/>
        <v>0</v>
      </c>
      <c r="AH194" s="527">
        <f t="shared" si="19"/>
        <v>0</v>
      </c>
      <c r="AI194" s="490">
        <v>1736</v>
      </c>
      <c r="AJ194" s="489">
        <f t="shared" si="20"/>
        <v>0</v>
      </c>
      <c r="AK194" s="490"/>
      <c r="AL194" s="490"/>
      <c r="AM194" s="490"/>
      <c r="AN194" s="490"/>
    </row>
    <row r="195" spans="1:40" x14ac:dyDescent="0.25">
      <c r="A195" s="332">
        <v>5717</v>
      </c>
      <c r="B195" s="459" t="s">
        <v>227</v>
      </c>
      <c r="C195" s="382">
        <v>14415358.99</v>
      </c>
      <c r="D195" s="382">
        <v>5107414.2699999996</v>
      </c>
      <c r="E195" s="380"/>
      <c r="F195" s="518"/>
      <c r="G195" s="382">
        <v>148547.6</v>
      </c>
      <c r="H195" s="382">
        <v>31927.599999999999</v>
      </c>
      <c r="I195" s="382">
        <v>1014904.3</v>
      </c>
      <c r="J195" s="382">
        <v>262009.59</v>
      </c>
      <c r="K195" s="382">
        <v>51020</v>
      </c>
      <c r="L195" s="382">
        <v>1365887.4</v>
      </c>
      <c r="M195" s="325">
        <f t="shared" si="14"/>
        <v>22397069.75</v>
      </c>
      <c r="N195" s="386">
        <v>202572.75</v>
      </c>
      <c r="O195" s="386">
        <v>69451</v>
      </c>
      <c r="P195" s="386">
        <v>1000159.2</v>
      </c>
      <c r="Q195" s="386">
        <v>3672.1</v>
      </c>
      <c r="R195" s="386">
        <v>596113.35</v>
      </c>
      <c r="S195" s="371">
        <v>20441</v>
      </c>
      <c r="T195" s="439">
        <f t="shared" si="15"/>
        <v>24289479.150000002</v>
      </c>
      <c r="U195" s="387">
        <v>57</v>
      </c>
      <c r="V195" s="390">
        <f>VLOOKUP(B195,'[1]2021'!$C:$D,2,FALSE)</f>
        <v>3822</v>
      </c>
      <c r="W195" s="436">
        <v>-56354.57</v>
      </c>
      <c r="X195" s="442"/>
      <c r="Y195" s="442">
        <v>-93291.24</v>
      </c>
      <c r="Z195" s="447">
        <v>1</v>
      </c>
      <c r="AA195" s="484">
        <v>24289479.149999999</v>
      </c>
      <c r="AB195" s="484">
        <v>-56354.57</v>
      </c>
      <c r="AC195" s="484"/>
      <c r="AD195" s="484">
        <v>-93291.24</v>
      </c>
      <c r="AE195" s="526">
        <f t="shared" si="16"/>
        <v>0</v>
      </c>
      <c r="AF195" s="526">
        <f t="shared" si="17"/>
        <v>0</v>
      </c>
      <c r="AG195" s="527">
        <f t="shared" si="18"/>
        <v>0</v>
      </c>
      <c r="AH195" s="527">
        <f t="shared" si="19"/>
        <v>0</v>
      </c>
      <c r="AI195" s="490">
        <v>3822</v>
      </c>
      <c r="AJ195" s="489">
        <f t="shared" si="20"/>
        <v>0</v>
      </c>
      <c r="AK195" s="490"/>
      <c r="AL195" s="490"/>
      <c r="AM195" s="490"/>
      <c r="AN195" s="490"/>
    </row>
    <row r="196" spans="1:40" x14ac:dyDescent="0.25">
      <c r="A196" s="332">
        <v>5718</v>
      </c>
      <c r="B196" s="459" t="s">
        <v>228</v>
      </c>
      <c r="C196" s="382">
        <v>7507829.5300000003</v>
      </c>
      <c r="D196" s="382">
        <v>1803726.88</v>
      </c>
      <c r="E196" s="380"/>
      <c r="F196" s="518"/>
      <c r="G196" s="382">
        <v>233403.3</v>
      </c>
      <c r="H196" s="382">
        <v>28232.799999999999</v>
      </c>
      <c r="I196" s="382">
        <v>204264.25</v>
      </c>
      <c r="J196" s="382">
        <v>52761.65</v>
      </c>
      <c r="K196" s="382">
        <v>43944.1</v>
      </c>
      <c r="L196" s="382">
        <v>708104.75</v>
      </c>
      <c r="M196" s="325">
        <f t="shared" si="14"/>
        <v>10582267.260000002</v>
      </c>
      <c r="N196" s="386">
        <v>221075.95</v>
      </c>
      <c r="O196" s="386">
        <v>106136.4</v>
      </c>
      <c r="P196" s="386">
        <v>585089.19999999995</v>
      </c>
      <c r="Q196" s="386">
        <v>5302.28</v>
      </c>
      <c r="R196" s="386">
        <v>543922.30000000005</v>
      </c>
      <c r="S196" s="371">
        <v>29633.46</v>
      </c>
      <c r="T196" s="439">
        <f t="shared" si="15"/>
        <v>12073426.850000001</v>
      </c>
      <c r="U196" s="387">
        <v>55</v>
      </c>
      <c r="V196" s="390">
        <f>VLOOKUP(B196,'[1]2021'!$C:$D,2,FALSE)</f>
        <v>2022</v>
      </c>
      <c r="W196" s="436">
        <v>-33872.870000000003</v>
      </c>
      <c r="X196" s="442"/>
      <c r="Y196" s="442">
        <v>-8228.6299999999992</v>
      </c>
      <c r="Z196" s="447">
        <v>1</v>
      </c>
      <c r="AA196" s="484">
        <v>12073426.85</v>
      </c>
      <c r="AB196" s="484">
        <v>-33872.870000000003</v>
      </c>
      <c r="AC196" s="484"/>
      <c r="AD196" s="484">
        <v>-8228.6299999999992</v>
      </c>
      <c r="AE196" s="526">
        <f t="shared" si="16"/>
        <v>0</v>
      </c>
      <c r="AF196" s="526">
        <f t="shared" si="17"/>
        <v>0</v>
      </c>
      <c r="AG196" s="527">
        <f t="shared" si="18"/>
        <v>0</v>
      </c>
      <c r="AH196" s="527">
        <f t="shared" si="19"/>
        <v>0</v>
      </c>
      <c r="AI196" s="490">
        <v>2022</v>
      </c>
      <c r="AJ196" s="489">
        <f t="shared" si="20"/>
        <v>0</v>
      </c>
      <c r="AK196" s="490"/>
      <c r="AL196" s="490"/>
      <c r="AM196" s="490"/>
      <c r="AN196" s="490"/>
    </row>
    <row r="197" spans="1:40" x14ac:dyDescent="0.25">
      <c r="A197" s="332">
        <v>5719</v>
      </c>
      <c r="B197" s="459" t="s">
        <v>229</v>
      </c>
      <c r="C197" s="382">
        <v>5281741.63</v>
      </c>
      <c r="D197" s="382">
        <v>3102358.23</v>
      </c>
      <c r="E197" s="380"/>
      <c r="F197" s="518"/>
      <c r="G197" s="382">
        <v>65129.75</v>
      </c>
      <c r="H197" s="382">
        <v>1421.85</v>
      </c>
      <c r="I197" s="382">
        <v>131790.54999999999</v>
      </c>
      <c r="J197" s="382">
        <v>65374.67</v>
      </c>
      <c r="K197" s="382">
        <v>11673.3</v>
      </c>
      <c r="L197" s="382">
        <v>255215.7</v>
      </c>
      <c r="M197" s="325">
        <f t="shared" si="14"/>
        <v>8914705.6799999997</v>
      </c>
      <c r="N197" s="386">
        <v>49842.05</v>
      </c>
      <c r="O197" s="386">
        <v>9290.4</v>
      </c>
      <c r="P197" s="386">
        <v>451399.6</v>
      </c>
      <c r="Q197" s="386"/>
      <c r="R197" s="386">
        <v>312599.34999999998</v>
      </c>
      <c r="S197" s="371">
        <v>7537.78</v>
      </c>
      <c r="T197" s="439">
        <f t="shared" si="15"/>
        <v>9745374.8599999994</v>
      </c>
      <c r="U197" s="387">
        <v>60</v>
      </c>
      <c r="V197" s="390">
        <f>VLOOKUP(B197,'[1]2021'!$C:$D,2,FALSE)</f>
        <v>1265</v>
      </c>
      <c r="W197" s="436">
        <v>-7257.49</v>
      </c>
      <c r="X197" s="442"/>
      <c r="Y197" s="442">
        <v>-7328.09</v>
      </c>
      <c r="Z197" s="447">
        <v>0.6</v>
      </c>
      <c r="AA197" s="484">
        <v>9745374.8599999994</v>
      </c>
      <c r="AB197" s="484">
        <v>-7257.49</v>
      </c>
      <c r="AC197" s="484"/>
      <c r="AD197" s="484">
        <v>-7328.09</v>
      </c>
      <c r="AE197" s="526">
        <f t="shared" si="16"/>
        <v>0</v>
      </c>
      <c r="AF197" s="526">
        <f t="shared" si="17"/>
        <v>0</v>
      </c>
      <c r="AG197" s="527">
        <f t="shared" si="18"/>
        <v>0</v>
      </c>
      <c r="AH197" s="527">
        <f t="shared" si="19"/>
        <v>0</v>
      </c>
      <c r="AI197" s="490">
        <v>1265</v>
      </c>
      <c r="AJ197" s="489">
        <f t="shared" si="20"/>
        <v>0</v>
      </c>
      <c r="AK197" s="490"/>
      <c r="AL197" s="490"/>
      <c r="AM197" s="490"/>
      <c r="AN197" s="490"/>
    </row>
    <row r="198" spans="1:40" x14ac:dyDescent="0.25">
      <c r="A198" s="332">
        <v>5720</v>
      </c>
      <c r="B198" s="459" t="s">
        <v>230</v>
      </c>
      <c r="C198" s="382">
        <v>3360593.04</v>
      </c>
      <c r="D198" s="382">
        <v>880078.36</v>
      </c>
      <c r="E198" s="380"/>
      <c r="F198" s="518"/>
      <c r="G198" s="382">
        <v>-5053.05</v>
      </c>
      <c r="H198" s="382">
        <v>9839.65</v>
      </c>
      <c r="I198" s="382">
        <v>430543.2</v>
      </c>
      <c r="J198" s="382">
        <v>27421.4</v>
      </c>
      <c r="K198" s="382"/>
      <c r="L198" s="382">
        <v>289392.05</v>
      </c>
      <c r="M198" s="325">
        <f t="shared" ref="M198:M261" si="21">SUM(C198:L198)</f>
        <v>4992814.6500000013</v>
      </c>
      <c r="N198" s="386">
        <v>16468.349999999999</v>
      </c>
      <c r="O198" s="386"/>
      <c r="P198" s="386">
        <v>303627.40000000002</v>
      </c>
      <c r="Q198" s="386">
        <v>16691.669999999998</v>
      </c>
      <c r="R198" s="386">
        <v>229048.7</v>
      </c>
      <c r="S198" s="371">
        <v>542.14</v>
      </c>
      <c r="T198" s="439">
        <f t="shared" si="15"/>
        <v>5559192.9100000011</v>
      </c>
      <c r="U198" s="387">
        <v>67</v>
      </c>
      <c r="V198" s="390">
        <f>VLOOKUP(B198,'[1]2021'!$C:$D,2,FALSE)</f>
        <v>1010</v>
      </c>
      <c r="W198" s="436">
        <v>-26363.84</v>
      </c>
      <c r="X198" s="442"/>
      <c r="Y198" s="442">
        <v>-4920.6899999999996</v>
      </c>
      <c r="Z198" s="447">
        <v>0.9</v>
      </c>
      <c r="AA198" s="484">
        <v>5559192.9100000001</v>
      </c>
      <c r="AB198" s="484">
        <v>-26363.84</v>
      </c>
      <c r="AC198" s="484"/>
      <c r="AD198" s="484">
        <v>-4920.6899999999996</v>
      </c>
      <c r="AE198" s="526">
        <f t="shared" si="16"/>
        <v>0</v>
      </c>
      <c r="AF198" s="526">
        <f t="shared" si="17"/>
        <v>0</v>
      </c>
      <c r="AG198" s="527">
        <f t="shared" si="18"/>
        <v>0</v>
      </c>
      <c r="AH198" s="527">
        <f t="shared" si="19"/>
        <v>0</v>
      </c>
      <c r="AI198" s="490">
        <v>1010</v>
      </c>
      <c r="AJ198" s="489">
        <f t="shared" si="20"/>
        <v>0</v>
      </c>
      <c r="AK198" s="490"/>
      <c r="AL198" s="490"/>
      <c r="AM198" s="490"/>
      <c r="AN198" s="490"/>
    </row>
    <row r="199" spans="1:40" x14ac:dyDescent="0.25">
      <c r="A199" s="332">
        <v>5721</v>
      </c>
      <c r="B199" s="459" t="s">
        <v>231</v>
      </c>
      <c r="C199" s="382">
        <v>25391683.48</v>
      </c>
      <c r="D199" s="382">
        <v>6426019.4800000004</v>
      </c>
      <c r="E199" s="380"/>
      <c r="F199" s="518"/>
      <c r="G199" s="382">
        <v>6298764.7999999998</v>
      </c>
      <c r="H199" s="382">
        <v>492362.9</v>
      </c>
      <c r="I199" s="382">
        <v>724657.05</v>
      </c>
      <c r="J199" s="382">
        <v>823754.6</v>
      </c>
      <c r="K199" s="382">
        <v>561432.44999999995</v>
      </c>
      <c r="L199" s="382">
        <v>2970191.8</v>
      </c>
      <c r="M199" s="325">
        <f t="shared" si="21"/>
        <v>43688866.559999995</v>
      </c>
      <c r="N199" s="386">
        <v>2270512.4</v>
      </c>
      <c r="O199" s="386">
        <v>234150.9</v>
      </c>
      <c r="P199" s="386">
        <v>1971826</v>
      </c>
      <c r="Q199" s="386">
        <v>63811.65</v>
      </c>
      <c r="R199" s="386">
        <v>1483161.4</v>
      </c>
      <c r="S199" s="371">
        <v>769177.55</v>
      </c>
      <c r="T199" s="439">
        <f t="shared" ref="T199:T262" si="22">SUM(M199:S199)</f>
        <v>50481506.459999986</v>
      </c>
      <c r="U199" s="387">
        <v>61</v>
      </c>
      <c r="V199" s="390">
        <f>VLOOKUP(B199,'[1]2021'!$C:$D,2,FALSE)</f>
        <v>13306</v>
      </c>
      <c r="W199" s="436">
        <v>-387058.15</v>
      </c>
      <c r="X199" s="442"/>
      <c r="Y199" s="442">
        <v>-30345.08</v>
      </c>
      <c r="Z199" s="447">
        <v>1</v>
      </c>
      <c r="AA199" s="484">
        <v>50481506.460000001</v>
      </c>
      <c r="AB199" s="484">
        <v>-387058.15</v>
      </c>
      <c r="AC199" s="484"/>
      <c r="AD199" s="484">
        <v>-30345.08</v>
      </c>
      <c r="AE199" s="526">
        <f t="shared" si="16"/>
        <v>0</v>
      </c>
      <c r="AF199" s="526">
        <f t="shared" si="17"/>
        <v>0</v>
      </c>
      <c r="AG199" s="527">
        <f t="shared" si="18"/>
        <v>0</v>
      </c>
      <c r="AH199" s="527">
        <f t="shared" si="19"/>
        <v>0</v>
      </c>
      <c r="AI199" s="490">
        <v>13306</v>
      </c>
      <c r="AJ199" s="489">
        <f t="shared" si="20"/>
        <v>0</v>
      </c>
      <c r="AK199" s="490"/>
      <c r="AL199" s="490"/>
      <c r="AM199" s="490"/>
      <c r="AN199" s="490"/>
    </row>
    <row r="200" spans="1:40" x14ac:dyDescent="0.25">
      <c r="A200" s="332">
        <v>5722</v>
      </c>
      <c r="B200" s="459" t="s">
        <v>232</v>
      </c>
      <c r="C200" s="382">
        <v>1036620.02</v>
      </c>
      <c r="D200" s="382">
        <v>238932.55</v>
      </c>
      <c r="E200" s="380"/>
      <c r="F200" s="518"/>
      <c r="G200" s="382">
        <v>5319.1</v>
      </c>
      <c r="H200" s="382">
        <v>4176.6499999999996</v>
      </c>
      <c r="I200" s="382"/>
      <c r="J200" s="382">
        <v>9244.85</v>
      </c>
      <c r="K200" s="382">
        <v>6180.6</v>
      </c>
      <c r="L200" s="382">
        <v>88762.05</v>
      </c>
      <c r="M200" s="325">
        <f t="shared" si="21"/>
        <v>1389235.8200000003</v>
      </c>
      <c r="N200" s="386">
        <v>13044.45</v>
      </c>
      <c r="O200" s="386"/>
      <c r="P200" s="386">
        <v>4746.8999999999996</v>
      </c>
      <c r="Q200" s="386">
        <v>1639.74</v>
      </c>
      <c r="R200" s="386">
        <v>12177.1</v>
      </c>
      <c r="S200" s="371">
        <v>1075.51</v>
      </c>
      <c r="T200" s="439">
        <f t="shared" si="22"/>
        <v>1421919.5200000003</v>
      </c>
      <c r="U200" s="387">
        <v>62</v>
      </c>
      <c r="V200" s="390">
        <f>VLOOKUP(B200,'[1]2021'!$C:$D,2,FALSE)</f>
        <v>401</v>
      </c>
      <c r="W200" s="436">
        <v>-6795.66</v>
      </c>
      <c r="X200" s="442"/>
      <c r="Y200" s="442">
        <v>-1516.22</v>
      </c>
      <c r="Z200" s="447">
        <v>1</v>
      </c>
      <c r="AA200" s="484">
        <v>1421919.52</v>
      </c>
      <c r="AB200" s="484">
        <v>-6795.66</v>
      </c>
      <c r="AC200" s="484"/>
      <c r="AD200" s="484">
        <v>-1516.22</v>
      </c>
      <c r="AE200" s="526">
        <f t="shared" ref="AE200:AE263" si="23">+T200-AA200</f>
        <v>0</v>
      </c>
      <c r="AF200" s="526">
        <f t="shared" ref="AF200:AF263" si="24">+AB200-W200</f>
        <v>0</v>
      </c>
      <c r="AG200" s="527">
        <f t="shared" ref="AG200:AG263" si="25">+AC200-X200</f>
        <v>0</v>
      </c>
      <c r="AH200" s="527">
        <f t="shared" ref="AH200:AH263" si="26">+AD200-Y200</f>
        <v>0</v>
      </c>
      <c r="AI200" s="490">
        <v>401</v>
      </c>
      <c r="AJ200" s="489">
        <f t="shared" ref="AJ200:AJ263" si="27">+AI200-V200</f>
        <v>0</v>
      </c>
      <c r="AK200" s="490"/>
      <c r="AL200" s="490"/>
      <c r="AM200" s="490"/>
      <c r="AN200" s="490"/>
    </row>
    <row r="201" spans="1:40" x14ac:dyDescent="0.25">
      <c r="A201" s="332">
        <v>5723</v>
      </c>
      <c r="B201" s="459" t="s">
        <v>233</v>
      </c>
      <c r="C201" s="382">
        <v>8870351.4299999997</v>
      </c>
      <c r="D201" s="382">
        <v>2173703.41</v>
      </c>
      <c r="E201" s="380"/>
      <c r="F201" s="518"/>
      <c r="G201" s="382">
        <v>154959.65</v>
      </c>
      <c r="H201" s="382">
        <v>18528.400000000001</v>
      </c>
      <c r="I201" s="382">
        <v>611612.88</v>
      </c>
      <c r="J201" s="382">
        <v>69587.520000000004</v>
      </c>
      <c r="K201" s="382">
        <v>45951.85</v>
      </c>
      <c r="L201" s="382">
        <v>883436.8</v>
      </c>
      <c r="M201" s="325">
        <f t="shared" si="21"/>
        <v>12828131.940000001</v>
      </c>
      <c r="N201" s="386">
        <v>267148.3</v>
      </c>
      <c r="O201" s="386">
        <v>136241.60000000001</v>
      </c>
      <c r="P201" s="386">
        <v>1358053.1</v>
      </c>
      <c r="Q201" s="386">
        <v>2133.86</v>
      </c>
      <c r="R201" s="386">
        <v>1694542.35</v>
      </c>
      <c r="S201" s="371">
        <v>19649.63</v>
      </c>
      <c r="T201" s="439">
        <f t="shared" si="22"/>
        <v>16305900.780000001</v>
      </c>
      <c r="U201" s="387">
        <v>52</v>
      </c>
      <c r="V201" s="390">
        <f>VLOOKUP(B201,'[1]2021'!$C:$D,2,FALSE)</f>
        <v>2195</v>
      </c>
      <c r="W201" s="436">
        <v>-28842.3</v>
      </c>
      <c r="X201" s="442"/>
      <c r="Y201" s="442">
        <v>-30381.17</v>
      </c>
      <c r="Z201" s="447">
        <v>1</v>
      </c>
      <c r="AA201" s="484">
        <v>16305900.779999999</v>
      </c>
      <c r="AB201" s="484">
        <v>-28842.3</v>
      </c>
      <c r="AC201" s="484"/>
      <c r="AD201" s="484">
        <v>-30381.17</v>
      </c>
      <c r="AE201" s="526">
        <f t="shared" si="23"/>
        <v>0</v>
      </c>
      <c r="AF201" s="526">
        <f t="shared" si="24"/>
        <v>0</v>
      </c>
      <c r="AG201" s="527">
        <f t="shared" si="25"/>
        <v>0</v>
      </c>
      <c r="AH201" s="527">
        <f t="shared" si="26"/>
        <v>0</v>
      </c>
      <c r="AI201" s="490">
        <v>2195</v>
      </c>
      <c r="AJ201" s="489">
        <f t="shared" si="27"/>
        <v>0</v>
      </c>
      <c r="AK201" s="490"/>
      <c r="AL201" s="490"/>
      <c r="AM201" s="490"/>
      <c r="AN201" s="490"/>
    </row>
    <row r="202" spans="1:40" x14ac:dyDescent="0.25">
      <c r="A202" s="332">
        <v>5724</v>
      </c>
      <c r="B202" s="459" t="s">
        <v>68</v>
      </c>
      <c r="C202" s="382">
        <v>59215357.869999997</v>
      </c>
      <c r="D202" s="382">
        <v>10725291.310000001</v>
      </c>
      <c r="E202" s="380"/>
      <c r="F202" s="518"/>
      <c r="G202" s="382">
        <v>7668966.0999999996</v>
      </c>
      <c r="H202" s="382">
        <v>772783.1</v>
      </c>
      <c r="I202" s="382">
        <v>1696649.13</v>
      </c>
      <c r="J202" s="382">
        <v>2858634.74</v>
      </c>
      <c r="K202" s="382">
        <v>871263.4</v>
      </c>
      <c r="L202" s="382">
        <v>8435196.8499999996</v>
      </c>
      <c r="M202" s="325">
        <f t="shared" si="21"/>
        <v>92244142.49999997</v>
      </c>
      <c r="N202" s="386">
        <v>5207617.95</v>
      </c>
      <c r="O202" s="386">
        <v>3136048.1</v>
      </c>
      <c r="P202" s="386">
        <v>4698565.8</v>
      </c>
      <c r="Q202" s="386">
        <v>209728.74</v>
      </c>
      <c r="R202" s="386">
        <v>2607909.7000000002</v>
      </c>
      <c r="S202" s="371">
        <v>956130.45</v>
      </c>
      <c r="T202" s="439">
        <f t="shared" si="22"/>
        <v>109060143.23999996</v>
      </c>
      <c r="U202" s="387">
        <v>61</v>
      </c>
      <c r="V202" s="390">
        <f>VLOOKUP(B202,'[1]2021'!$C:$D,2,FALSE)</f>
        <v>22124</v>
      </c>
      <c r="W202" s="436">
        <v>-785292.09</v>
      </c>
      <c r="X202" s="442"/>
      <c r="Y202" s="442">
        <v>-638722.21</v>
      </c>
      <c r="Z202" s="447">
        <v>1.5</v>
      </c>
      <c r="AA202" s="484">
        <v>109060143.23999999</v>
      </c>
      <c r="AB202" s="484">
        <v>-785292.09</v>
      </c>
      <c r="AC202" s="484"/>
      <c r="AD202" s="484">
        <v>-638722.21</v>
      </c>
      <c r="AE202" s="526">
        <f t="shared" si="23"/>
        <v>0</v>
      </c>
      <c r="AF202" s="526">
        <f t="shared" si="24"/>
        <v>0</v>
      </c>
      <c r="AG202" s="527">
        <f t="shared" si="25"/>
        <v>0</v>
      </c>
      <c r="AH202" s="527">
        <f t="shared" si="26"/>
        <v>0</v>
      </c>
      <c r="AI202" s="490">
        <v>22124</v>
      </c>
      <c r="AJ202" s="489">
        <f t="shared" si="27"/>
        <v>0</v>
      </c>
      <c r="AK202" s="490"/>
      <c r="AL202" s="490"/>
      <c r="AM202" s="490"/>
      <c r="AN202" s="490"/>
    </row>
    <row r="203" spans="1:40" x14ac:dyDescent="0.25">
      <c r="A203" s="332">
        <v>5725</v>
      </c>
      <c r="B203" s="459" t="s">
        <v>69</v>
      </c>
      <c r="C203" s="382">
        <v>12558963.560000001</v>
      </c>
      <c r="D203" s="382">
        <v>3412445.7</v>
      </c>
      <c r="E203" s="380"/>
      <c r="F203" s="518"/>
      <c r="G203" s="382">
        <v>1853545.4</v>
      </c>
      <c r="H203" s="382">
        <v>22437.200000000001</v>
      </c>
      <c r="I203" s="382">
        <v>273222.59999999998</v>
      </c>
      <c r="J203" s="382">
        <v>35398.269999999997</v>
      </c>
      <c r="K203" s="382">
        <v>72188.800000000003</v>
      </c>
      <c r="L203" s="382">
        <v>1674767.95</v>
      </c>
      <c r="M203" s="325">
        <f t="shared" si="21"/>
        <v>19902969.48</v>
      </c>
      <c r="N203" s="386">
        <v>1315566.8999999999</v>
      </c>
      <c r="O203" s="386">
        <v>119069.2</v>
      </c>
      <c r="P203" s="386">
        <v>745850.1</v>
      </c>
      <c r="Q203" s="386">
        <v>9165.94</v>
      </c>
      <c r="R203" s="386">
        <v>445664.65</v>
      </c>
      <c r="S203" s="371">
        <v>212477.78</v>
      </c>
      <c r="T203" s="439">
        <f t="shared" si="22"/>
        <v>22750764.050000001</v>
      </c>
      <c r="U203" s="387">
        <v>55</v>
      </c>
      <c r="V203" s="390">
        <f>VLOOKUP(B203,'[1]2021'!$C:$D,2,FALSE)</f>
        <v>4060</v>
      </c>
      <c r="W203" s="436">
        <v>-85048.31</v>
      </c>
      <c r="X203" s="442"/>
      <c r="Y203" s="442">
        <v>-31517.41</v>
      </c>
      <c r="Z203" s="447">
        <v>1.4</v>
      </c>
      <c r="AA203" s="484">
        <v>22750764.050000001</v>
      </c>
      <c r="AB203" s="484">
        <v>-85048.31</v>
      </c>
      <c r="AC203" s="484"/>
      <c r="AD203" s="484">
        <v>-31517.41</v>
      </c>
      <c r="AE203" s="526">
        <f t="shared" si="23"/>
        <v>0</v>
      </c>
      <c r="AF203" s="526">
        <f t="shared" si="24"/>
        <v>0</v>
      </c>
      <c r="AG203" s="527">
        <f t="shared" si="25"/>
        <v>0</v>
      </c>
      <c r="AH203" s="527">
        <f t="shared" si="26"/>
        <v>0</v>
      </c>
      <c r="AI203" s="490">
        <v>4060</v>
      </c>
      <c r="AJ203" s="489">
        <f t="shared" si="27"/>
        <v>0</v>
      </c>
      <c r="AK203" s="490"/>
      <c r="AL203" s="490"/>
      <c r="AM203" s="490"/>
      <c r="AN203" s="490"/>
    </row>
    <row r="204" spans="1:40" x14ac:dyDescent="0.25">
      <c r="A204" s="332">
        <v>5726</v>
      </c>
      <c r="B204" s="459" t="s">
        <v>312</v>
      </c>
      <c r="C204" s="382">
        <v>3463010.82</v>
      </c>
      <c r="D204" s="382">
        <v>782186.88</v>
      </c>
      <c r="E204" s="380"/>
      <c r="F204" s="518"/>
      <c r="G204" s="382">
        <v>39570.400000000001</v>
      </c>
      <c r="H204" s="382">
        <v>2876.35</v>
      </c>
      <c r="I204" s="382"/>
      <c r="J204" s="382">
        <v>-49286.12</v>
      </c>
      <c r="K204" s="382">
        <v>6470.65</v>
      </c>
      <c r="L204" s="382">
        <v>273832</v>
      </c>
      <c r="M204" s="325">
        <f t="shared" si="21"/>
        <v>4518660.9800000004</v>
      </c>
      <c r="N204" s="386">
        <v>42138.55</v>
      </c>
      <c r="O204" s="386"/>
      <c r="P204" s="386">
        <v>244670.95</v>
      </c>
      <c r="Q204" s="386"/>
      <c r="R204" s="386">
        <v>223588</v>
      </c>
      <c r="S204" s="371">
        <v>4807.6099999999997</v>
      </c>
      <c r="T204" s="439">
        <f t="shared" si="22"/>
        <v>5033866.0900000008</v>
      </c>
      <c r="U204" s="387">
        <v>64</v>
      </c>
      <c r="V204" s="390">
        <f>VLOOKUP(B204,'[1]2021'!$C:$D,2,FALSE)</f>
        <v>1165</v>
      </c>
      <c r="W204" s="436">
        <v>-9014.5300000000007</v>
      </c>
      <c r="X204" s="442"/>
      <c r="Y204" s="442">
        <v>-11000</v>
      </c>
      <c r="Z204" s="447">
        <v>1</v>
      </c>
      <c r="AA204" s="484">
        <v>5033866.09</v>
      </c>
      <c r="AB204" s="484">
        <v>-9014.5300000000007</v>
      </c>
      <c r="AC204" s="484"/>
      <c r="AD204" s="484">
        <v>-11000</v>
      </c>
      <c r="AE204" s="526">
        <f t="shared" si="23"/>
        <v>0</v>
      </c>
      <c r="AF204" s="526">
        <f t="shared" si="24"/>
        <v>0</v>
      </c>
      <c r="AG204" s="527">
        <f t="shared" si="25"/>
        <v>0</v>
      </c>
      <c r="AH204" s="527">
        <f t="shared" si="26"/>
        <v>0</v>
      </c>
      <c r="AI204" s="490">
        <v>1165</v>
      </c>
      <c r="AJ204" s="489">
        <f t="shared" si="27"/>
        <v>0</v>
      </c>
      <c r="AK204" s="490"/>
      <c r="AL204" s="490"/>
      <c r="AM204" s="490"/>
      <c r="AN204" s="490"/>
    </row>
    <row r="205" spans="1:40" x14ac:dyDescent="0.25">
      <c r="A205" s="332">
        <v>5727</v>
      </c>
      <c r="B205" s="459" t="s">
        <v>313</v>
      </c>
      <c r="C205" s="382">
        <v>5229657.21</v>
      </c>
      <c r="D205" s="382">
        <v>987107.66</v>
      </c>
      <c r="E205" s="380"/>
      <c r="F205" s="518"/>
      <c r="G205" s="382">
        <v>11026.65</v>
      </c>
      <c r="H205" s="382">
        <v>26498.35</v>
      </c>
      <c r="I205" s="382">
        <v>125706.95</v>
      </c>
      <c r="J205" s="382">
        <v>172741.08</v>
      </c>
      <c r="K205" s="382">
        <v>12866.65</v>
      </c>
      <c r="L205" s="382">
        <v>801885.55</v>
      </c>
      <c r="M205" s="325">
        <f t="shared" si="21"/>
        <v>7367490.1000000006</v>
      </c>
      <c r="N205" s="386">
        <v>182727.2</v>
      </c>
      <c r="O205" s="386">
        <v>198753.2</v>
      </c>
      <c r="P205" s="386">
        <v>722230.4</v>
      </c>
      <c r="Q205" s="386">
        <v>40135.339999999997</v>
      </c>
      <c r="R205" s="386">
        <v>442501.1</v>
      </c>
      <c r="S205" s="371">
        <v>4250.16</v>
      </c>
      <c r="T205" s="439">
        <f t="shared" si="22"/>
        <v>8958087.5</v>
      </c>
      <c r="U205" s="387">
        <v>66</v>
      </c>
      <c r="V205" s="390">
        <f>VLOOKUP(B205,'[1]2021'!$C:$D,2,FALSE)</f>
        <v>2755</v>
      </c>
      <c r="W205" s="436">
        <v>-131519.56</v>
      </c>
      <c r="X205" s="442"/>
      <c r="Y205" s="442">
        <v>-5622.79</v>
      </c>
      <c r="Z205" s="447">
        <v>1.5</v>
      </c>
      <c r="AA205" s="484">
        <v>8958087.5</v>
      </c>
      <c r="AB205" s="484">
        <v>-131519.56</v>
      </c>
      <c r="AC205" s="484"/>
      <c r="AD205" s="484">
        <v>-5622.79</v>
      </c>
      <c r="AE205" s="526">
        <f t="shared" si="23"/>
        <v>0</v>
      </c>
      <c r="AF205" s="526">
        <f t="shared" si="24"/>
        <v>0</v>
      </c>
      <c r="AG205" s="527">
        <f t="shared" si="25"/>
        <v>0</v>
      </c>
      <c r="AH205" s="527">
        <f t="shared" si="26"/>
        <v>0</v>
      </c>
      <c r="AI205" s="490">
        <v>2755</v>
      </c>
      <c r="AJ205" s="489">
        <f t="shared" si="27"/>
        <v>0</v>
      </c>
      <c r="AK205" s="490"/>
      <c r="AL205" s="490"/>
      <c r="AM205" s="490"/>
      <c r="AN205" s="490"/>
    </row>
    <row r="206" spans="1:40" x14ac:dyDescent="0.25">
      <c r="A206" s="332">
        <v>5728</v>
      </c>
      <c r="B206" s="459" t="s">
        <v>314</v>
      </c>
      <c r="C206" s="382">
        <v>1713412.53</v>
      </c>
      <c r="D206" s="382">
        <v>274303.61</v>
      </c>
      <c r="E206" s="380"/>
      <c r="F206" s="518"/>
      <c r="G206" s="382">
        <v>817335.5</v>
      </c>
      <c r="H206" s="382">
        <v>6927.6</v>
      </c>
      <c r="I206" s="382">
        <v>35307.15</v>
      </c>
      <c r="J206" s="382">
        <v>59682.92</v>
      </c>
      <c r="K206" s="382">
        <v>56802.45</v>
      </c>
      <c r="L206" s="382">
        <v>239718</v>
      </c>
      <c r="M206" s="325">
        <f t="shared" si="21"/>
        <v>3203489.7600000002</v>
      </c>
      <c r="N206" s="386">
        <v>172706.65</v>
      </c>
      <c r="O206" s="386"/>
      <c r="P206" s="386">
        <v>155631.04999999999</v>
      </c>
      <c r="Q206" s="386"/>
      <c r="R206" s="386">
        <v>94214.6</v>
      </c>
      <c r="S206" s="371">
        <v>93357.79</v>
      </c>
      <c r="T206" s="439">
        <f t="shared" si="22"/>
        <v>3719399.85</v>
      </c>
      <c r="U206" s="387">
        <v>58</v>
      </c>
      <c r="V206" s="390">
        <f>VLOOKUP(B206,'[1]2021'!$C:$D,2,FALSE)</f>
        <v>584</v>
      </c>
      <c r="W206" s="436">
        <v>-20737.400000000001</v>
      </c>
      <c r="X206" s="442"/>
      <c r="Y206" s="442">
        <v>-442.63</v>
      </c>
      <c r="Z206" s="447">
        <v>1</v>
      </c>
      <c r="AA206" s="484">
        <v>3719399.85</v>
      </c>
      <c r="AB206" s="484">
        <v>-20737.400000000001</v>
      </c>
      <c r="AC206" s="484"/>
      <c r="AD206" s="484">
        <v>-442.63</v>
      </c>
      <c r="AE206" s="526">
        <f t="shared" si="23"/>
        <v>0</v>
      </c>
      <c r="AF206" s="526">
        <f t="shared" si="24"/>
        <v>0</v>
      </c>
      <c r="AG206" s="527">
        <f t="shared" si="25"/>
        <v>0</v>
      </c>
      <c r="AH206" s="527">
        <f t="shared" si="26"/>
        <v>0</v>
      </c>
      <c r="AI206" s="490">
        <v>584</v>
      </c>
      <c r="AJ206" s="489">
        <f t="shared" si="27"/>
        <v>0</v>
      </c>
      <c r="AK206" s="490"/>
      <c r="AL206" s="490"/>
      <c r="AM206" s="490"/>
      <c r="AN206" s="490"/>
    </row>
    <row r="207" spans="1:40" x14ac:dyDescent="0.25">
      <c r="A207" s="332">
        <v>5729</v>
      </c>
      <c r="B207" s="459" t="s">
        <v>315</v>
      </c>
      <c r="C207" s="382">
        <v>6904824.8399999999</v>
      </c>
      <c r="D207" s="382">
        <v>1748911.51</v>
      </c>
      <c r="E207" s="380"/>
      <c r="F207" s="518"/>
      <c r="G207" s="382">
        <v>238609.15</v>
      </c>
      <c r="H207" s="382">
        <v>98506.65</v>
      </c>
      <c r="I207" s="382">
        <v>175769.27</v>
      </c>
      <c r="J207" s="382">
        <v>44851.68</v>
      </c>
      <c r="K207" s="382">
        <v>4623.75</v>
      </c>
      <c r="L207" s="382">
        <v>900935.2</v>
      </c>
      <c r="M207" s="325">
        <f t="shared" si="21"/>
        <v>10117032.049999999</v>
      </c>
      <c r="N207" s="386">
        <v>17196.75</v>
      </c>
      <c r="O207" s="386">
        <v>3761.9</v>
      </c>
      <c r="P207" s="386">
        <v>755997.9</v>
      </c>
      <c r="Q207" s="386"/>
      <c r="R207" s="386">
        <v>494127.3</v>
      </c>
      <c r="S207" s="371">
        <v>38182.449999999997</v>
      </c>
      <c r="T207" s="439">
        <f t="shared" si="22"/>
        <v>11426298.35</v>
      </c>
      <c r="U207" s="387">
        <v>60.5</v>
      </c>
      <c r="V207" s="390">
        <f>VLOOKUP(B207,'[1]2021'!$C:$D,2,FALSE)</f>
        <v>1644</v>
      </c>
      <c r="W207" s="436">
        <v>-56959.65</v>
      </c>
      <c r="X207" s="442"/>
      <c r="Y207" s="442">
        <v>-15816.67</v>
      </c>
      <c r="Z207" s="447">
        <v>1.5</v>
      </c>
      <c r="AA207" s="484">
        <v>11426298.35</v>
      </c>
      <c r="AB207" s="484">
        <v>-56959.65</v>
      </c>
      <c r="AC207" s="484"/>
      <c r="AD207" s="484">
        <v>-15816.67</v>
      </c>
      <c r="AE207" s="526">
        <f t="shared" si="23"/>
        <v>0</v>
      </c>
      <c r="AF207" s="526">
        <f t="shared" si="24"/>
        <v>0</v>
      </c>
      <c r="AG207" s="527">
        <f t="shared" si="25"/>
        <v>0</v>
      </c>
      <c r="AH207" s="527">
        <f t="shared" si="26"/>
        <v>0</v>
      </c>
      <c r="AI207" s="490">
        <v>1644</v>
      </c>
      <c r="AJ207" s="489">
        <f t="shared" si="27"/>
        <v>0</v>
      </c>
      <c r="AK207" s="490"/>
      <c r="AL207" s="490"/>
      <c r="AM207" s="490"/>
      <c r="AN207" s="490"/>
    </row>
    <row r="208" spans="1:40" x14ac:dyDescent="0.25">
      <c r="A208" s="332">
        <v>5730</v>
      </c>
      <c r="B208" s="459" t="s">
        <v>316</v>
      </c>
      <c r="C208" s="382">
        <v>5096159.6500000004</v>
      </c>
      <c r="D208" s="382">
        <v>1555840.11</v>
      </c>
      <c r="E208" s="380"/>
      <c r="F208" s="518"/>
      <c r="G208" s="382">
        <v>19194.349999999999</v>
      </c>
      <c r="H208" s="382">
        <v>2643.35</v>
      </c>
      <c r="I208" s="382">
        <v>-58921.7</v>
      </c>
      <c r="J208" s="382">
        <v>27005.279999999999</v>
      </c>
      <c r="K208" s="382">
        <v>7569.7</v>
      </c>
      <c r="L208" s="382">
        <v>415230.55</v>
      </c>
      <c r="M208" s="325">
        <f t="shared" si="21"/>
        <v>7064721.29</v>
      </c>
      <c r="N208" s="386">
        <v>18029.25</v>
      </c>
      <c r="O208" s="386"/>
      <c r="P208" s="386">
        <v>487547.55</v>
      </c>
      <c r="Q208" s="386">
        <v>1308.8399999999999</v>
      </c>
      <c r="R208" s="386">
        <v>1066158.05</v>
      </c>
      <c r="S208" s="371">
        <v>2473.38</v>
      </c>
      <c r="T208" s="439">
        <f t="shared" si="22"/>
        <v>8640238.3600000013</v>
      </c>
      <c r="U208" s="387">
        <v>55.5</v>
      </c>
      <c r="V208" s="390">
        <f>VLOOKUP(B208,'[1]2021'!$C:$D,2,FALSE)</f>
        <v>1439</v>
      </c>
      <c r="W208" s="436">
        <v>-63456.639999999999</v>
      </c>
      <c r="X208" s="442"/>
      <c r="Y208" s="442">
        <v>-108930.09</v>
      </c>
      <c r="Z208" s="447">
        <v>0.9</v>
      </c>
      <c r="AA208" s="484">
        <v>8640238.3599999994</v>
      </c>
      <c r="AB208" s="484">
        <v>-63456.639999999999</v>
      </c>
      <c r="AC208" s="484"/>
      <c r="AD208" s="484">
        <v>-108930.09</v>
      </c>
      <c r="AE208" s="526">
        <f t="shared" si="23"/>
        <v>0</v>
      </c>
      <c r="AF208" s="526">
        <f t="shared" si="24"/>
        <v>0</v>
      </c>
      <c r="AG208" s="527">
        <f t="shared" si="25"/>
        <v>0</v>
      </c>
      <c r="AH208" s="527">
        <f t="shared" si="26"/>
        <v>0</v>
      </c>
      <c r="AI208" s="490">
        <v>1439</v>
      </c>
      <c r="AJ208" s="489">
        <f t="shared" si="27"/>
        <v>0</v>
      </c>
      <c r="AK208" s="490"/>
      <c r="AL208" s="490"/>
      <c r="AM208" s="490"/>
      <c r="AN208" s="490"/>
    </row>
    <row r="209" spans="1:40" x14ac:dyDescent="0.25">
      <c r="A209" s="332">
        <v>5731</v>
      </c>
      <c r="B209" s="459" t="s">
        <v>317</v>
      </c>
      <c r="C209" s="382">
        <v>4262686.24</v>
      </c>
      <c r="D209" s="382">
        <v>560405.1</v>
      </c>
      <c r="E209" s="380"/>
      <c r="F209" s="518"/>
      <c r="G209" s="382">
        <v>34539.199999999997</v>
      </c>
      <c r="H209" s="382">
        <v>5059.1000000000004</v>
      </c>
      <c r="I209" s="382"/>
      <c r="J209" s="382">
        <v>29711.61</v>
      </c>
      <c r="K209" s="382">
        <v>3522</v>
      </c>
      <c r="L209" s="382">
        <v>427013.6</v>
      </c>
      <c r="M209" s="325">
        <f t="shared" si="21"/>
        <v>5322936.8499999996</v>
      </c>
      <c r="N209" s="386">
        <v>62795.199999999997</v>
      </c>
      <c r="O209" s="386"/>
      <c r="P209" s="386">
        <v>156017.20000000001</v>
      </c>
      <c r="Q209" s="386">
        <v>-2264.94</v>
      </c>
      <c r="R209" s="386">
        <v>77501.2</v>
      </c>
      <c r="S209" s="371">
        <v>4484.99</v>
      </c>
      <c r="T209" s="439">
        <f t="shared" si="22"/>
        <v>5621470.5</v>
      </c>
      <c r="U209" s="387">
        <v>74</v>
      </c>
      <c r="V209" s="390">
        <f>VLOOKUP(B209,'[1]2021'!$C:$D,2,FALSE)</f>
        <v>1387</v>
      </c>
      <c r="W209" s="436">
        <v>-31223.040000000001</v>
      </c>
      <c r="X209" s="442"/>
      <c r="Y209" s="442">
        <v>-1446.61</v>
      </c>
      <c r="Z209" s="447">
        <v>1.5</v>
      </c>
      <c r="AA209" s="484">
        <v>5621470.5</v>
      </c>
      <c r="AB209" s="484">
        <v>-31223.040000000001</v>
      </c>
      <c r="AC209" s="484"/>
      <c r="AD209" s="484">
        <v>-1446.61</v>
      </c>
      <c r="AE209" s="526">
        <f t="shared" si="23"/>
        <v>0</v>
      </c>
      <c r="AF209" s="526">
        <f t="shared" si="24"/>
        <v>0</v>
      </c>
      <c r="AG209" s="527">
        <f t="shared" si="25"/>
        <v>0</v>
      </c>
      <c r="AH209" s="527">
        <f t="shared" si="26"/>
        <v>0</v>
      </c>
      <c r="AI209" s="490">
        <v>1387</v>
      </c>
      <c r="AJ209" s="489">
        <f t="shared" si="27"/>
        <v>0</v>
      </c>
      <c r="AK209" s="490"/>
      <c r="AL209" s="490"/>
      <c r="AM209" s="490"/>
      <c r="AN209" s="490"/>
    </row>
    <row r="210" spans="1:40" x14ac:dyDescent="0.25">
      <c r="A210" s="332">
        <v>5732</v>
      </c>
      <c r="B210" s="459" t="s">
        <v>318</v>
      </c>
      <c r="C210" s="382">
        <v>4024331.02</v>
      </c>
      <c r="D210" s="382">
        <v>729824.08</v>
      </c>
      <c r="E210" s="380"/>
      <c r="F210" s="518"/>
      <c r="G210" s="382">
        <v>76710.05</v>
      </c>
      <c r="H210" s="382">
        <v>37762.300000000003</v>
      </c>
      <c r="I210" s="382">
        <v>192467.85</v>
      </c>
      <c r="J210" s="382">
        <v>24472.84</v>
      </c>
      <c r="K210" s="382">
        <v>6779.15</v>
      </c>
      <c r="L210" s="382">
        <v>380711.55</v>
      </c>
      <c r="M210" s="325">
        <f t="shared" si="21"/>
        <v>5473058.8399999989</v>
      </c>
      <c r="N210" s="386">
        <v>129498.6</v>
      </c>
      <c r="O210" s="386"/>
      <c r="P210" s="386">
        <v>143684.9</v>
      </c>
      <c r="Q210" s="386">
        <v>5102.84</v>
      </c>
      <c r="R210" s="386">
        <v>42977.05</v>
      </c>
      <c r="S210" s="371">
        <v>12965.38</v>
      </c>
      <c r="T210" s="439">
        <f t="shared" si="22"/>
        <v>5807287.6099999985</v>
      </c>
      <c r="U210" s="387">
        <v>63</v>
      </c>
      <c r="V210" s="390">
        <f>VLOOKUP(B210,'[1]2021'!$C:$D,2,FALSE)</f>
        <v>1157</v>
      </c>
      <c r="W210" s="436">
        <v>-28501.95</v>
      </c>
      <c r="X210" s="442"/>
      <c r="Y210" s="442">
        <v>-10729.12</v>
      </c>
      <c r="Z210" s="447">
        <v>1</v>
      </c>
      <c r="AA210" s="484">
        <v>5807287.6100000003</v>
      </c>
      <c r="AB210" s="484">
        <v>-28501.95</v>
      </c>
      <c r="AC210" s="484"/>
      <c r="AD210" s="484">
        <v>-10729.12</v>
      </c>
      <c r="AE210" s="526">
        <f t="shared" si="23"/>
        <v>0</v>
      </c>
      <c r="AF210" s="526">
        <f t="shared" si="24"/>
        <v>0</v>
      </c>
      <c r="AG210" s="527">
        <f t="shared" si="25"/>
        <v>0</v>
      </c>
      <c r="AH210" s="527">
        <f t="shared" si="26"/>
        <v>0</v>
      </c>
      <c r="AI210" s="490">
        <v>1157</v>
      </c>
      <c r="AJ210" s="489">
        <f t="shared" si="27"/>
        <v>0</v>
      </c>
      <c r="AK210" s="490"/>
      <c r="AL210" s="490"/>
      <c r="AM210" s="490"/>
      <c r="AN210" s="490"/>
    </row>
    <row r="211" spans="1:40" x14ac:dyDescent="0.25">
      <c r="A211" s="332">
        <v>5741</v>
      </c>
      <c r="B211" s="459" t="s">
        <v>319</v>
      </c>
      <c r="C211" s="382">
        <v>535454.23</v>
      </c>
      <c r="D211" s="382">
        <v>143915.37</v>
      </c>
      <c r="E211" s="380"/>
      <c r="F211" s="518">
        <v>1450</v>
      </c>
      <c r="G211" s="382">
        <v>3969.9</v>
      </c>
      <c r="H211" s="382">
        <v>1544.9</v>
      </c>
      <c r="I211" s="382"/>
      <c r="J211" s="382">
        <v>46.88</v>
      </c>
      <c r="K211" s="382"/>
      <c r="L211" s="382">
        <v>49734.35</v>
      </c>
      <c r="M211" s="325">
        <f t="shared" si="21"/>
        <v>736115.63</v>
      </c>
      <c r="N211" s="386">
        <v>6322.15</v>
      </c>
      <c r="O211" s="386">
        <v>1828.8</v>
      </c>
      <c r="P211" s="386">
        <v>29084</v>
      </c>
      <c r="Q211" s="386">
        <v>3734.14</v>
      </c>
      <c r="R211" s="386">
        <v>27959.8</v>
      </c>
      <c r="S211" s="371">
        <v>624.62</v>
      </c>
      <c r="T211" s="439">
        <f t="shared" si="22"/>
        <v>805669.14000000013</v>
      </c>
      <c r="U211" s="387">
        <v>81</v>
      </c>
      <c r="V211" s="390">
        <f>VLOOKUP(B211,'[1]2021'!$C:$D,2,FALSE)</f>
        <v>256</v>
      </c>
      <c r="W211" s="436">
        <v>-4207.6899999999996</v>
      </c>
      <c r="X211" s="442"/>
      <c r="Y211" s="442">
        <v>0</v>
      </c>
      <c r="Z211" s="447">
        <v>1.2</v>
      </c>
      <c r="AA211" s="484">
        <v>805669.14</v>
      </c>
      <c r="AB211" s="484">
        <v>-4207.6899999999996</v>
      </c>
      <c r="AC211" s="484"/>
      <c r="AD211" s="484">
        <v>0</v>
      </c>
      <c r="AE211" s="526">
        <f t="shared" si="23"/>
        <v>0</v>
      </c>
      <c r="AF211" s="526">
        <f t="shared" si="24"/>
        <v>0</v>
      </c>
      <c r="AG211" s="527">
        <f t="shared" si="25"/>
        <v>0</v>
      </c>
      <c r="AH211" s="527">
        <f t="shared" si="26"/>
        <v>0</v>
      </c>
      <c r="AI211" s="490">
        <v>256</v>
      </c>
      <c r="AJ211" s="489">
        <f t="shared" si="27"/>
        <v>0</v>
      </c>
      <c r="AK211" s="490"/>
      <c r="AL211" s="490"/>
      <c r="AM211" s="490"/>
      <c r="AN211" s="490"/>
    </row>
    <row r="212" spans="1:40" x14ac:dyDescent="0.25">
      <c r="A212" s="332">
        <v>5742</v>
      </c>
      <c r="B212" s="459" t="s">
        <v>320</v>
      </c>
      <c r="C212" s="382">
        <v>622066.72</v>
      </c>
      <c r="D212" s="382">
        <v>58469.09</v>
      </c>
      <c r="E212" s="380"/>
      <c r="F212" s="518"/>
      <c r="G212" s="382">
        <v>6904.15</v>
      </c>
      <c r="H212" s="382">
        <v>99.8</v>
      </c>
      <c r="I212" s="382"/>
      <c r="J212" s="382">
        <v>23813.74</v>
      </c>
      <c r="K212" s="382">
        <v>1672.3</v>
      </c>
      <c r="L212" s="382">
        <v>29323.45</v>
      </c>
      <c r="M212" s="325">
        <f t="shared" si="21"/>
        <v>742349.25</v>
      </c>
      <c r="N212" s="386">
        <v>2863.2</v>
      </c>
      <c r="O212" s="386">
        <v>2632.2</v>
      </c>
      <c r="P212" s="386">
        <v>173</v>
      </c>
      <c r="Q212" s="386">
        <v>196.51</v>
      </c>
      <c r="R212" s="386"/>
      <c r="S212" s="371">
        <v>793.28</v>
      </c>
      <c r="T212" s="439">
        <f t="shared" si="22"/>
        <v>749007.44</v>
      </c>
      <c r="U212" s="387">
        <v>76</v>
      </c>
      <c r="V212" s="390">
        <f>VLOOKUP(B212,'[1]2021'!$C:$D,2,FALSE)</f>
        <v>375</v>
      </c>
      <c r="W212" s="436">
        <v>-497.2</v>
      </c>
      <c r="X212" s="442"/>
      <c r="Y212" s="442">
        <v>0</v>
      </c>
      <c r="Z212" s="447">
        <v>0.5</v>
      </c>
      <c r="AA212" s="484">
        <v>749007.44</v>
      </c>
      <c r="AB212" s="484">
        <v>-497.2</v>
      </c>
      <c r="AC212" s="484"/>
      <c r="AD212" s="484">
        <v>0</v>
      </c>
      <c r="AE212" s="526">
        <f t="shared" si="23"/>
        <v>0</v>
      </c>
      <c r="AF212" s="526">
        <f t="shared" si="24"/>
        <v>0</v>
      </c>
      <c r="AG212" s="527">
        <f t="shared" si="25"/>
        <v>0</v>
      </c>
      <c r="AH212" s="527">
        <f t="shared" si="26"/>
        <v>0</v>
      </c>
      <c r="AI212" s="490">
        <v>375</v>
      </c>
      <c r="AJ212" s="489">
        <f t="shared" si="27"/>
        <v>0</v>
      </c>
      <c r="AK212" s="490"/>
      <c r="AL212" s="490"/>
      <c r="AM212" s="490"/>
      <c r="AN212" s="490"/>
    </row>
    <row r="213" spans="1:40" x14ac:dyDescent="0.25">
      <c r="A213" s="332">
        <v>5743</v>
      </c>
      <c r="B213" s="459" t="s">
        <v>258</v>
      </c>
      <c r="C213" s="382">
        <v>1076504.31</v>
      </c>
      <c r="D213" s="382">
        <v>151597.47</v>
      </c>
      <c r="E213" s="380"/>
      <c r="F213" s="518"/>
      <c r="G213" s="382">
        <v>1767.05</v>
      </c>
      <c r="H213" s="382">
        <v>576.6</v>
      </c>
      <c r="I213" s="382"/>
      <c r="J213" s="382">
        <v>5680.32</v>
      </c>
      <c r="K213" s="382"/>
      <c r="L213" s="382">
        <v>70165.899999999994</v>
      </c>
      <c r="M213" s="325">
        <f t="shared" si="21"/>
        <v>1306291.6500000001</v>
      </c>
      <c r="N213" s="386">
        <v>20766.900000000001</v>
      </c>
      <c r="O213" s="386">
        <v>15172.7</v>
      </c>
      <c r="P213" s="386">
        <v>37230.65</v>
      </c>
      <c r="Q213" s="386">
        <v>1118.93</v>
      </c>
      <c r="R213" s="386">
        <v>29535.65</v>
      </c>
      <c r="S213" s="371">
        <v>265.45</v>
      </c>
      <c r="T213" s="439">
        <f t="shared" si="22"/>
        <v>1410381.9299999997</v>
      </c>
      <c r="U213" s="387">
        <v>71</v>
      </c>
      <c r="V213" s="390">
        <f>VLOOKUP(B213,'[1]2021'!$C:$D,2,FALSE)</f>
        <v>665</v>
      </c>
      <c r="W213" s="436">
        <v>-9332.67</v>
      </c>
      <c r="X213" s="442"/>
      <c r="Y213" s="442">
        <v>-33.47</v>
      </c>
      <c r="Z213" s="447">
        <v>0.8</v>
      </c>
      <c r="AA213" s="484">
        <v>1410381.93</v>
      </c>
      <c r="AB213" s="484">
        <v>-9332.67</v>
      </c>
      <c r="AC213" s="484"/>
      <c r="AD213" s="484">
        <v>-33.47</v>
      </c>
      <c r="AE213" s="526">
        <f t="shared" si="23"/>
        <v>0</v>
      </c>
      <c r="AF213" s="526">
        <f t="shared" si="24"/>
        <v>0</v>
      </c>
      <c r="AG213" s="527">
        <f t="shared" si="25"/>
        <v>0</v>
      </c>
      <c r="AH213" s="527">
        <f t="shared" si="26"/>
        <v>0</v>
      </c>
      <c r="AI213" s="490">
        <v>665</v>
      </c>
      <c r="AJ213" s="489">
        <f t="shared" si="27"/>
        <v>0</v>
      </c>
      <c r="AK213" s="490"/>
      <c r="AL213" s="490"/>
      <c r="AM213" s="490"/>
      <c r="AN213" s="490"/>
    </row>
    <row r="214" spans="1:40" x14ac:dyDescent="0.25">
      <c r="A214" s="332">
        <v>5744</v>
      </c>
      <c r="B214" s="459" t="s">
        <v>259</v>
      </c>
      <c r="C214" s="382">
        <v>1369282.65</v>
      </c>
      <c r="D214" s="382">
        <v>197213.08</v>
      </c>
      <c r="E214" s="380"/>
      <c r="F214" s="518"/>
      <c r="G214" s="382">
        <v>1217030.8</v>
      </c>
      <c r="H214" s="382">
        <v>4432</v>
      </c>
      <c r="I214" s="382"/>
      <c r="J214" s="382">
        <v>112176.62</v>
      </c>
      <c r="K214" s="382"/>
      <c r="L214" s="382">
        <v>190954.7</v>
      </c>
      <c r="M214" s="325">
        <f t="shared" si="21"/>
        <v>3091089.8500000006</v>
      </c>
      <c r="N214" s="386">
        <v>1852198.25</v>
      </c>
      <c r="O214" s="386">
        <v>3917.3</v>
      </c>
      <c r="P214" s="386">
        <v>62469</v>
      </c>
      <c r="Q214" s="386">
        <v>5587.23</v>
      </c>
      <c r="R214" s="386">
        <v>13951.55</v>
      </c>
      <c r="S214" s="371">
        <v>138345.47</v>
      </c>
      <c r="T214" s="439">
        <f t="shared" si="22"/>
        <v>5167558.6500000004</v>
      </c>
      <c r="U214" s="387">
        <v>65</v>
      </c>
      <c r="V214" s="390">
        <f>VLOOKUP(B214,'[1]2021'!$C:$D,2,FALSE)</f>
        <v>1173</v>
      </c>
      <c r="W214" s="436">
        <v>-31713.72</v>
      </c>
      <c r="X214" s="442"/>
      <c r="Y214" s="442">
        <v>-2366.9499999999998</v>
      </c>
      <c r="Z214" s="447">
        <v>1</v>
      </c>
      <c r="AA214" s="484">
        <v>5167558.6500000004</v>
      </c>
      <c r="AB214" s="484">
        <v>-31713.72</v>
      </c>
      <c r="AC214" s="484"/>
      <c r="AD214" s="484">
        <v>-2366.9499999999998</v>
      </c>
      <c r="AE214" s="526">
        <f t="shared" si="23"/>
        <v>0</v>
      </c>
      <c r="AF214" s="526">
        <f t="shared" si="24"/>
        <v>0</v>
      </c>
      <c r="AG214" s="527">
        <f t="shared" si="25"/>
        <v>0</v>
      </c>
      <c r="AH214" s="527">
        <f t="shared" si="26"/>
        <v>0</v>
      </c>
      <c r="AI214" s="490">
        <v>1173</v>
      </c>
      <c r="AJ214" s="489">
        <f t="shared" si="27"/>
        <v>0</v>
      </c>
      <c r="AK214" s="490"/>
      <c r="AL214" s="490"/>
      <c r="AM214" s="490"/>
      <c r="AN214" s="490"/>
    </row>
    <row r="215" spans="1:40" x14ac:dyDescent="0.25">
      <c r="A215" s="332">
        <v>5745</v>
      </c>
      <c r="B215" s="459" t="s">
        <v>260</v>
      </c>
      <c r="C215" s="382">
        <v>1753077.87</v>
      </c>
      <c r="D215" s="382">
        <v>200085.15</v>
      </c>
      <c r="E215" s="380"/>
      <c r="F215" s="518"/>
      <c r="G215" s="382">
        <v>47579.95</v>
      </c>
      <c r="H215" s="382">
        <v>5176.55</v>
      </c>
      <c r="I215" s="382"/>
      <c r="J215" s="382">
        <v>41801.14</v>
      </c>
      <c r="K215" s="382"/>
      <c r="L215" s="382">
        <v>145737.60000000001</v>
      </c>
      <c r="M215" s="325">
        <f t="shared" si="21"/>
        <v>2193458.2599999998</v>
      </c>
      <c r="N215" s="386">
        <v>195912.2</v>
      </c>
      <c r="O215" s="386"/>
      <c r="P215" s="386">
        <v>93065.55</v>
      </c>
      <c r="Q215" s="386"/>
      <c r="R215" s="386">
        <v>129476.2</v>
      </c>
      <c r="S215" s="371">
        <v>5975.31</v>
      </c>
      <c r="T215" s="439">
        <f t="shared" si="22"/>
        <v>2617887.52</v>
      </c>
      <c r="U215" s="387">
        <v>76.5</v>
      </c>
      <c r="V215" s="390">
        <f>VLOOKUP(B215,'[1]2021'!$C:$D,2,FALSE)</f>
        <v>1126</v>
      </c>
      <c r="W215" s="436">
        <v>-21357.94</v>
      </c>
      <c r="X215" s="442"/>
      <c r="Y215" s="442">
        <v>-0.36</v>
      </c>
      <c r="Z215" s="447">
        <v>1</v>
      </c>
      <c r="AA215" s="484">
        <v>2617887.52</v>
      </c>
      <c r="AB215" s="484">
        <v>-21357.94</v>
      </c>
      <c r="AC215" s="484"/>
      <c r="AD215" s="484">
        <v>-0.36</v>
      </c>
      <c r="AE215" s="526">
        <f t="shared" si="23"/>
        <v>0</v>
      </c>
      <c r="AF215" s="526">
        <f t="shared" si="24"/>
        <v>0</v>
      </c>
      <c r="AG215" s="527">
        <f t="shared" si="25"/>
        <v>0</v>
      </c>
      <c r="AH215" s="527">
        <f t="shared" si="26"/>
        <v>0</v>
      </c>
      <c r="AI215" s="490">
        <v>1126</v>
      </c>
      <c r="AJ215" s="489">
        <f t="shared" si="27"/>
        <v>0</v>
      </c>
      <c r="AK215" s="490"/>
      <c r="AL215" s="490"/>
      <c r="AM215" s="490"/>
      <c r="AN215" s="490"/>
    </row>
    <row r="216" spans="1:40" x14ac:dyDescent="0.25">
      <c r="A216" s="332">
        <v>5746</v>
      </c>
      <c r="B216" s="459" t="s">
        <v>261</v>
      </c>
      <c r="C216" s="382">
        <v>1714622.69</v>
      </c>
      <c r="D216" s="382">
        <v>152859.97</v>
      </c>
      <c r="E216" s="380"/>
      <c r="F216" s="518"/>
      <c r="G216" s="382">
        <v>-39958.1</v>
      </c>
      <c r="H216" s="382">
        <v>2179.4</v>
      </c>
      <c r="I216" s="382"/>
      <c r="J216" s="382">
        <v>10301.08</v>
      </c>
      <c r="K216" s="382">
        <v>19594.75</v>
      </c>
      <c r="L216" s="382">
        <v>220801.75</v>
      </c>
      <c r="M216" s="325">
        <f t="shared" si="21"/>
        <v>2080401.5399999998</v>
      </c>
      <c r="N216" s="386">
        <v>7548.4</v>
      </c>
      <c r="O216" s="386">
        <v>14077.5</v>
      </c>
      <c r="P216" s="386">
        <v>197365.65</v>
      </c>
      <c r="Q216" s="386">
        <v>2409.41</v>
      </c>
      <c r="R216" s="386">
        <v>123899.5</v>
      </c>
      <c r="S216" s="371">
        <v>-4278.8999999999996</v>
      </c>
      <c r="T216" s="439">
        <f t="shared" si="22"/>
        <v>2421423.0999999996</v>
      </c>
      <c r="U216" s="387">
        <v>73</v>
      </c>
      <c r="V216" s="390">
        <f>VLOOKUP(B216,'[1]2021'!$C:$D,2,FALSE)</f>
        <v>978</v>
      </c>
      <c r="W216" s="436">
        <v>-31885.16</v>
      </c>
      <c r="X216" s="516">
        <v>-8895.35</v>
      </c>
      <c r="Y216" s="442">
        <v>-158.13</v>
      </c>
      <c r="Z216" s="447">
        <v>1.2</v>
      </c>
      <c r="AA216" s="484">
        <v>2421423.1</v>
      </c>
      <c r="AB216" s="484">
        <v>-31885.16</v>
      </c>
      <c r="AC216" s="484">
        <v>-8895.35</v>
      </c>
      <c r="AD216" s="484">
        <v>-158.13</v>
      </c>
      <c r="AE216" s="526">
        <f t="shared" si="23"/>
        <v>0</v>
      </c>
      <c r="AF216" s="526">
        <f t="shared" si="24"/>
        <v>0</v>
      </c>
      <c r="AG216" s="527">
        <f t="shared" si="25"/>
        <v>0</v>
      </c>
      <c r="AH216" s="527">
        <f t="shared" si="26"/>
        <v>0</v>
      </c>
      <c r="AI216" s="490">
        <v>978</v>
      </c>
      <c r="AJ216" s="489">
        <f t="shared" si="27"/>
        <v>0</v>
      </c>
      <c r="AK216" s="490"/>
      <c r="AL216" s="490"/>
      <c r="AM216" s="490"/>
      <c r="AN216" s="490"/>
    </row>
    <row r="217" spans="1:40" x14ac:dyDescent="0.25">
      <c r="A217" s="332">
        <v>5747</v>
      </c>
      <c r="B217" s="459" t="s">
        <v>262</v>
      </c>
      <c r="C217" s="382">
        <v>324499.26</v>
      </c>
      <c r="D217" s="382">
        <v>38146.730000000003</v>
      </c>
      <c r="E217" s="380"/>
      <c r="F217" s="518"/>
      <c r="G217" s="382">
        <v>5991.35</v>
      </c>
      <c r="H217" s="382">
        <v>299.45</v>
      </c>
      <c r="I217" s="382"/>
      <c r="J217" s="382">
        <v>4478.57</v>
      </c>
      <c r="K217" s="382"/>
      <c r="L217" s="382">
        <v>32519.1</v>
      </c>
      <c r="M217" s="325">
        <f t="shared" si="21"/>
        <v>405934.45999999996</v>
      </c>
      <c r="N217" s="386">
        <v>602.6</v>
      </c>
      <c r="O217" s="386"/>
      <c r="P217" s="386"/>
      <c r="Q217" s="386">
        <v>3859.6</v>
      </c>
      <c r="R217" s="386"/>
      <c r="S217" s="371">
        <v>712.51</v>
      </c>
      <c r="T217" s="439">
        <f t="shared" si="22"/>
        <v>411109.16999999993</v>
      </c>
      <c r="U217" s="387">
        <v>69</v>
      </c>
      <c r="V217" s="390">
        <f>VLOOKUP(B217,'[1]2021'!$C:$D,2,FALSE)</f>
        <v>206</v>
      </c>
      <c r="W217" s="436">
        <v>-9742.43</v>
      </c>
      <c r="X217" s="442"/>
      <c r="Y217" s="442">
        <v>0</v>
      </c>
      <c r="Z217" s="447">
        <v>1</v>
      </c>
      <c r="AA217" s="484">
        <v>411109.17</v>
      </c>
      <c r="AB217" s="484">
        <v>-9742.43</v>
      </c>
      <c r="AC217" s="484"/>
      <c r="AD217" s="484">
        <v>0</v>
      </c>
      <c r="AE217" s="526">
        <f t="shared" si="23"/>
        <v>0</v>
      </c>
      <c r="AF217" s="526">
        <f t="shared" si="24"/>
        <v>0</v>
      </c>
      <c r="AG217" s="527">
        <f t="shared" si="25"/>
        <v>0</v>
      </c>
      <c r="AH217" s="527">
        <f t="shared" si="26"/>
        <v>0</v>
      </c>
      <c r="AI217" s="490">
        <v>206</v>
      </c>
      <c r="AJ217" s="489">
        <f t="shared" si="27"/>
        <v>0</v>
      </c>
      <c r="AK217" s="490"/>
      <c r="AL217" s="490"/>
      <c r="AM217" s="490"/>
      <c r="AN217" s="490"/>
    </row>
    <row r="218" spans="1:40" x14ac:dyDescent="0.25">
      <c r="A218" s="332">
        <v>5748</v>
      </c>
      <c r="B218" s="459" t="s">
        <v>263</v>
      </c>
      <c r="C218" s="382">
        <v>368760.84</v>
      </c>
      <c r="D218" s="382">
        <v>34221.660000000003</v>
      </c>
      <c r="E218" s="380"/>
      <c r="F218" s="518">
        <v>2050</v>
      </c>
      <c r="G218" s="382">
        <v>10160.950000000001</v>
      </c>
      <c r="H218" s="382">
        <v>-2.9</v>
      </c>
      <c r="I218" s="382"/>
      <c r="J218" s="382">
        <v>1492.63</v>
      </c>
      <c r="K218" s="382"/>
      <c r="L218" s="382">
        <v>22224.2</v>
      </c>
      <c r="M218" s="325">
        <f t="shared" si="21"/>
        <v>438907.38</v>
      </c>
      <c r="N218" s="386">
        <v>197.7</v>
      </c>
      <c r="O218" s="386">
        <v>858</v>
      </c>
      <c r="P218" s="386">
        <v>13978.25</v>
      </c>
      <c r="Q218" s="386">
        <v>18094.89</v>
      </c>
      <c r="R218" s="386">
        <v>18819.45</v>
      </c>
      <c r="S218" s="371">
        <v>1150.52</v>
      </c>
      <c r="T218" s="439">
        <f t="shared" si="22"/>
        <v>492006.19000000006</v>
      </c>
      <c r="U218" s="387">
        <v>70.5</v>
      </c>
      <c r="V218" s="390">
        <f>VLOOKUP(B218,'[1]2021'!$C:$D,2,FALSE)</f>
        <v>266</v>
      </c>
      <c r="W218" s="436">
        <v>-4594.04</v>
      </c>
      <c r="X218" s="442"/>
      <c r="Y218" s="442">
        <v>0</v>
      </c>
      <c r="Z218" s="447">
        <v>0.6</v>
      </c>
      <c r="AA218" s="484">
        <v>492006.19</v>
      </c>
      <c r="AB218" s="484">
        <v>-4594.04</v>
      </c>
      <c r="AC218" s="484"/>
      <c r="AD218" s="484">
        <v>0</v>
      </c>
      <c r="AE218" s="526">
        <f t="shared" si="23"/>
        <v>0</v>
      </c>
      <c r="AF218" s="526">
        <f t="shared" si="24"/>
        <v>0</v>
      </c>
      <c r="AG218" s="527">
        <f t="shared" si="25"/>
        <v>0</v>
      </c>
      <c r="AH218" s="527">
        <f t="shared" si="26"/>
        <v>0</v>
      </c>
      <c r="AI218" s="490">
        <v>266</v>
      </c>
      <c r="AJ218" s="489">
        <f t="shared" si="27"/>
        <v>0</v>
      </c>
      <c r="AK218" s="490"/>
      <c r="AL218" s="490"/>
      <c r="AM218" s="490"/>
      <c r="AN218" s="490"/>
    </row>
    <row r="219" spans="1:40" x14ac:dyDescent="0.25">
      <c r="A219" s="332">
        <v>5749</v>
      </c>
      <c r="B219" s="459" t="s">
        <v>264</v>
      </c>
      <c r="C219" s="382">
        <v>8603836.6899999995</v>
      </c>
      <c r="D219" s="382">
        <v>794619.17</v>
      </c>
      <c r="E219" s="380"/>
      <c r="F219" s="518"/>
      <c r="G219" s="382">
        <v>372041.2</v>
      </c>
      <c r="H219" s="382">
        <v>22098.65</v>
      </c>
      <c r="I219" s="382"/>
      <c r="J219" s="382">
        <v>232464.93</v>
      </c>
      <c r="K219" s="382">
        <v>80561.05</v>
      </c>
      <c r="L219" s="382">
        <v>870017.45</v>
      </c>
      <c r="M219" s="325">
        <f t="shared" si="21"/>
        <v>10975639.139999999</v>
      </c>
      <c r="N219" s="386">
        <v>744756.9</v>
      </c>
      <c r="O219" s="386">
        <v>44456.6</v>
      </c>
      <c r="P219" s="386">
        <v>271360.95</v>
      </c>
      <c r="Q219" s="386">
        <v>83293.89</v>
      </c>
      <c r="R219" s="386">
        <v>189345.6</v>
      </c>
      <c r="S219" s="371">
        <v>44641.120000000003</v>
      </c>
      <c r="T219" s="439">
        <f t="shared" si="22"/>
        <v>12353494.199999997</v>
      </c>
      <c r="U219" s="387">
        <v>70.5</v>
      </c>
      <c r="V219" s="390">
        <f>VLOOKUP(B219,'[1]2021'!$C:$D,2,FALSE)</f>
        <v>5366</v>
      </c>
      <c r="W219" s="436">
        <v>-291029.56</v>
      </c>
      <c r="X219" s="442"/>
      <c r="Y219" s="442">
        <v>-2172.1</v>
      </c>
      <c r="Z219" s="447">
        <v>1</v>
      </c>
      <c r="AA219" s="484">
        <v>12353494.199999999</v>
      </c>
      <c r="AB219" s="484">
        <v>-291029.56</v>
      </c>
      <c r="AC219" s="484"/>
      <c r="AD219" s="484">
        <v>-2172.1</v>
      </c>
      <c r="AE219" s="526">
        <f t="shared" si="23"/>
        <v>0</v>
      </c>
      <c r="AF219" s="526">
        <f t="shared" si="24"/>
        <v>0</v>
      </c>
      <c r="AG219" s="527">
        <f t="shared" si="25"/>
        <v>0</v>
      </c>
      <c r="AH219" s="527">
        <f t="shared" si="26"/>
        <v>0</v>
      </c>
      <c r="AI219" s="490">
        <v>5366</v>
      </c>
      <c r="AJ219" s="489">
        <f t="shared" si="27"/>
        <v>0</v>
      </c>
      <c r="AK219" s="490"/>
      <c r="AL219" s="490"/>
      <c r="AM219" s="490"/>
      <c r="AN219" s="490"/>
    </row>
    <row r="220" spans="1:40" x14ac:dyDescent="0.25">
      <c r="A220" s="332">
        <v>5750</v>
      </c>
      <c r="B220" s="459" t="s">
        <v>265</v>
      </c>
      <c r="C220" s="382">
        <v>306542.07</v>
      </c>
      <c r="D220" s="382">
        <v>51636.97</v>
      </c>
      <c r="E220" s="380"/>
      <c r="F220" s="518">
        <v>1120</v>
      </c>
      <c r="G220" s="382">
        <v>350.6</v>
      </c>
      <c r="H220" s="382">
        <v>43.7</v>
      </c>
      <c r="I220" s="382"/>
      <c r="J220" s="382">
        <v>5624.75</v>
      </c>
      <c r="K220" s="382">
        <v>4.4000000000000004</v>
      </c>
      <c r="L220" s="382">
        <v>13383.5</v>
      </c>
      <c r="M220" s="325">
        <f t="shared" si="21"/>
        <v>378705.99000000005</v>
      </c>
      <c r="N220" s="386">
        <v>5002.05</v>
      </c>
      <c r="O220" s="386"/>
      <c r="P220" s="386">
        <v>13695</v>
      </c>
      <c r="Q220" s="386">
        <v>2161.48</v>
      </c>
      <c r="R220" s="386">
        <v>28417.7</v>
      </c>
      <c r="S220" s="371">
        <v>44.66</v>
      </c>
      <c r="T220" s="439">
        <f t="shared" si="22"/>
        <v>428026.88</v>
      </c>
      <c r="U220" s="387">
        <v>80</v>
      </c>
      <c r="V220" s="390">
        <f>VLOOKUP(B220,'[1]2021'!$C:$D,2,FALSE)</f>
        <v>182</v>
      </c>
      <c r="W220" s="436">
        <v>-3727.83</v>
      </c>
      <c r="X220" s="442"/>
      <c r="Y220" s="442">
        <v>-524.70000000000005</v>
      </c>
      <c r="Z220" s="447">
        <v>0.6</v>
      </c>
      <c r="AA220" s="484">
        <v>428026.88</v>
      </c>
      <c r="AB220" s="484">
        <v>-3727.83</v>
      </c>
      <c r="AC220" s="484"/>
      <c r="AD220" s="484">
        <v>-524.70000000000005</v>
      </c>
      <c r="AE220" s="526">
        <f t="shared" si="23"/>
        <v>0</v>
      </c>
      <c r="AF220" s="526">
        <f t="shared" si="24"/>
        <v>0</v>
      </c>
      <c r="AG220" s="527">
        <f t="shared" si="25"/>
        <v>0</v>
      </c>
      <c r="AH220" s="527">
        <f t="shared" si="26"/>
        <v>0</v>
      </c>
      <c r="AI220" s="490">
        <v>182</v>
      </c>
      <c r="AJ220" s="489">
        <f t="shared" si="27"/>
        <v>0</v>
      </c>
      <c r="AK220" s="490"/>
      <c r="AL220" s="490"/>
      <c r="AM220" s="490"/>
      <c r="AN220" s="490"/>
    </row>
    <row r="221" spans="1:40" x14ac:dyDescent="0.25">
      <c r="A221" s="332">
        <v>5752</v>
      </c>
      <c r="B221" s="459" t="s">
        <v>324</v>
      </c>
      <c r="C221" s="382">
        <v>579823.44999999995</v>
      </c>
      <c r="D221" s="382">
        <v>97270.27</v>
      </c>
      <c r="E221" s="380"/>
      <c r="F221" s="518"/>
      <c r="G221" s="382">
        <v>3774.35</v>
      </c>
      <c r="H221" s="382">
        <v>89.65</v>
      </c>
      <c r="I221" s="382"/>
      <c r="J221" s="382">
        <v>6413.67</v>
      </c>
      <c r="K221" s="382">
        <v>833.4</v>
      </c>
      <c r="L221" s="382">
        <v>43015.6</v>
      </c>
      <c r="M221" s="325">
        <f t="shared" si="21"/>
        <v>731220.39</v>
      </c>
      <c r="N221" s="386">
        <v>30061.4</v>
      </c>
      <c r="O221" s="386">
        <v>18.3</v>
      </c>
      <c r="P221" s="386">
        <v>8360</v>
      </c>
      <c r="Q221" s="386">
        <v>751</v>
      </c>
      <c r="R221" s="386">
        <v>11980.3</v>
      </c>
      <c r="S221" s="371">
        <v>437.64</v>
      </c>
      <c r="T221" s="439">
        <f t="shared" si="22"/>
        <v>782829.03000000014</v>
      </c>
      <c r="U221" s="387">
        <v>74</v>
      </c>
      <c r="V221" s="390">
        <f>VLOOKUP(B221,'[1]2021'!$C:$D,2,FALSE)</f>
        <v>390</v>
      </c>
      <c r="W221" s="436">
        <v>-35190.639999999999</v>
      </c>
      <c r="X221" s="442"/>
      <c r="Y221" s="442">
        <v>0</v>
      </c>
      <c r="Z221" s="447">
        <v>0.7</v>
      </c>
      <c r="AA221" s="484">
        <v>782829.03</v>
      </c>
      <c r="AB221" s="484">
        <v>-35190.639999999999</v>
      </c>
      <c r="AC221" s="484"/>
      <c r="AD221" s="484">
        <v>0</v>
      </c>
      <c r="AE221" s="526">
        <f t="shared" si="23"/>
        <v>0</v>
      </c>
      <c r="AF221" s="526">
        <f t="shared" si="24"/>
        <v>0</v>
      </c>
      <c r="AG221" s="527">
        <f t="shared" si="25"/>
        <v>0</v>
      </c>
      <c r="AH221" s="527">
        <f t="shared" si="26"/>
        <v>0</v>
      </c>
      <c r="AI221" s="490">
        <v>390</v>
      </c>
      <c r="AJ221" s="489">
        <f t="shared" si="27"/>
        <v>0</v>
      </c>
      <c r="AK221" s="490"/>
      <c r="AL221" s="490"/>
      <c r="AM221" s="490"/>
      <c r="AN221" s="490"/>
    </row>
    <row r="222" spans="1:40" x14ac:dyDescent="0.25">
      <c r="A222" s="332">
        <v>5754</v>
      </c>
      <c r="B222" s="459" t="s">
        <v>325</v>
      </c>
      <c r="C222" s="382">
        <v>606139.57999999996</v>
      </c>
      <c r="D222" s="382">
        <v>54048.51</v>
      </c>
      <c r="E222" s="380"/>
      <c r="F222" s="518"/>
      <c r="G222" s="382">
        <v>3252.95</v>
      </c>
      <c r="H222" s="382">
        <v>845.1</v>
      </c>
      <c r="I222" s="382"/>
      <c r="J222" s="382">
        <v>5914.62</v>
      </c>
      <c r="K222" s="382">
        <v>1588.5</v>
      </c>
      <c r="L222" s="382">
        <v>44038.1</v>
      </c>
      <c r="M222" s="325">
        <f t="shared" si="21"/>
        <v>715827.35999999987</v>
      </c>
      <c r="N222" s="386">
        <v>5292.65</v>
      </c>
      <c r="O222" s="386">
        <v>24984</v>
      </c>
      <c r="P222" s="386">
        <v>35200</v>
      </c>
      <c r="Q222" s="386">
        <v>789.6</v>
      </c>
      <c r="R222" s="386">
        <v>66840.149999999994</v>
      </c>
      <c r="S222" s="371">
        <v>464.15</v>
      </c>
      <c r="T222" s="439">
        <f t="shared" si="22"/>
        <v>849397.90999999992</v>
      </c>
      <c r="U222" s="387">
        <v>79</v>
      </c>
      <c r="V222" s="390">
        <f>VLOOKUP(B222,'[1]2021'!$C:$D,2,FALSE)</f>
        <v>348</v>
      </c>
      <c r="W222" s="436">
        <v>-259.32</v>
      </c>
      <c r="X222" s="442"/>
      <c r="Y222" s="442">
        <v>0</v>
      </c>
      <c r="Z222" s="447">
        <v>1</v>
      </c>
      <c r="AA222" s="484">
        <v>849397.91</v>
      </c>
      <c r="AB222" s="484">
        <v>-259.32</v>
      </c>
      <c r="AC222" s="484"/>
      <c r="AD222" s="484">
        <v>0</v>
      </c>
      <c r="AE222" s="526">
        <f t="shared" si="23"/>
        <v>0</v>
      </c>
      <c r="AF222" s="526">
        <f t="shared" si="24"/>
        <v>0</v>
      </c>
      <c r="AG222" s="527">
        <f t="shared" si="25"/>
        <v>0</v>
      </c>
      <c r="AH222" s="527">
        <f t="shared" si="26"/>
        <v>0</v>
      </c>
      <c r="AI222" s="490">
        <v>348</v>
      </c>
      <c r="AJ222" s="489">
        <f t="shared" si="27"/>
        <v>0</v>
      </c>
      <c r="AK222" s="490"/>
      <c r="AL222" s="490"/>
      <c r="AM222" s="490"/>
      <c r="AN222" s="490"/>
    </row>
    <row r="223" spans="1:40" x14ac:dyDescent="0.25">
      <c r="A223" s="332">
        <v>5755</v>
      </c>
      <c r="B223" s="459" t="s">
        <v>326</v>
      </c>
      <c r="C223" s="382">
        <v>696319.98</v>
      </c>
      <c r="D223" s="382">
        <v>75980.92</v>
      </c>
      <c r="E223" s="380"/>
      <c r="F223" s="518">
        <v>2230</v>
      </c>
      <c r="G223" s="382">
        <v>24644.6</v>
      </c>
      <c r="H223" s="382">
        <v>759.4</v>
      </c>
      <c r="I223" s="382"/>
      <c r="J223" s="382">
        <v>5448.27</v>
      </c>
      <c r="K223" s="382">
        <v>2533.1</v>
      </c>
      <c r="L223" s="382">
        <v>44649.7</v>
      </c>
      <c r="M223" s="325">
        <f t="shared" si="21"/>
        <v>852565.97</v>
      </c>
      <c r="N223" s="386">
        <v>53250.85</v>
      </c>
      <c r="O223" s="386">
        <v>12975</v>
      </c>
      <c r="P223" s="386">
        <v>21937.55</v>
      </c>
      <c r="Q223" s="386">
        <v>2102.0100000000002</v>
      </c>
      <c r="R223" s="386">
        <v>6450.15</v>
      </c>
      <c r="S223" s="371">
        <v>2877.31</v>
      </c>
      <c r="T223" s="439">
        <f t="shared" si="22"/>
        <v>952158.84000000008</v>
      </c>
      <c r="U223" s="387">
        <v>78.5</v>
      </c>
      <c r="V223" s="390">
        <f>VLOOKUP(B223,'[1]2021'!$C:$D,2,FALSE)</f>
        <v>409</v>
      </c>
      <c r="W223" s="436">
        <v>-33063.46</v>
      </c>
      <c r="X223" s="442"/>
      <c r="Y223" s="442">
        <v>-0.05</v>
      </c>
      <c r="Z223" s="447">
        <v>0.7</v>
      </c>
      <c r="AA223" s="484">
        <v>952158.84</v>
      </c>
      <c r="AB223" s="484">
        <v>-33063.46</v>
      </c>
      <c r="AC223" s="484"/>
      <c r="AD223" s="484">
        <v>-0.05</v>
      </c>
      <c r="AE223" s="526">
        <f t="shared" si="23"/>
        <v>0</v>
      </c>
      <c r="AF223" s="526">
        <f t="shared" si="24"/>
        <v>0</v>
      </c>
      <c r="AG223" s="527">
        <f t="shared" si="25"/>
        <v>0</v>
      </c>
      <c r="AH223" s="527">
        <f t="shared" si="26"/>
        <v>0</v>
      </c>
      <c r="AI223" s="490">
        <v>409</v>
      </c>
      <c r="AJ223" s="489">
        <f t="shared" si="27"/>
        <v>0</v>
      </c>
      <c r="AK223" s="490"/>
      <c r="AL223" s="490"/>
      <c r="AM223" s="490"/>
      <c r="AN223" s="490"/>
    </row>
    <row r="224" spans="1:40" x14ac:dyDescent="0.25">
      <c r="A224" s="332">
        <v>5756</v>
      </c>
      <c r="B224" s="459" t="s">
        <v>327</v>
      </c>
      <c r="C224" s="382">
        <v>961323.76</v>
      </c>
      <c r="D224" s="382">
        <v>198058.71</v>
      </c>
      <c r="E224" s="380"/>
      <c r="F224" s="518"/>
      <c r="G224" s="382">
        <v>30625.05</v>
      </c>
      <c r="H224" s="382">
        <v>295.75</v>
      </c>
      <c r="I224" s="382"/>
      <c r="J224" s="382">
        <v>14446.56</v>
      </c>
      <c r="K224" s="382">
        <v>-946.1</v>
      </c>
      <c r="L224" s="382">
        <v>87426.5</v>
      </c>
      <c r="M224" s="325">
        <f t="shared" si="21"/>
        <v>1291230.23</v>
      </c>
      <c r="N224" s="386">
        <v>20910.599999999999</v>
      </c>
      <c r="O224" s="386">
        <v>12210.2</v>
      </c>
      <c r="P224" s="386">
        <v>12655.5</v>
      </c>
      <c r="Q224" s="386"/>
      <c r="R224" s="386">
        <v>22526.1</v>
      </c>
      <c r="S224" s="371">
        <v>3502.16</v>
      </c>
      <c r="T224" s="439">
        <f t="shared" si="22"/>
        <v>1363034.79</v>
      </c>
      <c r="U224" s="387">
        <v>72</v>
      </c>
      <c r="V224" s="390">
        <f>VLOOKUP(B224,'[1]2021'!$C:$D,2,FALSE)</f>
        <v>502</v>
      </c>
      <c r="W224" s="436">
        <v>-15200.07</v>
      </c>
      <c r="X224" s="442"/>
      <c r="Y224" s="442">
        <v>-2286.56</v>
      </c>
      <c r="Z224" s="447">
        <v>1</v>
      </c>
      <c r="AA224" s="484">
        <v>1363034.79</v>
      </c>
      <c r="AB224" s="484">
        <v>-15200.07</v>
      </c>
      <c r="AC224" s="484"/>
      <c r="AD224" s="484">
        <v>-2286.56</v>
      </c>
      <c r="AE224" s="526">
        <f t="shared" si="23"/>
        <v>0</v>
      </c>
      <c r="AF224" s="526">
        <f t="shared" si="24"/>
        <v>0</v>
      </c>
      <c r="AG224" s="527">
        <f t="shared" si="25"/>
        <v>0</v>
      </c>
      <c r="AH224" s="527">
        <f t="shared" si="26"/>
        <v>0</v>
      </c>
      <c r="AI224" s="490">
        <v>502</v>
      </c>
      <c r="AJ224" s="489">
        <f t="shared" si="27"/>
        <v>0</v>
      </c>
      <c r="AK224" s="490"/>
      <c r="AL224" s="490"/>
      <c r="AM224" s="490"/>
      <c r="AN224" s="490"/>
    </row>
    <row r="225" spans="1:40" x14ac:dyDescent="0.25">
      <c r="A225" s="332">
        <v>5757</v>
      </c>
      <c r="B225" s="459" t="s">
        <v>328</v>
      </c>
      <c r="C225" s="382">
        <v>11869208.09</v>
      </c>
      <c r="D225" s="382">
        <v>1126902.78</v>
      </c>
      <c r="E225" s="380"/>
      <c r="F225" s="518"/>
      <c r="G225" s="382">
        <v>1251859.45</v>
      </c>
      <c r="H225" s="382">
        <v>97048.4</v>
      </c>
      <c r="I225" s="382"/>
      <c r="J225" s="382">
        <v>503885.29</v>
      </c>
      <c r="K225" s="382">
        <v>102434.65</v>
      </c>
      <c r="L225" s="382">
        <v>1415717.55</v>
      </c>
      <c r="M225" s="325">
        <f t="shared" si="21"/>
        <v>16367056.209999999</v>
      </c>
      <c r="N225" s="386">
        <v>3266196.25</v>
      </c>
      <c r="O225" s="386">
        <v>20485.099999999999</v>
      </c>
      <c r="P225" s="386">
        <v>971488.65</v>
      </c>
      <c r="Q225" s="386">
        <v>102711.97</v>
      </c>
      <c r="R225" s="386">
        <v>379666.35</v>
      </c>
      <c r="S225" s="371">
        <v>152780.17000000001</v>
      </c>
      <c r="T225" s="439">
        <f t="shared" si="22"/>
        <v>21260384.700000003</v>
      </c>
      <c r="U225" s="387">
        <v>75.5</v>
      </c>
      <c r="V225" s="390">
        <f>VLOOKUP(B225,'[1]2021'!$C:$D,2,FALSE)</f>
        <v>7570</v>
      </c>
      <c r="W225" s="436">
        <v>-298002.68</v>
      </c>
      <c r="X225" s="442"/>
      <c r="Y225" s="442">
        <v>-2591.52</v>
      </c>
      <c r="Z225" s="447">
        <v>1</v>
      </c>
      <c r="AA225" s="484">
        <v>21260384.699999999</v>
      </c>
      <c r="AB225" s="484">
        <v>-298002.68</v>
      </c>
      <c r="AC225" s="484"/>
      <c r="AD225" s="484">
        <v>-2591.52</v>
      </c>
      <c r="AE225" s="526">
        <f t="shared" si="23"/>
        <v>0</v>
      </c>
      <c r="AF225" s="526">
        <f t="shared" si="24"/>
        <v>0</v>
      </c>
      <c r="AG225" s="527">
        <f t="shared" si="25"/>
        <v>0</v>
      </c>
      <c r="AH225" s="527">
        <f t="shared" si="26"/>
        <v>0</v>
      </c>
      <c r="AI225" s="490">
        <v>7570</v>
      </c>
      <c r="AJ225" s="489">
        <f t="shared" si="27"/>
        <v>0</v>
      </c>
      <c r="AK225" s="490"/>
      <c r="AL225" s="490"/>
      <c r="AM225" s="490"/>
      <c r="AN225" s="490"/>
    </row>
    <row r="226" spans="1:40" x14ac:dyDescent="0.25">
      <c r="A226" s="332">
        <v>5758</v>
      </c>
      <c r="B226" s="459" t="s">
        <v>211</v>
      </c>
      <c r="C226" s="382">
        <v>323160.71000000002</v>
      </c>
      <c r="D226" s="382">
        <v>35553.18</v>
      </c>
      <c r="E226" s="380"/>
      <c r="F226" s="518">
        <v>1100</v>
      </c>
      <c r="G226" s="382">
        <v>3847.05</v>
      </c>
      <c r="H226" s="382">
        <v>1002.6</v>
      </c>
      <c r="I226" s="382"/>
      <c r="J226" s="382">
        <v>6151.03</v>
      </c>
      <c r="K226" s="382"/>
      <c r="L226" s="382">
        <v>25473.15</v>
      </c>
      <c r="M226" s="325">
        <f t="shared" si="21"/>
        <v>396287.72000000003</v>
      </c>
      <c r="N226" s="386">
        <v>1860.55</v>
      </c>
      <c r="O226" s="386"/>
      <c r="P226" s="386">
        <v>12752.15</v>
      </c>
      <c r="Q226" s="386"/>
      <c r="R226" s="386">
        <v>29904.9</v>
      </c>
      <c r="S226" s="371">
        <v>549.28</v>
      </c>
      <c r="T226" s="439">
        <f t="shared" si="22"/>
        <v>441354.60000000009</v>
      </c>
      <c r="U226" s="387">
        <v>83</v>
      </c>
      <c r="V226" s="390">
        <f>VLOOKUP(B226,'[1]2021'!$C:$D,2,FALSE)</f>
        <v>182</v>
      </c>
      <c r="W226" s="436">
        <v>-3326.73</v>
      </c>
      <c r="X226" s="442"/>
      <c r="Y226" s="442">
        <v>-275.73</v>
      </c>
      <c r="Z226" s="447">
        <v>0.9</v>
      </c>
      <c r="AA226" s="484">
        <v>441354.6</v>
      </c>
      <c r="AB226" s="484">
        <v>-3326.73</v>
      </c>
      <c r="AC226" s="484"/>
      <c r="AD226" s="484">
        <v>-275.73</v>
      </c>
      <c r="AE226" s="526">
        <f t="shared" si="23"/>
        <v>0</v>
      </c>
      <c r="AF226" s="526">
        <f t="shared" si="24"/>
        <v>0</v>
      </c>
      <c r="AG226" s="527">
        <f t="shared" si="25"/>
        <v>0</v>
      </c>
      <c r="AH226" s="527">
        <f t="shared" si="26"/>
        <v>0</v>
      </c>
      <c r="AI226" s="490">
        <v>182</v>
      </c>
      <c r="AJ226" s="489">
        <f t="shared" si="27"/>
        <v>0</v>
      </c>
      <c r="AK226" s="490"/>
      <c r="AL226" s="490"/>
      <c r="AM226" s="490"/>
      <c r="AN226" s="490"/>
    </row>
    <row r="227" spans="1:40" x14ac:dyDescent="0.25">
      <c r="A227" s="332">
        <v>5759</v>
      </c>
      <c r="B227" s="459" t="s">
        <v>212</v>
      </c>
      <c r="C227" s="382">
        <v>389733.3</v>
      </c>
      <c r="D227" s="382">
        <v>42750.46</v>
      </c>
      <c r="E227" s="380"/>
      <c r="F227" s="518"/>
      <c r="G227" s="382">
        <v>1611.9</v>
      </c>
      <c r="H227" s="382">
        <v>230.8</v>
      </c>
      <c r="I227" s="382"/>
      <c r="J227" s="382">
        <v>3014.22</v>
      </c>
      <c r="K227" s="382">
        <v>242.95</v>
      </c>
      <c r="L227" s="382">
        <v>32043.7</v>
      </c>
      <c r="M227" s="325">
        <f t="shared" si="21"/>
        <v>469627.33</v>
      </c>
      <c r="N227" s="386">
        <v>4410.6499999999996</v>
      </c>
      <c r="O227" s="386"/>
      <c r="P227" s="386"/>
      <c r="Q227" s="386">
        <v>764.54</v>
      </c>
      <c r="R227" s="386"/>
      <c r="S227" s="371">
        <v>208.71</v>
      </c>
      <c r="T227" s="439">
        <f t="shared" si="22"/>
        <v>475011.23000000004</v>
      </c>
      <c r="U227" s="387">
        <v>79.5</v>
      </c>
      <c r="V227" s="390">
        <f>VLOOKUP(B227,'[1]2021'!$C:$D,2,FALSE)</f>
        <v>232</v>
      </c>
      <c r="W227" s="436">
        <v>-1373.78</v>
      </c>
      <c r="X227" s="442"/>
      <c r="Y227" s="442">
        <v>-172.25</v>
      </c>
      <c r="Z227" s="447">
        <v>1</v>
      </c>
      <c r="AA227" s="484">
        <v>475011.23</v>
      </c>
      <c r="AB227" s="484">
        <v>-1373.78</v>
      </c>
      <c r="AC227" s="484"/>
      <c r="AD227" s="484">
        <v>-172.25</v>
      </c>
      <c r="AE227" s="526">
        <f t="shared" si="23"/>
        <v>0</v>
      </c>
      <c r="AF227" s="526">
        <f t="shared" si="24"/>
        <v>0</v>
      </c>
      <c r="AG227" s="527">
        <f t="shared" si="25"/>
        <v>0</v>
      </c>
      <c r="AH227" s="527">
        <f t="shared" si="26"/>
        <v>0</v>
      </c>
      <c r="AI227" s="490">
        <v>232</v>
      </c>
      <c r="AJ227" s="489">
        <f t="shared" si="27"/>
        <v>0</v>
      </c>
      <c r="AK227" s="490"/>
      <c r="AL227" s="490"/>
      <c r="AM227" s="490"/>
      <c r="AN227" s="490"/>
    </row>
    <row r="228" spans="1:40" x14ac:dyDescent="0.25">
      <c r="A228" s="332">
        <v>5760</v>
      </c>
      <c r="B228" s="459" t="s">
        <v>213</v>
      </c>
      <c r="C228" s="382">
        <v>935916.11</v>
      </c>
      <c r="D228" s="382">
        <v>85725.41</v>
      </c>
      <c r="E228" s="380"/>
      <c r="F228" s="518"/>
      <c r="G228" s="382">
        <v>21548.95</v>
      </c>
      <c r="H228" s="382">
        <v>606.4</v>
      </c>
      <c r="I228" s="382"/>
      <c r="J228" s="382">
        <v>3150.73</v>
      </c>
      <c r="K228" s="382"/>
      <c r="L228" s="382">
        <v>123143</v>
      </c>
      <c r="M228" s="325">
        <f t="shared" si="21"/>
        <v>1170090.6000000001</v>
      </c>
      <c r="N228" s="386">
        <v>34603.35</v>
      </c>
      <c r="O228" s="386"/>
      <c r="P228" s="386">
        <v>53108</v>
      </c>
      <c r="Q228" s="386"/>
      <c r="R228" s="386">
        <v>38755.65</v>
      </c>
      <c r="S228" s="371">
        <v>2509.36</v>
      </c>
      <c r="T228" s="439">
        <f t="shared" si="22"/>
        <v>1299066.9600000002</v>
      </c>
      <c r="U228" s="387">
        <v>76.5</v>
      </c>
      <c r="V228" s="390">
        <f>VLOOKUP(B228,'[1]2021'!$C:$D,2,FALSE)</f>
        <v>512</v>
      </c>
      <c r="W228" s="436">
        <v>-21935.22</v>
      </c>
      <c r="X228" s="442"/>
      <c r="Y228" s="442">
        <v>-1752.3</v>
      </c>
      <c r="Z228" s="447">
        <v>1.5</v>
      </c>
      <c r="AA228" s="484">
        <v>1299066.96</v>
      </c>
      <c r="AB228" s="484">
        <v>-21935.22</v>
      </c>
      <c r="AC228" s="484"/>
      <c r="AD228" s="484">
        <v>-1752.3</v>
      </c>
      <c r="AE228" s="526">
        <f t="shared" si="23"/>
        <v>0</v>
      </c>
      <c r="AF228" s="526">
        <f t="shared" si="24"/>
        <v>0</v>
      </c>
      <c r="AG228" s="527">
        <f t="shared" si="25"/>
        <v>0</v>
      </c>
      <c r="AH228" s="527">
        <f t="shared" si="26"/>
        <v>0</v>
      </c>
      <c r="AI228" s="490">
        <v>512</v>
      </c>
      <c r="AJ228" s="489">
        <f t="shared" si="27"/>
        <v>0</v>
      </c>
      <c r="AK228" s="490"/>
      <c r="AL228" s="490"/>
      <c r="AM228" s="490"/>
      <c r="AN228" s="490"/>
    </row>
    <row r="229" spans="1:40" x14ac:dyDescent="0.25">
      <c r="A229" s="332">
        <v>5761</v>
      </c>
      <c r="B229" s="459" t="s">
        <v>133</v>
      </c>
      <c r="C229" s="382">
        <v>830262.44</v>
      </c>
      <c r="D229" s="382">
        <v>112378.57</v>
      </c>
      <c r="E229" s="380"/>
      <c r="F229" s="518"/>
      <c r="G229" s="382">
        <v>11935.25</v>
      </c>
      <c r="H229" s="382">
        <v>865.8</v>
      </c>
      <c r="I229" s="382"/>
      <c r="J229" s="382">
        <v>9440.07</v>
      </c>
      <c r="K229" s="382">
        <v>6593.8</v>
      </c>
      <c r="L229" s="382">
        <v>93252.3</v>
      </c>
      <c r="M229" s="325">
        <f t="shared" si="21"/>
        <v>1064728.23</v>
      </c>
      <c r="N229" s="386">
        <v>67027.600000000006</v>
      </c>
      <c r="O229" s="386"/>
      <c r="P229" s="386">
        <v>109791</v>
      </c>
      <c r="Q229" s="386">
        <v>2530.39</v>
      </c>
      <c r="R229" s="386">
        <v>40738.300000000003</v>
      </c>
      <c r="S229" s="371">
        <v>1449.87</v>
      </c>
      <c r="T229" s="439">
        <f t="shared" si="22"/>
        <v>1286265.3900000001</v>
      </c>
      <c r="U229" s="387">
        <v>81</v>
      </c>
      <c r="V229" s="390">
        <f>VLOOKUP(B229,'[1]2021'!$C:$D,2,FALSE)</f>
        <v>551</v>
      </c>
      <c r="W229" s="436">
        <v>-14114.64</v>
      </c>
      <c r="X229" s="442"/>
      <c r="Y229" s="442">
        <v>-83.6</v>
      </c>
      <c r="Z229" s="447">
        <v>1.1000000000000001</v>
      </c>
      <c r="AA229" s="484">
        <v>1286265.3899999999</v>
      </c>
      <c r="AB229" s="484">
        <v>-14114.64</v>
      </c>
      <c r="AC229" s="484"/>
      <c r="AD229" s="484">
        <v>-83.6</v>
      </c>
      <c r="AE229" s="526">
        <f t="shared" si="23"/>
        <v>0</v>
      </c>
      <c r="AF229" s="526">
        <f t="shared" si="24"/>
        <v>0</v>
      </c>
      <c r="AG229" s="527">
        <f t="shared" si="25"/>
        <v>0</v>
      </c>
      <c r="AH229" s="527">
        <f t="shared" si="26"/>
        <v>0</v>
      </c>
      <c r="AI229" s="490">
        <v>551</v>
      </c>
      <c r="AJ229" s="489">
        <f t="shared" si="27"/>
        <v>0</v>
      </c>
      <c r="AK229" s="490"/>
      <c r="AL229" s="490"/>
      <c r="AM229" s="490"/>
      <c r="AN229" s="490"/>
    </row>
    <row r="230" spans="1:40" x14ac:dyDescent="0.25">
      <c r="A230" s="332">
        <v>5762</v>
      </c>
      <c r="B230" s="459" t="s">
        <v>134</v>
      </c>
      <c r="C230" s="382">
        <v>251807.82</v>
      </c>
      <c r="D230" s="382">
        <v>24192.82</v>
      </c>
      <c r="E230" s="380"/>
      <c r="F230" s="518"/>
      <c r="G230" s="382">
        <v>2443.35</v>
      </c>
      <c r="H230" s="382">
        <v>96.4</v>
      </c>
      <c r="I230" s="382"/>
      <c r="J230" s="382"/>
      <c r="K230" s="382">
        <v>191.55</v>
      </c>
      <c r="L230" s="382">
        <v>21321.15</v>
      </c>
      <c r="M230" s="325">
        <f t="shared" si="21"/>
        <v>300053.09000000003</v>
      </c>
      <c r="N230" s="386">
        <v>12165.4</v>
      </c>
      <c r="O230" s="386"/>
      <c r="P230" s="386"/>
      <c r="Q230" s="386"/>
      <c r="R230" s="386"/>
      <c r="S230" s="371">
        <v>287.66000000000003</v>
      </c>
      <c r="T230" s="439">
        <f t="shared" si="22"/>
        <v>312506.15000000002</v>
      </c>
      <c r="U230" s="387">
        <v>78</v>
      </c>
      <c r="V230" s="390">
        <f>VLOOKUP(B230,'[1]2021'!$C:$D,2,FALSE)</f>
        <v>141</v>
      </c>
      <c r="W230" s="436">
        <v>-69.739999999999995</v>
      </c>
      <c r="X230" s="442"/>
      <c r="Y230" s="442">
        <v>0</v>
      </c>
      <c r="Z230" s="447">
        <v>1</v>
      </c>
      <c r="AA230" s="484">
        <v>312506.15000000002</v>
      </c>
      <c r="AB230" s="484">
        <v>-69.739999999999995</v>
      </c>
      <c r="AC230" s="484"/>
      <c r="AD230" s="484">
        <v>0</v>
      </c>
      <c r="AE230" s="526">
        <f t="shared" si="23"/>
        <v>0</v>
      </c>
      <c r="AF230" s="526">
        <f t="shared" si="24"/>
        <v>0</v>
      </c>
      <c r="AG230" s="527">
        <f t="shared" si="25"/>
        <v>0</v>
      </c>
      <c r="AH230" s="527">
        <f t="shared" si="26"/>
        <v>0</v>
      </c>
      <c r="AI230" s="490">
        <v>141</v>
      </c>
      <c r="AJ230" s="489">
        <f t="shared" si="27"/>
        <v>0</v>
      </c>
      <c r="AK230" s="490"/>
      <c r="AL230" s="490"/>
      <c r="AM230" s="490"/>
      <c r="AN230" s="490"/>
    </row>
    <row r="231" spans="1:40" x14ac:dyDescent="0.25">
      <c r="A231" s="332">
        <v>5763</v>
      </c>
      <c r="B231" s="459" t="s">
        <v>135</v>
      </c>
      <c r="C231" s="382">
        <v>1243204.2</v>
      </c>
      <c r="D231" s="382">
        <v>155500.69</v>
      </c>
      <c r="E231" s="380"/>
      <c r="F231" s="518">
        <v>3270</v>
      </c>
      <c r="G231" s="382">
        <v>27123.25</v>
      </c>
      <c r="H231" s="382">
        <v>1277.25</v>
      </c>
      <c r="I231" s="382"/>
      <c r="J231" s="382">
        <v>17906.5</v>
      </c>
      <c r="K231" s="382">
        <v>4048.15</v>
      </c>
      <c r="L231" s="382">
        <v>90844.5</v>
      </c>
      <c r="M231" s="325">
        <f t="shared" si="21"/>
        <v>1543174.5399999998</v>
      </c>
      <c r="N231" s="386">
        <v>33568.9</v>
      </c>
      <c r="O231" s="386"/>
      <c r="P231" s="386">
        <v>16216.05</v>
      </c>
      <c r="Q231" s="386">
        <v>1584.64</v>
      </c>
      <c r="R231" s="386">
        <v>10651.8</v>
      </c>
      <c r="S231" s="371">
        <v>3216.7</v>
      </c>
      <c r="T231" s="439">
        <f t="shared" si="22"/>
        <v>1608412.6299999997</v>
      </c>
      <c r="U231" s="387">
        <v>68</v>
      </c>
      <c r="V231" s="390">
        <f>VLOOKUP(B231,'[1]2021'!$C:$D,2,FALSE)</f>
        <v>614</v>
      </c>
      <c r="W231" s="515">
        <v>-6356.74</v>
      </c>
      <c r="X231" s="442"/>
      <c r="Y231" s="442">
        <v>-468.94</v>
      </c>
      <c r="Z231" s="447">
        <v>1</v>
      </c>
      <c r="AA231" s="484">
        <v>1608412.63</v>
      </c>
      <c r="AB231" s="484">
        <v>-6356.74</v>
      </c>
      <c r="AC231" s="484"/>
      <c r="AD231" s="484">
        <v>-468.94</v>
      </c>
      <c r="AE231" s="526">
        <f t="shared" si="23"/>
        <v>0</v>
      </c>
      <c r="AF231" s="526">
        <f t="shared" si="24"/>
        <v>0</v>
      </c>
      <c r="AG231" s="527">
        <f t="shared" si="25"/>
        <v>0</v>
      </c>
      <c r="AH231" s="527">
        <f t="shared" si="26"/>
        <v>0</v>
      </c>
      <c r="AI231" s="490">
        <v>614</v>
      </c>
      <c r="AJ231" s="489">
        <f t="shared" si="27"/>
        <v>0</v>
      </c>
      <c r="AK231" s="490"/>
      <c r="AL231" s="490"/>
      <c r="AM231" s="490"/>
      <c r="AN231" s="490"/>
    </row>
    <row r="232" spans="1:40" x14ac:dyDescent="0.25">
      <c r="A232" s="332">
        <v>5764</v>
      </c>
      <c r="B232" s="459" t="s">
        <v>329</v>
      </c>
      <c r="C232" s="382">
        <v>4620859.66</v>
      </c>
      <c r="D232" s="382">
        <v>504803.39</v>
      </c>
      <c r="E232" s="380"/>
      <c r="F232" s="518"/>
      <c r="G232" s="382">
        <v>154009.15</v>
      </c>
      <c r="H232" s="382">
        <v>69183.649999999994</v>
      </c>
      <c r="I232" s="382"/>
      <c r="J232" s="382">
        <v>225664.27</v>
      </c>
      <c r="K232" s="382">
        <v>36099.75</v>
      </c>
      <c r="L232" s="382">
        <v>473941.1</v>
      </c>
      <c r="M232" s="325">
        <f t="shared" si="21"/>
        <v>6084560.9699999997</v>
      </c>
      <c r="N232" s="386">
        <v>2206248.75</v>
      </c>
      <c r="O232" s="386">
        <v>14462</v>
      </c>
      <c r="P232" s="386">
        <v>264458.65000000002</v>
      </c>
      <c r="Q232" s="386">
        <v>93962.65</v>
      </c>
      <c r="R232" s="386">
        <v>180308.7</v>
      </c>
      <c r="S232" s="371">
        <v>25279.29</v>
      </c>
      <c r="T232" s="439">
        <f t="shared" si="22"/>
        <v>8869281.0099999979</v>
      </c>
      <c r="U232" s="387">
        <v>71.5</v>
      </c>
      <c r="V232" s="390">
        <f>VLOOKUP(B232,'[1]2021'!$C:$D,2,FALSE)</f>
        <v>3924</v>
      </c>
      <c r="W232" s="515">
        <v>-219535.31</v>
      </c>
      <c r="X232" s="442"/>
      <c r="Y232" s="442">
        <v>-977.23</v>
      </c>
      <c r="Z232" s="447">
        <v>1</v>
      </c>
      <c r="AA232" s="484">
        <v>8869281.0099999998</v>
      </c>
      <c r="AB232" s="484">
        <v>-219535.31</v>
      </c>
      <c r="AC232" s="484"/>
      <c r="AD232" s="484">
        <v>-977.23</v>
      </c>
      <c r="AE232" s="526">
        <f t="shared" si="23"/>
        <v>0</v>
      </c>
      <c r="AF232" s="526">
        <f t="shared" si="24"/>
        <v>0</v>
      </c>
      <c r="AG232" s="527">
        <f t="shared" si="25"/>
        <v>0</v>
      </c>
      <c r="AH232" s="527">
        <f t="shared" si="26"/>
        <v>0</v>
      </c>
      <c r="AI232" s="490">
        <v>3924</v>
      </c>
      <c r="AJ232" s="489">
        <f t="shared" si="27"/>
        <v>0</v>
      </c>
      <c r="AK232" s="490"/>
      <c r="AL232" s="490"/>
      <c r="AM232" s="490"/>
      <c r="AN232" s="490"/>
    </row>
    <row r="233" spans="1:40" x14ac:dyDescent="0.25">
      <c r="A233" s="332">
        <v>5765</v>
      </c>
      <c r="B233" s="459" t="s">
        <v>330</v>
      </c>
      <c r="C233" s="382">
        <v>656390.6</v>
      </c>
      <c r="D233" s="382">
        <v>85574.49</v>
      </c>
      <c r="E233" s="380"/>
      <c r="F233" s="518"/>
      <c r="G233" s="382">
        <v>19373.099999999999</v>
      </c>
      <c r="H233" s="382">
        <v>859.7</v>
      </c>
      <c r="I233" s="382"/>
      <c r="J233" s="382">
        <v>9790.44</v>
      </c>
      <c r="K233" s="382"/>
      <c r="L233" s="382">
        <v>32613.9</v>
      </c>
      <c r="M233" s="325">
        <f t="shared" si="21"/>
        <v>804602.22999999986</v>
      </c>
      <c r="N233" s="386">
        <v>51234.400000000001</v>
      </c>
      <c r="O233" s="386">
        <v>1782</v>
      </c>
      <c r="P233" s="386">
        <v>42886.1</v>
      </c>
      <c r="Q233" s="386">
        <v>25491.74</v>
      </c>
      <c r="R233" s="386">
        <v>24421.15</v>
      </c>
      <c r="S233" s="371">
        <v>2291.61</v>
      </c>
      <c r="T233" s="439">
        <f t="shared" si="22"/>
        <v>952709.22999999986</v>
      </c>
      <c r="U233" s="387">
        <v>81</v>
      </c>
      <c r="V233" s="390">
        <f>VLOOKUP(B233,'[1]2021'!$C:$D,2,FALSE)</f>
        <v>492</v>
      </c>
      <c r="W233" s="436">
        <v>-32350.36</v>
      </c>
      <c r="X233" s="442"/>
      <c r="Y233" s="442">
        <v>-11.32</v>
      </c>
      <c r="Z233" s="447">
        <v>0.5</v>
      </c>
      <c r="AA233" s="484">
        <v>952709.23</v>
      </c>
      <c r="AB233" s="484">
        <v>-32350.36</v>
      </c>
      <c r="AC233" s="484"/>
      <c r="AD233" s="484">
        <v>-11.32</v>
      </c>
      <c r="AE233" s="526">
        <f t="shared" si="23"/>
        <v>0</v>
      </c>
      <c r="AF233" s="526">
        <f t="shared" si="24"/>
        <v>0</v>
      </c>
      <c r="AG233" s="527">
        <f t="shared" si="25"/>
        <v>0</v>
      </c>
      <c r="AH233" s="527">
        <f t="shared" si="26"/>
        <v>0</v>
      </c>
      <c r="AI233" s="490">
        <v>492</v>
      </c>
      <c r="AJ233" s="489">
        <f t="shared" si="27"/>
        <v>0</v>
      </c>
      <c r="AK233" s="490"/>
      <c r="AL233" s="490"/>
      <c r="AM233" s="490"/>
      <c r="AN233" s="490"/>
    </row>
    <row r="234" spans="1:40" x14ac:dyDescent="0.25">
      <c r="A234" s="332">
        <v>5766</v>
      </c>
      <c r="B234" s="459" t="s">
        <v>331</v>
      </c>
      <c r="C234" s="382">
        <v>915656.6</v>
      </c>
      <c r="D234" s="382">
        <v>130551.57</v>
      </c>
      <c r="E234" s="380"/>
      <c r="F234" s="518">
        <v>3770</v>
      </c>
      <c r="G234" s="382">
        <v>6922.1</v>
      </c>
      <c r="H234" s="382">
        <v>612.6</v>
      </c>
      <c r="I234" s="382"/>
      <c r="J234" s="382">
        <v>33734.78</v>
      </c>
      <c r="K234" s="382">
        <v>-3890.85</v>
      </c>
      <c r="L234" s="382">
        <v>59491</v>
      </c>
      <c r="M234" s="325">
        <f t="shared" si="21"/>
        <v>1146847.8</v>
      </c>
      <c r="N234" s="386">
        <v>29394.75</v>
      </c>
      <c r="O234" s="386"/>
      <c r="P234" s="386">
        <v>28165.7</v>
      </c>
      <c r="Q234" s="386">
        <v>638.48</v>
      </c>
      <c r="R234" s="386">
        <v>57992</v>
      </c>
      <c r="S234" s="371">
        <v>853.4</v>
      </c>
      <c r="T234" s="439">
        <f t="shared" si="22"/>
        <v>1263892.1299999999</v>
      </c>
      <c r="U234" s="387">
        <v>75</v>
      </c>
      <c r="V234" s="390">
        <f>VLOOKUP(B234,'[1]2021'!$C:$D,2,FALSE)</f>
        <v>591</v>
      </c>
      <c r="W234" s="436">
        <v>-7221.79</v>
      </c>
      <c r="X234" s="442"/>
      <c r="Y234" s="442">
        <v>-56.39</v>
      </c>
      <c r="Z234" s="447">
        <v>0.7</v>
      </c>
      <c r="AA234" s="484">
        <v>1263892.1299999999</v>
      </c>
      <c r="AB234" s="484">
        <v>-7221.79</v>
      </c>
      <c r="AC234" s="484"/>
      <c r="AD234" s="484">
        <v>-56.39</v>
      </c>
      <c r="AE234" s="526">
        <f t="shared" si="23"/>
        <v>0</v>
      </c>
      <c r="AF234" s="526">
        <f t="shared" si="24"/>
        <v>0</v>
      </c>
      <c r="AG234" s="527">
        <f t="shared" si="25"/>
        <v>0</v>
      </c>
      <c r="AH234" s="527">
        <f t="shared" si="26"/>
        <v>0</v>
      </c>
      <c r="AI234" s="490">
        <v>591</v>
      </c>
      <c r="AJ234" s="489">
        <f t="shared" si="27"/>
        <v>0</v>
      </c>
      <c r="AK234" s="490"/>
      <c r="AL234" s="490"/>
      <c r="AM234" s="490"/>
      <c r="AN234" s="490"/>
    </row>
    <row r="235" spans="1:40" x14ac:dyDescent="0.25">
      <c r="A235" s="332">
        <v>5785</v>
      </c>
      <c r="B235" s="459" t="s">
        <v>272</v>
      </c>
      <c r="C235" s="513">
        <f>852658.63-1832.25</f>
        <v>850826.38</v>
      </c>
      <c r="D235" s="382">
        <v>156949.79999999999</v>
      </c>
      <c r="E235" s="380"/>
      <c r="F235" s="518"/>
      <c r="G235" s="382">
        <v>19642.8</v>
      </c>
      <c r="H235" s="382">
        <v>605.25</v>
      </c>
      <c r="I235" s="382"/>
      <c r="J235" s="382">
        <v>30363.09</v>
      </c>
      <c r="K235" s="382">
        <v>1577.1</v>
      </c>
      <c r="L235" s="382">
        <v>75819.350000000006</v>
      </c>
      <c r="M235" s="325">
        <f t="shared" si="21"/>
        <v>1135783.7700000003</v>
      </c>
      <c r="N235" s="386"/>
      <c r="O235" s="386">
        <v>-2728.8</v>
      </c>
      <c r="P235" s="386">
        <v>39548.5</v>
      </c>
      <c r="Q235" s="386">
        <v>6050.33</v>
      </c>
      <c r="R235" s="386">
        <v>39085.1</v>
      </c>
      <c r="S235" s="371">
        <v>2293.34</v>
      </c>
      <c r="T235" s="439">
        <f t="shared" si="22"/>
        <v>1220032.2400000005</v>
      </c>
      <c r="U235" s="387">
        <v>77</v>
      </c>
      <c r="V235" s="390">
        <f>VLOOKUP(B235,'[1]2021'!$C:$D,2,FALSE)</f>
        <v>489</v>
      </c>
      <c r="W235" s="436">
        <v>-20850.54</v>
      </c>
      <c r="X235" s="442"/>
      <c r="Y235" s="442">
        <v>-621.45000000000005</v>
      </c>
      <c r="Z235" s="447">
        <v>1</v>
      </c>
      <c r="AA235" s="484">
        <v>1220032.24</v>
      </c>
      <c r="AB235" s="484">
        <v>-20850.54</v>
      </c>
      <c r="AC235" s="484"/>
      <c r="AD235" s="484">
        <v>-621.45000000000005</v>
      </c>
      <c r="AE235" s="526">
        <f t="shared" si="23"/>
        <v>0</v>
      </c>
      <c r="AF235" s="526">
        <f t="shared" si="24"/>
        <v>0</v>
      </c>
      <c r="AG235" s="527">
        <f t="shared" si="25"/>
        <v>0</v>
      </c>
      <c r="AH235" s="527">
        <f t="shared" si="26"/>
        <v>0</v>
      </c>
      <c r="AI235" s="490">
        <v>489</v>
      </c>
      <c r="AJ235" s="489">
        <f t="shared" si="27"/>
        <v>0</v>
      </c>
      <c r="AK235" s="490"/>
      <c r="AL235" s="490"/>
      <c r="AM235" s="490"/>
      <c r="AN235" s="490"/>
    </row>
    <row r="236" spans="1:40" x14ac:dyDescent="0.25">
      <c r="A236" s="332">
        <v>5788</v>
      </c>
      <c r="B236" s="459" t="s">
        <v>273</v>
      </c>
      <c r="C236" s="382">
        <v>715101.85</v>
      </c>
      <c r="D236" s="382">
        <v>121089.84</v>
      </c>
      <c r="E236" s="380"/>
      <c r="F236" s="518"/>
      <c r="G236" s="382">
        <v>5481.15</v>
      </c>
      <c r="H236" s="382">
        <v>378.05</v>
      </c>
      <c r="I236" s="382"/>
      <c r="J236" s="382">
        <v>25625.35</v>
      </c>
      <c r="K236" s="382">
        <v>4569</v>
      </c>
      <c r="L236" s="382">
        <v>118834.55</v>
      </c>
      <c r="M236" s="325">
        <f t="shared" si="21"/>
        <v>991079.79</v>
      </c>
      <c r="N236" s="386"/>
      <c r="O236" s="386"/>
      <c r="P236" s="386">
        <v>16995</v>
      </c>
      <c r="Q236" s="386"/>
      <c r="R236" s="386">
        <v>12172.1</v>
      </c>
      <c r="S236" s="371">
        <v>663.63</v>
      </c>
      <c r="T236" s="439">
        <f t="shared" si="22"/>
        <v>1020910.52</v>
      </c>
      <c r="U236" s="387">
        <v>71.5</v>
      </c>
      <c r="V236" s="390">
        <f>VLOOKUP(B236,'[1]2021'!$C:$D,2,FALSE)</f>
        <v>397</v>
      </c>
      <c r="W236" s="515">
        <v>-15837.16</v>
      </c>
      <c r="X236" s="442"/>
      <c r="Y236" s="442">
        <v>-120.35</v>
      </c>
      <c r="Z236" s="447">
        <v>1.25</v>
      </c>
      <c r="AA236" s="484">
        <v>1020910.52</v>
      </c>
      <c r="AB236" s="484">
        <v>-15837.16</v>
      </c>
      <c r="AC236" s="484"/>
      <c r="AD236" s="484">
        <v>-120.35</v>
      </c>
      <c r="AE236" s="526">
        <f t="shared" si="23"/>
        <v>0</v>
      </c>
      <c r="AF236" s="526">
        <f t="shared" si="24"/>
        <v>0</v>
      </c>
      <c r="AG236" s="527">
        <f t="shared" si="25"/>
        <v>0</v>
      </c>
      <c r="AH236" s="527">
        <f t="shared" si="26"/>
        <v>0</v>
      </c>
      <c r="AI236" s="490">
        <v>397</v>
      </c>
      <c r="AJ236" s="489">
        <f t="shared" si="27"/>
        <v>0</v>
      </c>
      <c r="AK236" s="490"/>
      <c r="AL236" s="490"/>
      <c r="AM236" s="490"/>
      <c r="AN236" s="490"/>
    </row>
    <row r="237" spans="1:40" x14ac:dyDescent="0.25">
      <c r="A237" s="332">
        <v>5790</v>
      </c>
      <c r="B237" s="459" t="s">
        <v>274</v>
      </c>
      <c r="C237" s="513">
        <v>909350.15</v>
      </c>
      <c r="D237" s="382">
        <v>100614.88</v>
      </c>
      <c r="E237" s="380"/>
      <c r="F237" s="518"/>
      <c r="G237" s="382">
        <v>7465.15</v>
      </c>
      <c r="H237" s="382">
        <v>481.15</v>
      </c>
      <c r="I237" s="382"/>
      <c r="J237" s="382">
        <v>13334.81</v>
      </c>
      <c r="K237" s="382">
        <v>3472</v>
      </c>
      <c r="L237" s="382">
        <v>97410.7</v>
      </c>
      <c r="M237" s="325">
        <f t="shared" si="21"/>
        <v>1132128.8400000001</v>
      </c>
      <c r="N237" s="386">
        <v>5741.85</v>
      </c>
      <c r="O237" s="386"/>
      <c r="P237" s="386">
        <v>62894.35</v>
      </c>
      <c r="Q237" s="386"/>
      <c r="R237" s="386"/>
      <c r="S237" s="371">
        <v>900.01</v>
      </c>
      <c r="T237" s="439">
        <f t="shared" si="22"/>
        <v>1201665.0500000003</v>
      </c>
      <c r="U237" s="387">
        <v>74.5</v>
      </c>
      <c r="V237" s="390">
        <f>VLOOKUP(B237,'[1]2021'!$C:$D,2,FALSE)</f>
        <v>547</v>
      </c>
      <c r="W237" s="436">
        <v>-2396.16</v>
      </c>
      <c r="X237" s="442"/>
      <c r="Y237" s="442">
        <v>-314.92</v>
      </c>
      <c r="Z237" s="447">
        <v>1</v>
      </c>
      <c r="AA237" s="484">
        <v>1201665.05</v>
      </c>
      <c r="AB237" s="484">
        <v>-2396.16</v>
      </c>
      <c r="AC237" s="484"/>
      <c r="AD237" s="484">
        <v>-314.92</v>
      </c>
      <c r="AE237" s="526">
        <f t="shared" si="23"/>
        <v>0</v>
      </c>
      <c r="AF237" s="526">
        <f t="shared" si="24"/>
        <v>0</v>
      </c>
      <c r="AG237" s="527">
        <f t="shared" si="25"/>
        <v>0</v>
      </c>
      <c r="AH237" s="527">
        <f t="shared" si="26"/>
        <v>0</v>
      </c>
      <c r="AI237" s="490">
        <v>547</v>
      </c>
      <c r="AJ237" s="489">
        <f t="shared" si="27"/>
        <v>0</v>
      </c>
      <c r="AK237" s="490"/>
      <c r="AL237" s="490"/>
      <c r="AM237" s="490"/>
      <c r="AN237" s="490"/>
    </row>
    <row r="238" spans="1:40" x14ac:dyDescent="0.25">
      <c r="A238" s="332">
        <v>5792</v>
      </c>
      <c r="B238" s="459" t="s">
        <v>275</v>
      </c>
      <c r="C238" s="382">
        <v>1257925.3899999999</v>
      </c>
      <c r="D238" s="382">
        <v>122461.3</v>
      </c>
      <c r="E238" s="380"/>
      <c r="F238" s="518"/>
      <c r="G238" s="382">
        <v>-12748</v>
      </c>
      <c r="H238" s="382">
        <v>1814.8</v>
      </c>
      <c r="I238" s="382"/>
      <c r="J238" s="382">
        <v>26336.82</v>
      </c>
      <c r="K238" s="382">
        <v>2131.5</v>
      </c>
      <c r="L238" s="382">
        <v>121223.4</v>
      </c>
      <c r="M238" s="325">
        <f t="shared" si="21"/>
        <v>1519145.21</v>
      </c>
      <c r="N238" s="386">
        <v>681.3</v>
      </c>
      <c r="O238" s="386">
        <v>8751.4</v>
      </c>
      <c r="P238" s="386">
        <v>94919.1</v>
      </c>
      <c r="Q238" s="386">
        <v>5083.87</v>
      </c>
      <c r="R238" s="386">
        <v>70944.45</v>
      </c>
      <c r="S238" s="371">
        <v>-1238.32</v>
      </c>
      <c r="T238" s="439">
        <f t="shared" si="22"/>
        <v>1698287.01</v>
      </c>
      <c r="U238" s="387">
        <v>75.5</v>
      </c>
      <c r="V238" s="390">
        <f>VLOOKUP(B238,'[1]2021'!$C:$D,2,FALSE)</f>
        <v>662</v>
      </c>
      <c r="W238" s="436">
        <v>-1933.93</v>
      </c>
      <c r="X238" s="442"/>
      <c r="Y238" s="442">
        <v>-46.19</v>
      </c>
      <c r="Z238" s="447">
        <v>1</v>
      </c>
      <c r="AA238" s="484">
        <v>1698287.01</v>
      </c>
      <c r="AB238" s="484">
        <v>-1933.93</v>
      </c>
      <c r="AC238" s="484"/>
      <c r="AD238" s="484">
        <v>-46.19</v>
      </c>
      <c r="AE238" s="526">
        <f t="shared" si="23"/>
        <v>0</v>
      </c>
      <c r="AF238" s="526">
        <f t="shared" si="24"/>
        <v>0</v>
      </c>
      <c r="AG238" s="527">
        <f t="shared" si="25"/>
        <v>0</v>
      </c>
      <c r="AH238" s="527">
        <f t="shared" si="26"/>
        <v>0</v>
      </c>
      <c r="AI238" s="490">
        <v>662</v>
      </c>
      <c r="AJ238" s="489">
        <f t="shared" si="27"/>
        <v>0</v>
      </c>
      <c r="AK238" s="490"/>
      <c r="AL238" s="490"/>
      <c r="AM238" s="490"/>
      <c r="AN238" s="490"/>
    </row>
    <row r="239" spans="1:40" x14ac:dyDescent="0.25">
      <c r="A239" s="332">
        <v>5798</v>
      </c>
      <c r="B239" s="459" t="s">
        <v>276</v>
      </c>
      <c r="C239" s="382">
        <v>1049617.8700000001</v>
      </c>
      <c r="D239" s="382">
        <v>114948.42</v>
      </c>
      <c r="E239" s="380"/>
      <c r="F239" s="518"/>
      <c r="G239" s="382">
        <v>50562.1</v>
      </c>
      <c r="H239" s="382">
        <v>2223.6</v>
      </c>
      <c r="I239" s="382"/>
      <c r="J239" s="382">
        <v>40765.65</v>
      </c>
      <c r="K239" s="382">
        <v>10881.05</v>
      </c>
      <c r="L239" s="382">
        <v>88918.1</v>
      </c>
      <c r="M239" s="325">
        <f t="shared" si="21"/>
        <v>1357916.7900000003</v>
      </c>
      <c r="N239" s="386">
        <v>19232.099999999999</v>
      </c>
      <c r="O239" s="386"/>
      <c r="P239" s="386">
        <v>45540</v>
      </c>
      <c r="Q239" s="386">
        <v>3820.21</v>
      </c>
      <c r="R239" s="386">
        <v>80957</v>
      </c>
      <c r="S239" s="371">
        <v>5978.62</v>
      </c>
      <c r="T239" s="439">
        <f t="shared" si="22"/>
        <v>1513444.7200000004</v>
      </c>
      <c r="U239" s="387">
        <v>77.5</v>
      </c>
      <c r="V239" s="390">
        <f>VLOOKUP(B239,'[1]2021'!$C:$D,2,FALSE)</f>
        <v>534</v>
      </c>
      <c r="W239" s="436">
        <v>-15733.32</v>
      </c>
      <c r="X239" s="442"/>
      <c r="Y239" s="442">
        <v>-9.9</v>
      </c>
      <c r="Z239" s="447">
        <v>1</v>
      </c>
      <c r="AA239" s="484">
        <v>1513444.72</v>
      </c>
      <c r="AB239" s="484">
        <v>-15733.32</v>
      </c>
      <c r="AC239" s="484"/>
      <c r="AD239" s="484">
        <v>-9.9</v>
      </c>
      <c r="AE239" s="526">
        <f t="shared" si="23"/>
        <v>0</v>
      </c>
      <c r="AF239" s="526">
        <f t="shared" si="24"/>
        <v>0</v>
      </c>
      <c r="AG239" s="527">
        <f t="shared" si="25"/>
        <v>0</v>
      </c>
      <c r="AH239" s="527">
        <f t="shared" si="26"/>
        <v>0</v>
      </c>
      <c r="AI239" s="490">
        <v>534</v>
      </c>
      <c r="AJ239" s="489">
        <f t="shared" si="27"/>
        <v>0</v>
      </c>
      <c r="AK239" s="490"/>
      <c r="AL239" s="490"/>
      <c r="AM239" s="490"/>
      <c r="AN239" s="490"/>
    </row>
    <row r="240" spans="1:40" x14ac:dyDescent="0.25">
      <c r="A240" s="332">
        <v>5799</v>
      </c>
      <c r="B240" s="459" t="s">
        <v>277</v>
      </c>
      <c r="C240" s="513">
        <v>3879902.98</v>
      </c>
      <c r="D240" s="382">
        <v>569883.13</v>
      </c>
      <c r="E240" s="380"/>
      <c r="F240" s="518"/>
      <c r="G240" s="382">
        <v>46805.75</v>
      </c>
      <c r="H240" s="382">
        <v>2023.3</v>
      </c>
      <c r="I240" s="382"/>
      <c r="J240" s="382">
        <v>42510.8</v>
      </c>
      <c r="K240" s="382">
        <v>20358.650000000001</v>
      </c>
      <c r="L240" s="382">
        <v>416840.95</v>
      </c>
      <c r="M240" s="325">
        <f t="shared" si="21"/>
        <v>4978325.5600000005</v>
      </c>
      <c r="N240" s="386">
        <v>33537.599999999999</v>
      </c>
      <c r="O240" s="386">
        <v>55082.6</v>
      </c>
      <c r="P240" s="386">
        <v>185338.5</v>
      </c>
      <c r="Q240" s="386">
        <v>350.73</v>
      </c>
      <c r="R240" s="386">
        <v>237738.1</v>
      </c>
      <c r="S240" s="371">
        <v>5530.48</v>
      </c>
      <c r="T240" s="439">
        <f t="shared" si="22"/>
        <v>5495903.5700000003</v>
      </c>
      <c r="U240" s="387">
        <v>69</v>
      </c>
      <c r="V240" s="390">
        <f>VLOOKUP(B240,'[1]2021'!$C:$D,2,FALSE)</f>
        <v>2107</v>
      </c>
      <c r="W240" s="436">
        <v>-33285.89</v>
      </c>
      <c r="X240" s="442"/>
      <c r="Y240" s="442">
        <v>-566.70000000000005</v>
      </c>
      <c r="Z240" s="447">
        <v>1</v>
      </c>
      <c r="AA240" s="484">
        <v>5495903.5700000003</v>
      </c>
      <c r="AB240" s="484">
        <v>-33285.89</v>
      </c>
      <c r="AC240" s="484"/>
      <c r="AD240" s="484">
        <v>-566.70000000000005</v>
      </c>
      <c r="AE240" s="526">
        <f t="shared" si="23"/>
        <v>0</v>
      </c>
      <c r="AF240" s="526">
        <f t="shared" si="24"/>
        <v>0</v>
      </c>
      <c r="AG240" s="527">
        <f t="shared" si="25"/>
        <v>0</v>
      </c>
      <c r="AH240" s="527">
        <f t="shared" si="26"/>
        <v>0</v>
      </c>
      <c r="AI240" s="490">
        <v>2107</v>
      </c>
      <c r="AJ240" s="489">
        <f t="shared" si="27"/>
        <v>0</v>
      </c>
      <c r="AK240" s="490"/>
      <c r="AL240" s="490"/>
      <c r="AM240" s="490"/>
      <c r="AN240" s="490"/>
    </row>
    <row r="241" spans="1:40" x14ac:dyDescent="0.25">
      <c r="A241" s="332">
        <v>5803</v>
      </c>
      <c r="B241" s="459" t="s">
        <v>374</v>
      </c>
      <c r="C241" s="382">
        <v>1098597.54</v>
      </c>
      <c r="D241" s="382">
        <v>167197.06</v>
      </c>
      <c r="E241" s="380"/>
      <c r="F241" s="518"/>
      <c r="G241" s="382">
        <v>2876.7</v>
      </c>
      <c r="H241" s="382">
        <v>368.1</v>
      </c>
      <c r="I241" s="382"/>
      <c r="J241" s="382">
        <v>22871.35</v>
      </c>
      <c r="K241" s="382"/>
      <c r="L241" s="382">
        <v>103408.85</v>
      </c>
      <c r="M241" s="325">
        <f t="shared" si="21"/>
        <v>1395319.6000000003</v>
      </c>
      <c r="N241" s="386">
        <v>898.7</v>
      </c>
      <c r="O241" s="386">
        <v>-3273.2</v>
      </c>
      <c r="P241" s="386">
        <v>71500</v>
      </c>
      <c r="Q241" s="386">
        <v>29.96</v>
      </c>
      <c r="R241" s="386">
        <v>39305.199999999997</v>
      </c>
      <c r="S241" s="371">
        <v>367.51</v>
      </c>
      <c r="T241" s="439">
        <f t="shared" si="22"/>
        <v>1504147.7700000003</v>
      </c>
      <c r="U241" s="387">
        <v>76</v>
      </c>
      <c r="V241" s="390">
        <f>VLOOKUP(B241,'[1]2021'!$C:$D,2,FALSE)</f>
        <v>631</v>
      </c>
      <c r="W241" s="436">
        <v>-27436.33</v>
      </c>
      <c r="X241" s="442"/>
      <c r="Y241" s="442">
        <v>-570.45000000000005</v>
      </c>
      <c r="Z241" s="447">
        <v>1</v>
      </c>
      <c r="AA241" s="484">
        <v>1504147.77</v>
      </c>
      <c r="AB241" s="484">
        <v>-27436.33</v>
      </c>
      <c r="AC241" s="484">
        <v>0</v>
      </c>
      <c r="AD241" s="484">
        <v>-570.45000000000005</v>
      </c>
      <c r="AE241" s="526">
        <f t="shared" si="23"/>
        <v>0</v>
      </c>
      <c r="AF241" s="526">
        <f t="shared" si="24"/>
        <v>0</v>
      </c>
      <c r="AG241" s="527">
        <f t="shared" si="25"/>
        <v>0</v>
      </c>
      <c r="AH241" s="527">
        <f t="shared" si="26"/>
        <v>0</v>
      </c>
      <c r="AI241" s="490">
        <v>631</v>
      </c>
      <c r="AJ241" s="489">
        <f t="shared" si="27"/>
        <v>0</v>
      </c>
      <c r="AK241" s="490"/>
      <c r="AL241" s="490"/>
      <c r="AM241" s="490"/>
      <c r="AN241" s="490"/>
    </row>
    <row r="242" spans="1:40" x14ac:dyDescent="0.25">
      <c r="A242" s="332">
        <v>5804</v>
      </c>
      <c r="B242" s="459" t="s">
        <v>418</v>
      </c>
      <c r="C242" s="382">
        <v>2633702.9500000002</v>
      </c>
      <c r="D242" s="382">
        <v>400236.97</v>
      </c>
      <c r="E242" s="380"/>
      <c r="F242" s="518"/>
      <c r="G242" s="382">
        <v>26017.7</v>
      </c>
      <c r="H242" s="382">
        <v>1652.15</v>
      </c>
      <c r="I242" s="382"/>
      <c r="J242" s="382">
        <v>54059.41</v>
      </c>
      <c r="K242" s="382">
        <v>3278.5</v>
      </c>
      <c r="L242" s="382">
        <v>274777.40000000002</v>
      </c>
      <c r="M242" s="325">
        <f t="shared" si="21"/>
        <v>3393725.08</v>
      </c>
      <c r="N242" s="386">
        <v>15774.9</v>
      </c>
      <c r="O242" s="386">
        <v>40418.400000000001</v>
      </c>
      <c r="P242" s="386">
        <v>79980</v>
      </c>
      <c r="Q242" s="386">
        <v>6872.94</v>
      </c>
      <c r="R242" s="386">
        <v>41713.65</v>
      </c>
      <c r="S242" s="371">
        <v>3133.95</v>
      </c>
      <c r="T242" s="439">
        <f t="shared" si="22"/>
        <v>3581618.92</v>
      </c>
      <c r="U242" s="387">
        <v>70.5</v>
      </c>
      <c r="V242" s="390">
        <f>VLOOKUP(B242,'[1]2021'!$C:$D,2,FALSE)</f>
        <v>1603</v>
      </c>
      <c r="W242" s="436">
        <v>-99710.62</v>
      </c>
      <c r="X242" s="442"/>
      <c r="Y242" s="442">
        <v>-784.42</v>
      </c>
      <c r="Z242" s="447">
        <v>1</v>
      </c>
      <c r="AA242" s="484">
        <v>3581618.92</v>
      </c>
      <c r="AB242" s="484">
        <v>-99710.62</v>
      </c>
      <c r="AC242" s="484"/>
      <c r="AD242" s="484">
        <v>-784.42</v>
      </c>
      <c r="AE242" s="526">
        <f t="shared" si="23"/>
        <v>0</v>
      </c>
      <c r="AF242" s="526">
        <f t="shared" si="24"/>
        <v>0</v>
      </c>
      <c r="AG242" s="527">
        <f t="shared" si="25"/>
        <v>0</v>
      </c>
      <c r="AH242" s="527">
        <f t="shared" si="26"/>
        <v>0</v>
      </c>
      <c r="AI242" s="490">
        <v>1603</v>
      </c>
      <c r="AJ242" s="489">
        <f t="shared" si="27"/>
        <v>0</v>
      </c>
      <c r="AK242" s="490"/>
      <c r="AL242" s="490"/>
      <c r="AM242" s="490"/>
      <c r="AN242" s="490"/>
    </row>
    <row r="243" spans="1:40" x14ac:dyDescent="0.25">
      <c r="A243" s="332">
        <v>5805</v>
      </c>
      <c r="B243" s="459" t="s">
        <v>420</v>
      </c>
      <c r="C243" s="382">
        <v>8320868.4800000004</v>
      </c>
      <c r="D243" s="382">
        <v>1085448.57</v>
      </c>
      <c r="E243" s="380"/>
      <c r="F243" s="518"/>
      <c r="G243" s="382">
        <v>633145.9</v>
      </c>
      <c r="H243" s="382">
        <v>55774.75</v>
      </c>
      <c r="I243" s="382">
        <v>37768.199999999997</v>
      </c>
      <c r="J243" s="382">
        <v>171373.15</v>
      </c>
      <c r="K243" s="382">
        <v>82491.100000000006</v>
      </c>
      <c r="L243" s="382">
        <v>1051919.8999999999</v>
      </c>
      <c r="M243" s="325">
        <f t="shared" si="21"/>
        <v>11438790.050000001</v>
      </c>
      <c r="N243" s="386">
        <v>100890.6</v>
      </c>
      <c r="O243" s="386">
        <v>-81995.3</v>
      </c>
      <c r="P243" s="386">
        <v>412093.05</v>
      </c>
      <c r="Q243" s="386">
        <v>55475.61</v>
      </c>
      <c r="R243" s="386">
        <v>248779.65</v>
      </c>
      <c r="S243" s="371">
        <v>78028.62</v>
      </c>
      <c r="T243" s="439">
        <f t="shared" si="22"/>
        <v>12252062.279999999</v>
      </c>
      <c r="U243" s="387">
        <v>69</v>
      </c>
      <c r="V243" s="390">
        <f>VLOOKUP(B243,'[1]2021'!$C:$D,2,FALSE)</f>
        <v>5703</v>
      </c>
      <c r="W243" s="436">
        <v>-289366</v>
      </c>
      <c r="X243" s="442"/>
      <c r="Y243" s="442">
        <v>-1323.83</v>
      </c>
      <c r="Z243" s="447">
        <v>1.1000000000000001</v>
      </c>
      <c r="AA243" s="484">
        <v>12252062.279999999</v>
      </c>
      <c r="AB243" s="484">
        <v>-289366</v>
      </c>
      <c r="AC243" s="484"/>
      <c r="AD243" s="484">
        <v>-1323.83</v>
      </c>
      <c r="AE243" s="526">
        <f t="shared" si="23"/>
        <v>0</v>
      </c>
      <c r="AF243" s="526">
        <f t="shared" si="24"/>
        <v>0</v>
      </c>
      <c r="AG243" s="527">
        <f t="shared" si="25"/>
        <v>0</v>
      </c>
      <c r="AH243" s="527">
        <f t="shared" si="26"/>
        <v>0</v>
      </c>
      <c r="AI243" s="490">
        <v>5703</v>
      </c>
      <c r="AJ243" s="489">
        <f t="shared" si="27"/>
        <v>0</v>
      </c>
      <c r="AK243" s="490"/>
      <c r="AL243" s="490"/>
      <c r="AM243" s="490"/>
      <c r="AN243" s="490"/>
    </row>
    <row r="244" spans="1:40" x14ac:dyDescent="0.25">
      <c r="A244" s="332">
        <v>5806</v>
      </c>
      <c r="B244" s="459" t="s">
        <v>495</v>
      </c>
      <c r="C244" s="382">
        <v>5886434.3899999997</v>
      </c>
      <c r="D244" s="382">
        <v>689127.9</v>
      </c>
      <c r="E244" s="380"/>
      <c r="F244" s="518"/>
      <c r="G244" s="382">
        <v>172289.5</v>
      </c>
      <c r="H244" s="382">
        <v>6521.75</v>
      </c>
      <c r="I244" s="382">
        <v>53357.25</v>
      </c>
      <c r="J244" s="382">
        <v>79955.679999999993</v>
      </c>
      <c r="K244" s="382">
        <v>25070.35</v>
      </c>
      <c r="L244" s="382">
        <v>530879.35</v>
      </c>
      <c r="M244" s="325">
        <f t="shared" si="21"/>
        <v>7443636.169999999</v>
      </c>
      <c r="N244" s="386">
        <v>31196.15</v>
      </c>
      <c r="O244" s="386">
        <v>130916.2</v>
      </c>
      <c r="P244" s="386">
        <v>484897.95</v>
      </c>
      <c r="Q244" s="386">
        <v>22479.03</v>
      </c>
      <c r="R244" s="386">
        <v>355717.5</v>
      </c>
      <c r="S244" s="371">
        <v>20252.54</v>
      </c>
      <c r="T244" s="439">
        <f t="shared" si="22"/>
        <v>8489095.5399999991</v>
      </c>
      <c r="U244" s="387">
        <v>73</v>
      </c>
      <c r="V244" s="390">
        <f>VLOOKUP(B244,'[1]2021'!$C:$D,2,FALSE)</f>
        <v>3095</v>
      </c>
      <c r="W244" s="436">
        <v>-33808.839999999997</v>
      </c>
      <c r="X244" s="442"/>
      <c r="Y244" s="442">
        <v>-883.54</v>
      </c>
      <c r="Z244" s="447">
        <v>1</v>
      </c>
      <c r="AA244" s="484">
        <v>8489095.5399999991</v>
      </c>
      <c r="AB244" s="484">
        <v>-33808.839999999997</v>
      </c>
      <c r="AC244" s="484"/>
      <c r="AD244" s="484">
        <v>-883.54</v>
      </c>
      <c r="AE244" s="526">
        <f t="shared" si="23"/>
        <v>0</v>
      </c>
      <c r="AF244" s="526">
        <f t="shared" si="24"/>
        <v>0</v>
      </c>
      <c r="AG244" s="527">
        <f t="shared" si="25"/>
        <v>0</v>
      </c>
      <c r="AH244" s="527">
        <f t="shared" si="26"/>
        <v>0</v>
      </c>
      <c r="AI244" s="490">
        <v>3095</v>
      </c>
      <c r="AJ244" s="489">
        <f t="shared" si="27"/>
        <v>0</v>
      </c>
      <c r="AK244" s="490"/>
      <c r="AL244" s="490"/>
      <c r="AM244" s="490"/>
      <c r="AN244" s="490"/>
    </row>
    <row r="245" spans="1:40" x14ac:dyDescent="0.25">
      <c r="A245" s="332">
        <v>5812</v>
      </c>
      <c r="B245" s="459" t="s">
        <v>375</v>
      </c>
      <c r="C245" s="382">
        <v>221083.5</v>
      </c>
      <c r="D245" s="382">
        <v>23548.09</v>
      </c>
      <c r="E245" s="380"/>
      <c r="F245" s="518"/>
      <c r="G245" s="382">
        <v>-2112.35</v>
      </c>
      <c r="H245" s="382">
        <v>628.4</v>
      </c>
      <c r="I245" s="382"/>
      <c r="J245" s="382">
        <v>526.65</v>
      </c>
      <c r="K245" s="382">
        <v>894.75</v>
      </c>
      <c r="L245" s="382">
        <v>14994.2</v>
      </c>
      <c r="M245" s="325">
        <f t="shared" si="21"/>
        <v>259563.24</v>
      </c>
      <c r="N245" s="386"/>
      <c r="O245" s="386">
        <v>926.3</v>
      </c>
      <c r="P245" s="386">
        <v>12760</v>
      </c>
      <c r="Q245" s="386">
        <v>381.99</v>
      </c>
      <c r="R245" s="386">
        <v>525</v>
      </c>
      <c r="S245" s="371">
        <v>-168.08</v>
      </c>
      <c r="T245" s="439">
        <f t="shared" si="22"/>
        <v>273988.44999999995</v>
      </c>
      <c r="U245" s="387">
        <v>77</v>
      </c>
      <c r="V245" s="390">
        <f>VLOOKUP(B245,'[1]2021'!$C:$D,2,FALSE)</f>
        <v>169</v>
      </c>
      <c r="W245" s="436">
        <v>-5587.26</v>
      </c>
      <c r="X245" s="442"/>
      <c r="Y245" s="442">
        <v>-53.85</v>
      </c>
      <c r="Z245" s="447">
        <v>0.8</v>
      </c>
      <c r="AA245" s="484">
        <v>273988.45</v>
      </c>
      <c r="AB245" s="484">
        <v>-5587.26</v>
      </c>
      <c r="AC245" s="484"/>
      <c r="AD245" s="484">
        <v>-53.85</v>
      </c>
      <c r="AE245" s="526">
        <f t="shared" si="23"/>
        <v>0</v>
      </c>
      <c r="AF245" s="526">
        <f t="shared" si="24"/>
        <v>0</v>
      </c>
      <c r="AG245" s="527">
        <f t="shared" si="25"/>
        <v>0</v>
      </c>
      <c r="AH245" s="527">
        <f t="shared" si="26"/>
        <v>0</v>
      </c>
      <c r="AI245" s="490">
        <v>169</v>
      </c>
      <c r="AJ245" s="489">
        <f t="shared" si="27"/>
        <v>0</v>
      </c>
      <c r="AK245" s="490"/>
      <c r="AL245" s="490"/>
      <c r="AM245" s="490"/>
      <c r="AN245" s="490"/>
    </row>
    <row r="246" spans="1:40" x14ac:dyDescent="0.25">
      <c r="A246" s="332">
        <v>5813</v>
      </c>
      <c r="B246" s="459" t="s">
        <v>376</v>
      </c>
      <c r="C246" s="382">
        <v>821563.15</v>
      </c>
      <c r="D246" s="382">
        <v>103004.27</v>
      </c>
      <c r="E246" s="380"/>
      <c r="F246" s="518">
        <v>3210</v>
      </c>
      <c r="G246" s="382">
        <v>31643.200000000001</v>
      </c>
      <c r="H246" s="382">
        <v>585</v>
      </c>
      <c r="I246" s="382"/>
      <c r="J246" s="382">
        <v>16389.599999999999</v>
      </c>
      <c r="K246" s="382"/>
      <c r="L246" s="382">
        <v>114106.05</v>
      </c>
      <c r="M246" s="325">
        <f t="shared" si="21"/>
        <v>1090501.27</v>
      </c>
      <c r="N246" s="386"/>
      <c r="O246" s="386">
        <v>3090.9</v>
      </c>
      <c r="P246" s="386">
        <v>79172.3</v>
      </c>
      <c r="Q246" s="386">
        <v>147.9</v>
      </c>
      <c r="R246" s="386">
        <v>70066.399999999994</v>
      </c>
      <c r="S246" s="371">
        <v>3650.23</v>
      </c>
      <c r="T246" s="439">
        <f t="shared" si="22"/>
        <v>1246628.9999999998</v>
      </c>
      <c r="U246" s="387">
        <v>68.5</v>
      </c>
      <c r="V246" s="390">
        <f>VLOOKUP(B246,'[1]2021'!$C:$D,2,FALSE)</f>
        <v>506</v>
      </c>
      <c r="W246" s="436">
        <v>-28813.71</v>
      </c>
      <c r="X246" s="442"/>
      <c r="Y246" s="442">
        <v>0</v>
      </c>
      <c r="Z246" s="447">
        <v>1.2</v>
      </c>
      <c r="AA246" s="484">
        <v>1246629</v>
      </c>
      <c r="AB246" s="484">
        <v>-28813.71</v>
      </c>
      <c r="AC246" s="484"/>
      <c r="AD246" s="484">
        <v>0</v>
      </c>
      <c r="AE246" s="526">
        <f t="shared" si="23"/>
        <v>0</v>
      </c>
      <c r="AF246" s="526">
        <f t="shared" si="24"/>
        <v>0</v>
      </c>
      <c r="AG246" s="527">
        <f t="shared" si="25"/>
        <v>0</v>
      </c>
      <c r="AH246" s="527">
        <f t="shared" si="26"/>
        <v>0</v>
      </c>
      <c r="AI246" s="490">
        <v>506</v>
      </c>
      <c r="AJ246" s="489">
        <f t="shared" si="27"/>
        <v>0</v>
      </c>
      <c r="AK246" s="490"/>
      <c r="AL246" s="490"/>
      <c r="AM246" s="490"/>
      <c r="AN246" s="490"/>
    </row>
    <row r="247" spans="1:40" x14ac:dyDescent="0.25">
      <c r="A247" s="332">
        <v>5816</v>
      </c>
      <c r="B247" s="459" t="s">
        <v>6</v>
      </c>
      <c r="C247" s="382">
        <v>3392362.82</v>
      </c>
      <c r="D247" s="382">
        <v>363823.59</v>
      </c>
      <c r="E247" s="380"/>
      <c r="F247" s="518"/>
      <c r="G247" s="382">
        <v>173750</v>
      </c>
      <c r="H247" s="382">
        <v>32729.7</v>
      </c>
      <c r="I247" s="382"/>
      <c r="J247" s="382">
        <v>169156.29</v>
      </c>
      <c r="K247" s="382">
        <v>27650.1</v>
      </c>
      <c r="L247" s="382">
        <v>270763.8</v>
      </c>
      <c r="M247" s="325">
        <f t="shared" si="21"/>
        <v>4430236.3</v>
      </c>
      <c r="N247" s="386">
        <v>25265.5</v>
      </c>
      <c r="O247" s="386">
        <v>1269.9000000000001</v>
      </c>
      <c r="P247" s="386">
        <v>157913.5</v>
      </c>
      <c r="Q247" s="386">
        <v>52136.26</v>
      </c>
      <c r="R247" s="386">
        <v>96820.05</v>
      </c>
      <c r="S247" s="371">
        <v>23386.33</v>
      </c>
      <c r="T247" s="439">
        <f t="shared" si="22"/>
        <v>4787027.84</v>
      </c>
      <c r="U247" s="387">
        <v>68.5</v>
      </c>
      <c r="V247" s="390">
        <f>VLOOKUP(B247,'[1]2021'!$C:$D,2,FALSE)</f>
        <v>2722</v>
      </c>
      <c r="W247" s="436">
        <v>-124649.64</v>
      </c>
      <c r="X247" s="442"/>
      <c r="Y247" s="442">
        <v>-39.9</v>
      </c>
      <c r="Z247" s="447">
        <v>0.7</v>
      </c>
      <c r="AA247" s="484">
        <v>4787027.84</v>
      </c>
      <c r="AB247" s="484">
        <v>-124649.64</v>
      </c>
      <c r="AC247" s="484"/>
      <c r="AD247" s="484">
        <v>-39.9</v>
      </c>
      <c r="AE247" s="526">
        <f t="shared" si="23"/>
        <v>0</v>
      </c>
      <c r="AF247" s="526">
        <f t="shared" si="24"/>
        <v>0</v>
      </c>
      <c r="AG247" s="527">
        <f t="shared" si="25"/>
        <v>0</v>
      </c>
      <c r="AH247" s="527">
        <f t="shared" si="26"/>
        <v>0</v>
      </c>
      <c r="AI247" s="490">
        <v>2722</v>
      </c>
      <c r="AJ247" s="489">
        <f t="shared" si="27"/>
        <v>0</v>
      </c>
      <c r="AK247" s="490"/>
      <c r="AL247" s="490"/>
      <c r="AM247" s="490"/>
      <c r="AN247" s="490"/>
    </row>
    <row r="248" spans="1:40" x14ac:dyDescent="0.25">
      <c r="A248" s="332">
        <v>5817</v>
      </c>
      <c r="B248" s="459" t="s">
        <v>7</v>
      </c>
      <c r="C248" s="382">
        <v>1480896.57</v>
      </c>
      <c r="D248" s="382">
        <v>152734.93</v>
      </c>
      <c r="E248" s="380"/>
      <c r="F248" s="518">
        <v>5910</v>
      </c>
      <c r="G248" s="382">
        <v>32065.35</v>
      </c>
      <c r="H248" s="382">
        <v>1897.5</v>
      </c>
      <c r="I248" s="382"/>
      <c r="J248" s="382">
        <v>34806.870000000003</v>
      </c>
      <c r="K248" s="382">
        <v>4344.6499999999996</v>
      </c>
      <c r="L248" s="382">
        <v>129917.15</v>
      </c>
      <c r="M248" s="325">
        <f t="shared" si="21"/>
        <v>1842573.02</v>
      </c>
      <c r="N248" s="386">
        <v>7672.05</v>
      </c>
      <c r="O248" s="386"/>
      <c r="P248" s="386">
        <v>30975.95</v>
      </c>
      <c r="Q248" s="386"/>
      <c r="R248" s="386">
        <v>10179.85</v>
      </c>
      <c r="S248" s="371">
        <v>3846.7</v>
      </c>
      <c r="T248" s="439">
        <f t="shared" si="22"/>
        <v>1895247.57</v>
      </c>
      <c r="U248" s="387">
        <v>73.5</v>
      </c>
      <c r="V248" s="390">
        <f>VLOOKUP(B248,'[1]2021'!$C:$D,2,FALSE)</f>
        <v>987</v>
      </c>
      <c r="W248" s="436">
        <v>-36557.29</v>
      </c>
      <c r="X248" s="442"/>
      <c r="Y248" s="442">
        <v>-64.3</v>
      </c>
      <c r="Z248" s="447">
        <v>1</v>
      </c>
      <c r="AA248" s="484">
        <v>1895247.57</v>
      </c>
      <c r="AB248" s="484">
        <v>-36557.29</v>
      </c>
      <c r="AC248" s="484"/>
      <c r="AD248" s="484">
        <v>-64.3</v>
      </c>
      <c r="AE248" s="526">
        <f t="shared" si="23"/>
        <v>0</v>
      </c>
      <c r="AF248" s="526">
        <f t="shared" si="24"/>
        <v>0</v>
      </c>
      <c r="AG248" s="527">
        <f t="shared" si="25"/>
        <v>0</v>
      </c>
      <c r="AH248" s="527">
        <f t="shared" si="26"/>
        <v>0</v>
      </c>
      <c r="AI248" s="490">
        <v>987</v>
      </c>
      <c r="AJ248" s="489">
        <f t="shared" si="27"/>
        <v>0</v>
      </c>
      <c r="AK248" s="490"/>
      <c r="AL248" s="490"/>
      <c r="AM248" s="490"/>
      <c r="AN248" s="490"/>
    </row>
    <row r="249" spans="1:40" x14ac:dyDescent="0.25">
      <c r="A249" s="332">
        <v>5819</v>
      </c>
      <c r="B249" s="459" t="s">
        <v>8</v>
      </c>
      <c r="C249" s="382">
        <v>532187.02</v>
      </c>
      <c r="D249" s="382">
        <v>141364.38</v>
      </c>
      <c r="E249" s="380"/>
      <c r="F249" s="518"/>
      <c r="G249" s="382">
        <v>-29769.599999999999</v>
      </c>
      <c r="H249" s="382">
        <v>6808.6</v>
      </c>
      <c r="I249" s="382"/>
      <c r="J249" s="382">
        <v>21624.85</v>
      </c>
      <c r="K249" s="382">
        <v>1744.95</v>
      </c>
      <c r="L249" s="382">
        <v>93055.25</v>
      </c>
      <c r="M249" s="325">
        <f t="shared" si="21"/>
        <v>767015.45</v>
      </c>
      <c r="N249" s="386">
        <v>5222.3500000000004</v>
      </c>
      <c r="O249" s="386"/>
      <c r="P249" s="386">
        <v>44013.45</v>
      </c>
      <c r="Q249" s="386">
        <v>-733.37</v>
      </c>
      <c r="R249" s="386">
        <v>19216.5</v>
      </c>
      <c r="S249" s="371">
        <v>-2600.61</v>
      </c>
      <c r="T249" s="439">
        <f t="shared" si="22"/>
        <v>832133.7699999999</v>
      </c>
      <c r="U249" s="387">
        <v>69</v>
      </c>
      <c r="V249" s="390">
        <f>VLOOKUP(B249,'[1]2021'!$C:$D,2,FALSE)</f>
        <v>407</v>
      </c>
      <c r="W249" s="436">
        <v>-43903.92</v>
      </c>
      <c r="X249" s="442"/>
      <c r="Y249" s="442">
        <v>-24695.9</v>
      </c>
      <c r="Z249" s="447">
        <v>1</v>
      </c>
      <c r="AA249" s="484">
        <v>832133.77</v>
      </c>
      <c r="AB249" s="484">
        <v>-43903.92</v>
      </c>
      <c r="AC249" s="484"/>
      <c r="AD249" s="484">
        <v>-24695.9</v>
      </c>
      <c r="AE249" s="526">
        <f t="shared" si="23"/>
        <v>0</v>
      </c>
      <c r="AF249" s="526">
        <f t="shared" si="24"/>
        <v>0</v>
      </c>
      <c r="AG249" s="527">
        <f t="shared" si="25"/>
        <v>0</v>
      </c>
      <c r="AH249" s="527">
        <f t="shared" si="26"/>
        <v>0</v>
      </c>
      <c r="AI249" s="490">
        <v>407</v>
      </c>
      <c r="AJ249" s="489">
        <f t="shared" si="27"/>
        <v>0</v>
      </c>
      <c r="AK249" s="490"/>
      <c r="AL249" s="490"/>
      <c r="AM249" s="490"/>
      <c r="AN249" s="490"/>
    </row>
    <row r="250" spans="1:40" x14ac:dyDescent="0.25">
      <c r="A250" s="332">
        <v>5821</v>
      </c>
      <c r="B250" s="459" t="s">
        <v>9</v>
      </c>
      <c r="C250" s="382">
        <v>440903.67</v>
      </c>
      <c r="D250" s="382">
        <v>67536.23</v>
      </c>
      <c r="E250" s="380"/>
      <c r="F250" s="518">
        <v>2230</v>
      </c>
      <c r="G250" s="382">
        <v>5654.7</v>
      </c>
      <c r="H250" s="382">
        <v>361.6</v>
      </c>
      <c r="I250" s="382"/>
      <c r="J250" s="382">
        <v>21347.9</v>
      </c>
      <c r="K250" s="382">
        <v>1305</v>
      </c>
      <c r="L250" s="382">
        <v>52743.7</v>
      </c>
      <c r="M250" s="325">
        <f t="shared" si="21"/>
        <v>592082.79999999993</v>
      </c>
      <c r="N250" s="386"/>
      <c r="O250" s="386"/>
      <c r="P250" s="386">
        <v>8421.75</v>
      </c>
      <c r="Q250" s="386">
        <v>514.79999999999995</v>
      </c>
      <c r="R250" s="386">
        <v>16164</v>
      </c>
      <c r="S250" s="371">
        <v>681.42</v>
      </c>
      <c r="T250" s="439">
        <f t="shared" si="22"/>
        <v>617864.77</v>
      </c>
      <c r="U250" s="387">
        <v>72</v>
      </c>
      <c r="V250" s="390">
        <f>VLOOKUP(B250,'[1]2021'!$C:$D,2,FALSE)</f>
        <v>366</v>
      </c>
      <c r="W250" s="436">
        <v>-14061.66</v>
      </c>
      <c r="X250" s="442"/>
      <c r="Y250" s="442">
        <v>0</v>
      </c>
      <c r="Z250" s="447">
        <v>1</v>
      </c>
      <c r="AA250" s="484">
        <v>617864.77</v>
      </c>
      <c r="AB250" s="484">
        <v>-14061.66</v>
      </c>
      <c r="AC250" s="484"/>
      <c r="AD250" s="484">
        <v>0</v>
      </c>
      <c r="AE250" s="526">
        <f t="shared" si="23"/>
        <v>0</v>
      </c>
      <c r="AF250" s="526">
        <f t="shared" si="24"/>
        <v>0</v>
      </c>
      <c r="AG250" s="527">
        <f t="shared" si="25"/>
        <v>0</v>
      </c>
      <c r="AH250" s="527">
        <f t="shared" si="26"/>
        <v>0</v>
      </c>
      <c r="AI250" s="490">
        <v>366</v>
      </c>
      <c r="AJ250" s="489">
        <f t="shared" si="27"/>
        <v>0</v>
      </c>
      <c r="AK250" s="490"/>
      <c r="AL250" s="490"/>
      <c r="AM250" s="490"/>
      <c r="AN250" s="490"/>
    </row>
    <row r="251" spans="1:40" x14ac:dyDescent="0.25">
      <c r="A251" s="332">
        <v>5822</v>
      </c>
      <c r="B251" s="459" t="s">
        <v>10</v>
      </c>
      <c r="C251" s="382">
        <v>12829493.210000001</v>
      </c>
      <c r="D251" s="382">
        <v>1491509.8</v>
      </c>
      <c r="E251" s="380"/>
      <c r="F251" s="518"/>
      <c r="G251" s="382">
        <v>894146.35</v>
      </c>
      <c r="H251" s="382">
        <v>124496.95</v>
      </c>
      <c r="I251" s="382"/>
      <c r="J251" s="382">
        <v>684056.64</v>
      </c>
      <c r="K251" s="382">
        <v>209805.9</v>
      </c>
      <c r="L251" s="382">
        <v>1531986.75</v>
      </c>
      <c r="M251" s="325">
        <f t="shared" si="21"/>
        <v>17765495.600000001</v>
      </c>
      <c r="N251" s="386">
        <v>26658.9</v>
      </c>
      <c r="O251" s="386">
        <v>487838.2</v>
      </c>
      <c r="P251" s="386">
        <v>1137375.1000000001</v>
      </c>
      <c r="Q251" s="386">
        <v>169489.4</v>
      </c>
      <c r="R251" s="386">
        <v>639524.65</v>
      </c>
      <c r="S251" s="371">
        <v>115373.7</v>
      </c>
      <c r="T251" s="439">
        <f t="shared" si="22"/>
        <v>20341755.549999997</v>
      </c>
      <c r="U251" s="387">
        <v>73</v>
      </c>
      <c r="V251" s="390">
        <f>VLOOKUP(B251,'[1]2021'!$C:$D,2,FALSE)</f>
        <v>10258</v>
      </c>
      <c r="W251" s="515">
        <v>-528323.68999999994</v>
      </c>
      <c r="X251" s="442"/>
      <c r="Y251" s="442">
        <v>-3170.58</v>
      </c>
      <c r="Z251" s="447">
        <v>1</v>
      </c>
      <c r="AA251" s="484">
        <v>20341755.550000001</v>
      </c>
      <c r="AB251" s="484">
        <v>-528323.68999999994</v>
      </c>
      <c r="AC251" s="484"/>
      <c r="AD251" s="484">
        <v>-3170.58</v>
      </c>
      <c r="AE251" s="526">
        <f t="shared" si="23"/>
        <v>0</v>
      </c>
      <c r="AF251" s="526">
        <f t="shared" si="24"/>
        <v>0</v>
      </c>
      <c r="AG251" s="527">
        <f t="shared" si="25"/>
        <v>0</v>
      </c>
      <c r="AH251" s="527">
        <f t="shared" si="26"/>
        <v>0</v>
      </c>
      <c r="AI251" s="490">
        <v>10258</v>
      </c>
      <c r="AJ251" s="489">
        <f t="shared" si="27"/>
        <v>0</v>
      </c>
      <c r="AK251" s="490"/>
      <c r="AL251" s="490"/>
      <c r="AM251" s="490"/>
      <c r="AN251" s="490"/>
    </row>
    <row r="252" spans="1:40" x14ac:dyDescent="0.25">
      <c r="A252" s="332">
        <v>5827</v>
      </c>
      <c r="B252" s="459" t="s">
        <v>11</v>
      </c>
      <c r="C252" s="382">
        <v>476185.3</v>
      </c>
      <c r="D252" s="382">
        <v>50197.19</v>
      </c>
      <c r="E252" s="380"/>
      <c r="F252" s="530">
        <v>1600</v>
      </c>
      <c r="G252" s="382">
        <v>5849.15</v>
      </c>
      <c r="H252" s="382">
        <v>1630.5</v>
      </c>
      <c r="I252" s="382"/>
      <c r="J252" s="382">
        <v>19238.439999999999</v>
      </c>
      <c r="K252" s="382">
        <v>1796.35</v>
      </c>
      <c r="L252" s="382">
        <v>41462.35</v>
      </c>
      <c r="M252" s="325">
        <f t="shared" si="21"/>
        <v>597959.27999999991</v>
      </c>
      <c r="N252" s="386"/>
      <c r="O252" s="386"/>
      <c r="P252" s="386">
        <v>109292.4</v>
      </c>
      <c r="Q252" s="386">
        <v>18140.900000000001</v>
      </c>
      <c r="R252" s="386">
        <v>6090.35</v>
      </c>
      <c r="S252" s="371">
        <v>847.16</v>
      </c>
      <c r="T252" s="439">
        <f t="shared" si="22"/>
        <v>732330.09</v>
      </c>
      <c r="U252" s="387">
        <v>78</v>
      </c>
      <c r="V252" s="390">
        <f>VLOOKUP(B252,'[1]2021'!$C:$D,2,FALSE)</f>
        <v>321</v>
      </c>
      <c r="W252" s="436">
        <v>-12646.72</v>
      </c>
      <c r="X252" s="442"/>
      <c r="Y252" s="442">
        <v>0</v>
      </c>
      <c r="Z252" s="447">
        <v>1</v>
      </c>
      <c r="AA252" s="484">
        <v>732330.09</v>
      </c>
      <c r="AB252" s="484">
        <v>-12646.72</v>
      </c>
      <c r="AC252" s="484"/>
      <c r="AD252" s="484">
        <v>0</v>
      </c>
      <c r="AE252" s="526">
        <f t="shared" si="23"/>
        <v>0</v>
      </c>
      <c r="AF252" s="526">
        <f t="shared" si="24"/>
        <v>0</v>
      </c>
      <c r="AG252" s="527">
        <f t="shared" si="25"/>
        <v>0</v>
      </c>
      <c r="AH252" s="527">
        <f t="shared" si="26"/>
        <v>0</v>
      </c>
      <c r="AI252" s="490">
        <v>321</v>
      </c>
      <c r="AJ252" s="489">
        <f t="shared" si="27"/>
        <v>0</v>
      </c>
      <c r="AK252" s="490"/>
      <c r="AL252" s="490"/>
      <c r="AM252" s="490"/>
      <c r="AN252" s="490"/>
    </row>
    <row r="253" spans="1:40" x14ac:dyDescent="0.25">
      <c r="A253" s="332">
        <v>5828</v>
      </c>
      <c r="B253" s="459" t="s">
        <v>491</v>
      </c>
      <c r="C253" s="382">
        <v>197929.51</v>
      </c>
      <c r="D253" s="382">
        <v>25262.55</v>
      </c>
      <c r="E253" s="380"/>
      <c r="F253" s="518"/>
      <c r="G253" s="382">
        <v>271.75</v>
      </c>
      <c r="H253" s="382">
        <v>-20.45</v>
      </c>
      <c r="I253" s="382"/>
      <c r="J253" s="382">
        <v>72.45</v>
      </c>
      <c r="K253" s="382"/>
      <c r="L253" s="382">
        <v>24795.55</v>
      </c>
      <c r="M253" s="325">
        <f t="shared" si="21"/>
        <v>248311.36</v>
      </c>
      <c r="N253" s="386"/>
      <c r="O253" s="386"/>
      <c r="P253" s="386">
        <v>9900</v>
      </c>
      <c r="Q253" s="386"/>
      <c r="R253" s="386">
        <v>3774.05</v>
      </c>
      <c r="S253" s="371">
        <v>28.46</v>
      </c>
      <c r="T253" s="439">
        <f t="shared" si="22"/>
        <v>262013.86999999997</v>
      </c>
      <c r="U253" s="387">
        <v>82.5</v>
      </c>
      <c r="V253" s="390">
        <v>110</v>
      </c>
      <c r="W253" s="436">
        <v>-888.96</v>
      </c>
      <c r="X253" s="442"/>
      <c r="Y253" s="442">
        <v>0</v>
      </c>
      <c r="Z253" s="447">
        <v>1.5</v>
      </c>
      <c r="AA253" s="484">
        <v>262013.87</v>
      </c>
      <c r="AB253" s="484">
        <v>-888.96</v>
      </c>
      <c r="AC253" s="484"/>
      <c r="AD253" s="484">
        <v>0</v>
      </c>
      <c r="AE253" s="526">
        <f t="shared" si="23"/>
        <v>0</v>
      </c>
      <c r="AF253" s="526">
        <f t="shared" si="24"/>
        <v>0</v>
      </c>
      <c r="AG253" s="527">
        <f t="shared" si="25"/>
        <v>0</v>
      </c>
      <c r="AH253" s="527">
        <f t="shared" si="26"/>
        <v>0</v>
      </c>
      <c r="AI253" s="490">
        <v>110</v>
      </c>
      <c r="AJ253" s="489">
        <f t="shared" si="27"/>
        <v>0</v>
      </c>
      <c r="AK253" s="490"/>
      <c r="AL253" s="490"/>
      <c r="AM253" s="490"/>
      <c r="AN253" s="490"/>
    </row>
    <row r="254" spans="1:40" x14ac:dyDescent="0.25">
      <c r="A254" s="332">
        <v>5830</v>
      </c>
      <c r="B254" s="459" t="s">
        <v>12</v>
      </c>
      <c r="C254" s="382">
        <v>770136.67</v>
      </c>
      <c r="D254" s="382">
        <v>70242.47</v>
      </c>
      <c r="E254" s="380"/>
      <c r="F254" s="518"/>
      <c r="G254" s="382">
        <v>10820.95</v>
      </c>
      <c r="H254" s="382">
        <v>447.9</v>
      </c>
      <c r="I254" s="382"/>
      <c r="J254" s="382">
        <v>12123.73</v>
      </c>
      <c r="K254" s="382">
        <v>441.2</v>
      </c>
      <c r="L254" s="382">
        <v>61174.8</v>
      </c>
      <c r="M254" s="325">
        <f t="shared" si="21"/>
        <v>925387.72</v>
      </c>
      <c r="N254" s="386">
        <v>8196.65</v>
      </c>
      <c r="O254" s="386">
        <v>19364.3</v>
      </c>
      <c r="P254" s="386">
        <v>50741.35</v>
      </c>
      <c r="Q254" s="386">
        <v>9204.1</v>
      </c>
      <c r="R254" s="386">
        <v>54388.3</v>
      </c>
      <c r="S254" s="371">
        <v>1276.33</v>
      </c>
      <c r="T254" s="439">
        <f t="shared" si="22"/>
        <v>1068558.75</v>
      </c>
      <c r="U254" s="387">
        <v>75</v>
      </c>
      <c r="V254" s="390">
        <f>VLOOKUP(B254,'[1]2021'!$C:$D,2,FALSE)</f>
        <v>500</v>
      </c>
      <c r="W254" s="436">
        <v>-5067.7700000000004</v>
      </c>
      <c r="X254" s="442"/>
      <c r="Y254" s="442">
        <v>-51.36</v>
      </c>
      <c r="Z254" s="447">
        <v>1</v>
      </c>
      <c r="AA254" s="484">
        <v>1068558.75</v>
      </c>
      <c r="AB254" s="484">
        <v>-5067.7700000000004</v>
      </c>
      <c r="AC254" s="484"/>
      <c r="AD254" s="484">
        <v>-51.36</v>
      </c>
      <c r="AE254" s="526">
        <f t="shared" si="23"/>
        <v>0</v>
      </c>
      <c r="AF254" s="526">
        <f t="shared" si="24"/>
        <v>0</v>
      </c>
      <c r="AG254" s="527">
        <f t="shared" si="25"/>
        <v>0</v>
      </c>
      <c r="AH254" s="527">
        <f t="shared" si="26"/>
        <v>0</v>
      </c>
      <c r="AI254" s="490">
        <v>500</v>
      </c>
      <c r="AJ254" s="489">
        <f t="shared" si="27"/>
        <v>0</v>
      </c>
      <c r="AK254" s="490"/>
      <c r="AL254" s="490"/>
      <c r="AM254" s="490"/>
      <c r="AN254" s="490"/>
    </row>
    <row r="255" spans="1:40" x14ac:dyDescent="0.25">
      <c r="A255" s="332">
        <v>5831</v>
      </c>
      <c r="B255" s="459" t="s">
        <v>419</v>
      </c>
      <c r="C255" s="382">
        <v>4289158.5</v>
      </c>
      <c r="D255" s="382">
        <v>665433.98</v>
      </c>
      <c r="E255" s="380"/>
      <c r="F255" s="518"/>
      <c r="G255" s="382">
        <v>122619.45</v>
      </c>
      <c r="H255" s="382">
        <v>29475.9</v>
      </c>
      <c r="I255" s="382"/>
      <c r="J255" s="382">
        <v>163886.23000000001</v>
      </c>
      <c r="K255" s="382">
        <v>24539.599999999999</v>
      </c>
      <c r="L255" s="382">
        <v>298821.5</v>
      </c>
      <c r="M255" s="325">
        <f t="shared" si="21"/>
        <v>5593935.1600000011</v>
      </c>
      <c r="N255" s="386">
        <v>21377.35</v>
      </c>
      <c r="O255" s="386">
        <v>190844.4</v>
      </c>
      <c r="P255" s="386">
        <v>278818.25</v>
      </c>
      <c r="Q255" s="386">
        <v>41332.51</v>
      </c>
      <c r="R255" s="386">
        <v>382124.95</v>
      </c>
      <c r="S255" s="371">
        <v>17226.64</v>
      </c>
      <c r="T255" s="439">
        <f t="shared" si="22"/>
        <v>6525659.2600000007</v>
      </c>
      <c r="U255" s="387">
        <v>70.5</v>
      </c>
      <c r="V255" s="390">
        <f>VLOOKUP(B255,'[1]2021'!$C:$D,2,FALSE)</f>
        <v>3349</v>
      </c>
      <c r="W255" s="436">
        <v>-137134.32</v>
      </c>
      <c r="X255" s="442"/>
      <c r="Y255" s="442">
        <v>-591.34</v>
      </c>
      <c r="Z255" s="447">
        <v>0.6</v>
      </c>
      <c r="AA255" s="484">
        <v>6525659.2599999998</v>
      </c>
      <c r="AB255" s="484">
        <v>-137134.32</v>
      </c>
      <c r="AC255" s="484"/>
      <c r="AD255" s="484">
        <v>-591.34</v>
      </c>
      <c r="AE255" s="526">
        <f t="shared" si="23"/>
        <v>0</v>
      </c>
      <c r="AF255" s="526">
        <f t="shared" si="24"/>
        <v>0</v>
      </c>
      <c r="AG255" s="527">
        <f t="shared" si="25"/>
        <v>0</v>
      </c>
      <c r="AH255" s="527">
        <f t="shared" si="26"/>
        <v>0</v>
      </c>
      <c r="AI255" s="490">
        <v>3349</v>
      </c>
      <c r="AJ255" s="489">
        <f t="shared" si="27"/>
        <v>0</v>
      </c>
      <c r="AK255" s="490"/>
      <c r="AL255" s="490"/>
      <c r="AM255" s="490"/>
      <c r="AN255" s="490"/>
    </row>
    <row r="256" spans="1:40" x14ac:dyDescent="0.25">
      <c r="A256" s="332">
        <v>5841</v>
      </c>
      <c r="B256" s="459" t="s">
        <v>13</v>
      </c>
      <c r="C256" s="382">
        <v>5416937.2300000004</v>
      </c>
      <c r="D256" s="382">
        <v>1679946.55</v>
      </c>
      <c r="E256" s="380"/>
      <c r="F256" s="518"/>
      <c r="G256" s="382">
        <v>141500.65</v>
      </c>
      <c r="H256" s="382">
        <v>20399.7</v>
      </c>
      <c r="I256" s="382">
        <v>607555.07999999996</v>
      </c>
      <c r="J256" s="382">
        <v>395554.33</v>
      </c>
      <c r="K256" s="382">
        <v>23339.8</v>
      </c>
      <c r="L256" s="382">
        <v>1535980.65</v>
      </c>
      <c r="M256" s="325">
        <f t="shared" si="21"/>
        <v>9821213.9900000002</v>
      </c>
      <c r="N256" s="386">
        <v>4103.45</v>
      </c>
      <c r="O256" s="386">
        <v>443777</v>
      </c>
      <c r="P256" s="386">
        <v>796748.95</v>
      </c>
      <c r="Q256" s="386">
        <v>7461.84</v>
      </c>
      <c r="R256" s="386">
        <v>545825.94999999995</v>
      </c>
      <c r="S256" s="371">
        <v>18337.18</v>
      </c>
      <c r="T256" s="439">
        <f t="shared" si="22"/>
        <v>11637468.359999998</v>
      </c>
      <c r="U256" s="387">
        <v>81.5</v>
      </c>
      <c r="V256" s="390">
        <f>VLOOKUP(B256,'[1]2021'!$C:$D,2,FALSE)</f>
        <v>3549</v>
      </c>
      <c r="W256" s="436">
        <v>-292514.46000000002</v>
      </c>
      <c r="X256" s="442"/>
      <c r="Y256" s="442">
        <v>-7607.52</v>
      </c>
      <c r="Z256" s="447">
        <v>1.5</v>
      </c>
      <c r="AA256" s="484">
        <v>11637468.359999999</v>
      </c>
      <c r="AB256" s="484">
        <v>-292514.46000000002</v>
      </c>
      <c r="AC256" s="484"/>
      <c r="AD256" s="484">
        <v>-7607.52</v>
      </c>
      <c r="AE256" s="526">
        <f t="shared" si="23"/>
        <v>0</v>
      </c>
      <c r="AF256" s="526">
        <f t="shared" si="24"/>
        <v>0</v>
      </c>
      <c r="AG256" s="527">
        <f t="shared" si="25"/>
        <v>0</v>
      </c>
      <c r="AH256" s="527">
        <f t="shared" si="26"/>
        <v>0</v>
      </c>
      <c r="AI256" s="490">
        <v>3549</v>
      </c>
      <c r="AJ256" s="489">
        <f t="shared" si="27"/>
        <v>0</v>
      </c>
      <c r="AK256" s="490"/>
      <c r="AL256" s="490"/>
      <c r="AM256" s="490"/>
      <c r="AN256" s="490"/>
    </row>
    <row r="257" spans="1:40" x14ac:dyDescent="0.25">
      <c r="A257" s="332">
        <v>5842</v>
      </c>
      <c r="B257" s="459" t="s">
        <v>14</v>
      </c>
      <c r="C257" s="382">
        <v>799106.09</v>
      </c>
      <c r="D257" s="382">
        <v>203574.74</v>
      </c>
      <c r="E257" s="380"/>
      <c r="F257" s="518"/>
      <c r="G257" s="382">
        <v>72791.3</v>
      </c>
      <c r="H257" s="382">
        <v>3101.85</v>
      </c>
      <c r="I257" s="382">
        <v>20057.8</v>
      </c>
      <c r="J257" s="382">
        <v>10197.969999999999</v>
      </c>
      <c r="K257" s="382">
        <v>916.35</v>
      </c>
      <c r="L257" s="382">
        <v>143473.25</v>
      </c>
      <c r="M257" s="325">
        <f t="shared" si="21"/>
        <v>1253219.3500000001</v>
      </c>
      <c r="N257" s="386"/>
      <c r="O257" s="386">
        <v>27713.5</v>
      </c>
      <c r="P257" s="386">
        <v>26823.7</v>
      </c>
      <c r="Q257" s="386"/>
      <c r="R257" s="386">
        <v>32625.15</v>
      </c>
      <c r="S257" s="371">
        <v>8595.82</v>
      </c>
      <c r="T257" s="439">
        <f t="shared" si="22"/>
        <v>1348977.52</v>
      </c>
      <c r="U257" s="387">
        <v>81</v>
      </c>
      <c r="V257" s="390">
        <f>VLOOKUP(B257,'[1]2021'!$C:$D,2,FALSE)</f>
        <v>534</v>
      </c>
      <c r="W257" s="436">
        <v>-3160.77</v>
      </c>
      <c r="X257" s="442"/>
      <c r="Y257" s="442">
        <v>-310.87</v>
      </c>
      <c r="Z257" s="447">
        <v>1.5</v>
      </c>
      <c r="AA257" s="484">
        <v>1348977.52</v>
      </c>
      <c r="AB257" s="484">
        <v>-3160.77</v>
      </c>
      <c r="AC257" s="484"/>
      <c r="AD257" s="484">
        <v>-310.87</v>
      </c>
      <c r="AE257" s="526">
        <f t="shared" si="23"/>
        <v>0</v>
      </c>
      <c r="AF257" s="526">
        <f t="shared" si="24"/>
        <v>0</v>
      </c>
      <c r="AG257" s="527">
        <f t="shared" si="25"/>
        <v>0</v>
      </c>
      <c r="AH257" s="527">
        <f t="shared" si="26"/>
        <v>0</v>
      </c>
      <c r="AI257" s="490">
        <v>534</v>
      </c>
      <c r="AJ257" s="489">
        <f t="shared" si="27"/>
        <v>0</v>
      </c>
      <c r="AK257" s="490"/>
      <c r="AL257" s="490"/>
      <c r="AM257" s="490"/>
      <c r="AN257" s="490"/>
    </row>
    <row r="258" spans="1:40" x14ac:dyDescent="0.25">
      <c r="A258" s="332">
        <v>5843</v>
      </c>
      <c r="B258" s="459" t="s">
        <v>15</v>
      </c>
      <c r="C258" s="382">
        <v>2530411.77</v>
      </c>
      <c r="D258" s="382">
        <v>2017292.41</v>
      </c>
      <c r="E258" s="380"/>
      <c r="F258" s="518"/>
      <c r="G258" s="382">
        <v>94731.85</v>
      </c>
      <c r="H258" s="382">
        <v>20258.849999999999</v>
      </c>
      <c r="I258" s="382">
        <v>1583236.52</v>
      </c>
      <c r="J258" s="382">
        <v>87280.53</v>
      </c>
      <c r="K258" s="382">
        <v>37320.050000000003</v>
      </c>
      <c r="L258" s="382">
        <v>1215783.6000000001</v>
      </c>
      <c r="M258" s="325">
        <f t="shared" si="21"/>
        <v>7586315.5799999982</v>
      </c>
      <c r="N258" s="386">
        <v>10483.35</v>
      </c>
      <c r="O258" s="386">
        <v>574714.4</v>
      </c>
      <c r="P258" s="386">
        <v>746902.4</v>
      </c>
      <c r="Q258" s="386">
        <v>22904.38</v>
      </c>
      <c r="R258" s="386">
        <v>995117.3</v>
      </c>
      <c r="S258" s="371">
        <v>13024.09</v>
      </c>
      <c r="T258" s="439">
        <f t="shared" si="22"/>
        <v>9949461.5</v>
      </c>
      <c r="U258" s="387">
        <v>74</v>
      </c>
      <c r="V258" s="390">
        <f>VLOOKUP(B258,'[1]2021'!$C:$D,2,FALSE)</f>
        <v>862</v>
      </c>
      <c r="W258" s="436">
        <v>-12741.46</v>
      </c>
      <c r="X258" s="442"/>
      <c r="Y258" s="442">
        <v>-19721.29</v>
      </c>
      <c r="Z258" s="447">
        <v>1.5</v>
      </c>
      <c r="AA258" s="484">
        <v>9949461.5</v>
      </c>
      <c r="AB258" s="484">
        <v>-12741.46</v>
      </c>
      <c r="AC258" s="484"/>
      <c r="AD258" s="484">
        <v>-19721.29</v>
      </c>
      <c r="AE258" s="526">
        <f t="shared" si="23"/>
        <v>0</v>
      </c>
      <c r="AF258" s="526">
        <f t="shared" si="24"/>
        <v>0</v>
      </c>
      <c r="AG258" s="527">
        <f t="shared" si="25"/>
        <v>0</v>
      </c>
      <c r="AH258" s="527">
        <f t="shared" si="26"/>
        <v>0</v>
      </c>
      <c r="AI258" s="490">
        <v>862</v>
      </c>
      <c r="AJ258" s="489">
        <f t="shared" si="27"/>
        <v>0</v>
      </c>
      <c r="AK258" s="490"/>
      <c r="AL258" s="490"/>
      <c r="AM258" s="490"/>
      <c r="AN258" s="490"/>
    </row>
    <row r="259" spans="1:40" x14ac:dyDescent="0.25">
      <c r="A259" s="332">
        <v>5851</v>
      </c>
      <c r="B259" s="459" t="s">
        <v>16</v>
      </c>
      <c r="C259" s="382">
        <v>930196.21</v>
      </c>
      <c r="D259" s="382">
        <v>183629.47</v>
      </c>
      <c r="E259" s="380"/>
      <c r="F259" s="518"/>
      <c r="G259" s="382">
        <v>69805.100000000006</v>
      </c>
      <c r="H259" s="382">
        <v>6883</v>
      </c>
      <c r="I259" s="382">
        <v>16716.099999999999</v>
      </c>
      <c r="J259" s="382">
        <v>43367.31</v>
      </c>
      <c r="K259" s="382">
        <v>23465</v>
      </c>
      <c r="L259" s="382">
        <v>243654.85</v>
      </c>
      <c r="M259" s="325">
        <f t="shared" si="21"/>
        <v>1517717.0400000003</v>
      </c>
      <c r="N259" s="386">
        <v>59074.75</v>
      </c>
      <c r="O259" s="386">
        <v>46126.7</v>
      </c>
      <c r="P259" s="386">
        <v>25826.55</v>
      </c>
      <c r="Q259" s="386">
        <v>1194.1500000000001</v>
      </c>
      <c r="R259" s="386"/>
      <c r="S259" s="371">
        <v>8685.86</v>
      </c>
      <c r="T259" s="439">
        <f t="shared" si="22"/>
        <v>1658625.0500000003</v>
      </c>
      <c r="U259" s="387">
        <v>60</v>
      </c>
      <c r="V259" s="390">
        <f>VLOOKUP(B259,'[1]2021'!$C:$D,2,FALSE)</f>
        <v>430</v>
      </c>
      <c r="W259" s="436">
        <v>-11973.54</v>
      </c>
      <c r="X259" s="442"/>
      <c r="Y259" s="442">
        <v>-916.92</v>
      </c>
      <c r="Z259" s="447">
        <v>1.1000000000000001</v>
      </c>
      <c r="AA259" s="484">
        <v>1658625.05</v>
      </c>
      <c r="AB259" s="484">
        <v>-11973.54</v>
      </c>
      <c r="AC259" s="484"/>
      <c r="AD259" s="484">
        <v>-916.92</v>
      </c>
      <c r="AE259" s="526">
        <f t="shared" si="23"/>
        <v>0</v>
      </c>
      <c r="AF259" s="526">
        <f t="shared" si="24"/>
        <v>0</v>
      </c>
      <c r="AG259" s="527">
        <f t="shared" si="25"/>
        <v>0</v>
      </c>
      <c r="AH259" s="527">
        <f t="shared" si="26"/>
        <v>0</v>
      </c>
      <c r="AI259" s="490">
        <v>430</v>
      </c>
      <c r="AJ259" s="489">
        <f t="shared" si="27"/>
        <v>0</v>
      </c>
      <c r="AK259" s="490"/>
      <c r="AL259" s="490"/>
      <c r="AM259" s="490"/>
      <c r="AN259" s="490"/>
    </row>
    <row r="260" spans="1:40" x14ac:dyDescent="0.25">
      <c r="A260" s="332">
        <v>5852</v>
      </c>
      <c r="B260" s="459" t="s">
        <v>17</v>
      </c>
      <c r="C260" s="382">
        <v>1309627.01</v>
      </c>
      <c r="D260" s="382">
        <v>456448.24</v>
      </c>
      <c r="E260" s="380"/>
      <c r="F260" s="518"/>
      <c r="G260" s="382">
        <v>5749.5</v>
      </c>
      <c r="H260" s="382">
        <v>2868.1</v>
      </c>
      <c r="I260" s="382">
        <v>221080.95</v>
      </c>
      <c r="J260" s="382">
        <v>39511.160000000003</v>
      </c>
      <c r="K260" s="382">
        <v>7060.35</v>
      </c>
      <c r="L260" s="382">
        <v>143108.9</v>
      </c>
      <c r="M260" s="325">
        <f t="shared" si="21"/>
        <v>2185454.21</v>
      </c>
      <c r="N260" s="386">
        <v>9375.5499999999993</v>
      </c>
      <c r="O260" s="386">
        <v>-3500</v>
      </c>
      <c r="P260" s="386">
        <v>162199.95000000001</v>
      </c>
      <c r="Q260" s="386">
        <v>9680</v>
      </c>
      <c r="R260" s="386">
        <v>176858.35</v>
      </c>
      <c r="S260" s="371">
        <v>976.05</v>
      </c>
      <c r="T260" s="439">
        <f t="shared" si="22"/>
        <v>2541044.11</v>
      </c>
      <c r="U260" s="387">
        <v>62</v>
      </c>
      <c r="V260" s="390">
        <f>VLOOKUP(B260,'[1]2021'!$C:$D,2,FALSE)</f>
        <v>515</v>
      </c>
      <c r="W260" s="436">
        <v>-29844.94</v>
      </c>
      <c r="X260" s="442"/>
      <c r="Y260" s="442">
        <v>-66495.509999999995</v>
      </c>
      <c r="Z260" s="447">
        <v>0.75</v>
      </c>
      <c r="AA260" s="484">
        <v>2541044.11</v>
      </c>
      <c r="AB260" s="484">
        <v>-29844.94</v>
      </c>
      <c r="AC260" s="484"/>
      <c r="AD260" s="484">
        <v>-66495.509999999995</v>
      </c>
      <c r="AE260" s="526">
        <f t="shared" si="23"/>
        <v>0</v>
      </c>
      <c r="AF260" s="526">
        <f t="shared" si="24"/>
        <v>0</v>
      </c>
      <c r="AG260" s="527">
        <f t="shared" si="25"/>
        <v>0</v>
      </c>
      <c r="AH260" s="527">
        <f t="shared" si="26"/>
        <v>0</v>
      </c>
      <c r="AI260" s="490">
        <v>515</v>
      </c>
      <c r="AJ260" s="489">
        <f t="shared" si="27"/>
        <v>0</v>
      </c>
      <c r="AK260" s="490"/>
      <c r="AL260" s="490"/>
      <c r="AM260" s="490"/>
      <c r="AN260" s="490"/>
    </row>
    <row r="261" spans="1:40" x14ac:dyDescent="0.25">
      <c r="A261" s="332">
        <v>5853</v>
      </c>
      <c r="B261" s="460" t="s">
        <v>18</v>
      </c>
      <c r="C261" s="513">
        <v>2154155.75</v>
      </c>
      <c r="D261" s="382">
        <v>427403.4</v>
      </c>
      <c r="E261" s="380"/>
      <c r="F261" s="518"/>
      <c r="G261" s="382">
        <v>36424.5</v>
      </c>
      <c r="H261" s="382">
        <v>5322</v>
      </c>
      <c r="I261" s="382">
        <v>305622.55</v>
      </c>
      <c r="J261" s="382">
        <v>22948.99</v>
      </c>
      <c r="K261" s="382">
        <v>12241.2</v>
      </c>
      <c r="L261" s="382">
        <v>216377.5</v>
      </c>
      <c r="M261" s="325">
        <f t="shared" si="21"/>
        <v>3180495.89</v>
      </c>
      <c r="N261" s="386">
        <v>82707.899999999994</v>
      </c>
      <c r="O261" s="386">
        <v>49723.4</v>
      </c>
      <c r="P261" s="386">
        <v>262434.90000000002</v>
      </c>
      <c r="Q261" s="386">
        <v>11620.92</v>
      </c>
      <c r="R261" s="386">
        <v>209867.1</v>
      </c>
      <c r="S261" s="371">
        <v>4728.3</v>
      </c>
      <c r="T261" s="439">
        <f t="shared" si="22"/>
        <v>3801578.4099999997</v>
      </c>
      <c r="U261" s="387">
        <v>71</v>
      </c>
      <c r="V261" s="390">
        <f>VLOOKUP(B261,'[1]2021'!$C:$D,2,FALSE)</f>
        <v>773</v>
      </c>
      <c r="W261" s="436">
        <v>-37360.03</v>
      </c>
      <c r="X261" s="442"/>
      <c r="Y261" s="442">
        <v>-956.95</v>
      </c>
      <c r="Z261" s="447">
        <v>1</v>
      </c>
      <c r="AA261" s="484">
        <v>3801578.41</v>
      </c>
      <c r="AB261" s="484">
        <v>-37360.03</v>
      </c>
      <c r="AC261" s="484"/>
      <c r="AD261" s="484">
        <v>-956.95</v>
      </c>
      <c r="AE261" s="526">
        <f t="shared" si="23"/>
        <v>0</v>
      </c>
      <c r="AF261" s="526">
        <f t="shared" si="24"/>
        <v>0</v>
      </c>
      <c r="AG261" s="527">
        <f t="shared" si="25"/>
        <v>0</v>
      </c>
      <c r="AH261" s="527">
        <f t="shared" si="26"/>
        <v>0</v>
      </c>
      <c r="AI261" s="490">
        <v>773</v>
      </c>
      <c r="AJ261" s="489">
        <f t="shared" si="27"/>
        <v>0</v>
      </c>
      <c r="AK261" s="490"/>
      <c r="AL261" s="490"/>
      <c r="AM261" s="490"/>
      <c r="AN261" s="490"/>
    </row>
    <row r="262" spans="1:40" x14ac:dyDescent="0.25">
      <c r="A262" s="332">
        <v>5854</v>
      </c>
      <c r="B262" s="460" t="s">
        <v>19</v>
      </c>
      <c r="C262" s="382">
        <v>964213.34</v>
      </c>
      <c r="D262" s="382">
        <v>153504.89000000001</v>
      </c>
      <c r="E262" s="380"/>
      <c r="F262" s="518"/>
      <c r="G262" s="382">
        <v>6546.75</v>
      </c>
      <c r="H262" s="382">
        <v>1896.35</v>
      </c>
      <c r="I262" s="382"/>
      <c r="J262" s="382">
        <v>16366.43</v>
      </c>
      <c r="K262" s="382">
        <v>2158.9</v>
      </c>
      <c r="L262" s="382">
        <v>114438.55</v>
      </c>
      <c r="M262" s="325">
        <f t="shared" ref="M262:M314" si="28">SUM(C262:L262)</f>
        <v>1259125.21</v>
      </c>
      <c r="N262" s="386">
        <v>42212.55</v>
      </c>
      <c r="O262" s="386"/>
      <c r="P262" s="386">
        <v>8626.4</v>
      </c>
      <c r="Q262" s="386"/>
      <c r="R262" s="386">
        <v>36756.15</v>
      </c>
      <c r="S262" s="371">
        <v>956.28</v>
      </c>
      <c r="T262" s="439">
        <f t="shared" si="22"/>
        <v>1347676.5899999999</v>
      </c>
      <c r="U262" s="387">
        <v>80</v>
      </c>
      <c r="V262" s="390">
        <f>VLOOKUP(B262,'[1]2021'!$C:$D,2,FALSE)</f>
        <v>416</v>
      </c>
      <c r="W262" s="436">
        <v>-1105.19</v>
      </c>
      <c r="X262" s="442"/>
      <c r="Y262" s="442">
        <v>-352.74</v>
      </c>
      <c r="Z262" s="447">
        <v>1.5</v>
      </c>
      <c r="AA262" s="484">
        <v>1347676.59</v>
      </c>
      <c r="AB262" s="484">
        <v>-1105.19</v>
      </c>
      <c r="AC262" s="484"/>
      <c r="AD262" s="484">
        <v>-352.74</v>
      </c>
      <c r="AE262" s="526">
        <f t="shared" si="23"/>
        <v>0</v>
      </c>
      <c r="AF262" s="526">
        <f t="shared" si="24"/>
        <v>0</v>
      </c>
      <c r="AG262" s="527">
        <f t="shared" si="25"/>
        <v>0</v>
      </c>
      <c r="AH262" s="527">
        <f t="shared" si="26"/>
        <v>0</v>
      </c>
      <c r="AI262" s="490">
        <v>416</v>
      </c>
      <c r="AJ262" s="489">
        <f t="shared" si="27"/>
        <v>0</v>
      </c>
      <c r="AK262" s="490"/>
      <c r="AL262" s="490"/>
      <c r="AM262" s="490"/>
      <c r="AN262" s="490"/>
    </row>
    <row r="263" spans="1:40" x14ac:dyDescent="0.25">
      <c r="A263" s="332">
        <v>5855</v>
      </c>
      <c r="B263" s="460" t="s">
        <v>20</v>
      </c>
      <c r="C263" s="382">
        <v>2549648.9</v>
      </c>
      <c r="D263" s="382">
        <v>779317.08</v>
      </c>
      <c r="E263" s="380"/>
      <c r="F263" s="518"/>
      <c r="G263" s="382">
        <v>58963.85</v>
      </c>
      <c r="H263" s="382">
        <v>30413</v>
      </c>
      <c r="I263" s="382">
        <v>758620.05</v>
      </c>
      <c r="J263" s="382">
        <v>41220.51</v>
      </c>
      <c r="K263" s="382">
        <v>16418.5</v>
      </c>
      <c r="L263" s="382">
        <v>370645.7</v>
      </c>
      <c r="M263" s="325">
        <f t="shared" si="28"/>
        <v>4605247.59</v>
      </c>
      <c r="N263" s="386">
        <v>1358.65</v>
      </c>
      <c r="O263" s="386"/>
      <c r="P263" s="386">
        <v>480920</v>
      </c>
      <c r="Q263" s="386"/>
      <c r="R263" s="386">
        <v>186622.65</v>
      </c>
      <c r="S263" s="371">
        <v>10123.01</v>
      </c>
      <c r="T263" s="439">
        <f t="shared" ref="T263:T315" si="29">SUM(M263:S263)</f>
        <v>5284271.9000000004</v>
      </c>
      <c r="U263" s="387">
        <v>49</v>
      </c>
      <c r="V263" s="390">
        <f>VLOOKUP(B263,'[1]2021'!$C:$D,2,FALSE)</f>
        <v>634</v>
      </c>
      <c r="W263" s="436">
        <v>-127.1</v>
      </c>
      <c r="X263" s="442"/>
      <c r="Y263" s="442">
        <v>-24720.01</v>
      </c>
      <c r="Z263" s="447">
        <v>1</v>
      </c>
      <c r="AA263" s="484">
        <v>5284271.9000000004</v>
      </c>
      <c r="AB263" s="484">
        <v>-127.1</v>
      </c>
      <c r="AC263" s="484"/>
      <c r="AD263" s="484">
        <v>-24720.01</v>
      </c>
      <c r="AE263" s="526">
        <f t="shared" si="23"/>
        <v>0</v>
      </c>
      <c r="AF263" s="526">
        <f t="shared" si="24"/>
        <v>0</v>
      </c>
      <c r="AG263" s="527">
        <f t="shared" si="25"/>
        <v>0</v>
      </c>
      <c r="AH263" s="527">
        <f t="shared" si="26"/>
        <v>0</v>
      </c>
      <c r="AI263" s="490">
        <v>634</v>
      </c>
      <c r="AJ263" s="489">
        <f t="shared" si="27"/>
        <v>0</v>
      </c>
      <c r="AK263" s="490"/>
      <c r="AL263" s="490"/>
      <c r="AM263" s="490"/>
      <c r="AN263" s="490"/>
    </row>
    <row r="264" spans="1:40" x14ac:dyDescent="0.25">
      <c r="A264" s="332">
        <v>5856</v>
      </c>
      <c r="B264" s="460" t="s">
        <v>21</v>
      </c>
      <c r="C264" s="513">
        <v>1980781.57</v>
      </c>
      <c r="D264" s="382">
        <v>311683.90000000002</v>
      </c>
      <c r="E264" s="380"/>
      <c r="F264" s="518"/>
      <c r="G264" s="382">
        <v>13507.15</v>
      </c>
      <c r="H264" s="382">
        <v>2463.85</v>
      </c>
      <c r="I264" s="382">
        <v>289067.8</v>
      </c>
      <c r="J264" s="382">
        <v>22811.4</v>
      </c>
      <c r="K264" s="382">
        <v>2840.1</v>
      </c>
      <c r="L264" s="382">
        <v>253354.75</v>
      </c>
      <c r="M264" s="325">
        <f t="shared" si="28"/>
        <v>2876510.52</v>
      </c>
      <c r="N264" s="386">
        <v>6571.75</v>
      </c>
      <c r="O264" s="386">
        <v>11110.6</v>
      </c>
      <c r="P264" s="386">
        <v>215233.5</v>
      </c>
      <c r="Q264" s="386">
        <v>221.8</v>
      </c>
      <c r="R264" s="386">
        <v>239416.85</v>
      </c>
      <c r="S264" s="371">
        <v>1808.91</v>
      </c>
      <c r="T264" s="439">
        <f t="shared" si="29"/>
        <v>3350873.93</v>
      </c>
      <c r="U264" s="387">
        <v>66.5</v>
      </c>
      <c r="V264" s="390">
        <f>VLOOKUP(B264,'[1]2021'!$C:$D,2,FALSE)</f>
        <v>753</v>
      </c>
      <c r="W264" s="436">
        <v>-11108.16</v>
      </c>
      <c r="X264" s="442"/>
      <c r="Y264" s="442">
        <v>-1328.98</v>
      </c>
      <c r="Z264" s="447">
        <v>1.3</v>
      </c>
      <c r="AA264" s="484">
        <v>3350873.93</v>
      </c>
      <c r="AB264" s="484">
        <v>-11108.16</v>
      </c>
      <c r="AC264" s="484"/>
      <c r="AD264" s="484">
        <v>-1328.98</v>
      </c>
      <c r="AE264" s="526">
        <f t="shared" ref="AE264:AE314" si="30">+T264-AA264</f>
        <v>0</v>
      </c>
      <c r="AF264" s="526">
        <f t="shared" ref="AF264:AF314" si="31">+AB264-W264</f>
        <v>0</v>
      </c>
      <c r="AG264" s="527">
        <f t="shared" ref="AG264:AG314" si="32">+AC264-X264</f>
        <v>0</v>
      </c>
      <c r="AH264" s="527">
        <f t="shared" ref="AH264:AH314" si="33">+AD264-Y264</f>
        <v>0</v>
      </c>
      <c r="AI264" s="490">
        <v>753</v>
      </c>
      <c r="AJ264" s="489">
        <f t="shared" ref="AJ264:AJ317" si="34">+AI264-V264</f>
        <v>0</v>
      </c>
      <c r="AK264" s="490"/>
      <c r="AL264" s="490"/>
      <c r="AM264" s="490"/>
      <c r="AN264" s="490"/>
    </row>
    <row r="265" spans="1:40" x14ac:dyDescent="0.25">
      <c r="A265" s="332">
        <v>5857</v>
      </c>
      <c r="B265" s="460" t="s">
        <v>22</v>
      </c>
      <c r="C265" s="382">
        <v>4569153.16</v>
      </c>
      <c r="D265" s="382">
        <v>690910.33</v>
      </c>
      <c r="E265" s="380"/>
      <c r="F265" s="518"/>
      <c r="G265" s="382">
        <v>19246.150000000001</v>
      </c>
      <c r="H265" s="382">
        <v>8907.1</v>
      </c>
      <c r="I265" s="382"/>
      <c r="J265" s="382">
        <v>35675.550000000003</v>
      </c>
      <c r="K265" s="382">
        <v>21221.55</v>
      </c>
      <c r="L265" s="382">
        <v>420306.65</v>
      </c>
      <c r="M265" s="325">
        <f t="shared" si="28"/>
        <v>5765420.4900000002</v>
      </c>
      <c r="N265" s="386">
        <v>86130.95</v>
      </c>
      <c r="O265" s="386"/>
      <c r="P265" s="386">
        <v>249526.39999999999</v>
      </c>
      <c r="Q265" s="386"/>
      <c r="R265" s="386">
        <v>190326.55</v>
      </c>
      <c r="S265" s="371">
        <v>3188.7</v>
      </c>
      <c r="T265" s="439">
        <f t="shared" si="29"/>
        <v>6294593.0900000008</v>
      </c>
      <c r="U265" s="387">
        <v>64.5</v>
      </c>
      <c r="V265" s="390">
        <f>VLOOKUP(B265,'[1]2021'!$C:$D,2,FALSE)</f>
        <v>1438</v>
      </c>
      <c r="W265" s="436">
        <v>-35827.82</v>
      </c>
      <c r="X265" s="442"/>
      <c r="Y265" s="442">
        <v>-888.64</v>
      </c>
      <c r="Z265" s="447">
        <v>1</v>
      </c>
      <c r="AA265" s="484">
        <v>6294593.0899999999</v>
      </c>
      <c r="AB265" s="484">
        <v>-35827.82</v>
      </c>
      <c r="AC265" s="484"/>
      <c r="AD265" s="484">
        <v>-888.64</v>
      </c>
      <c r="AE265" s="526">
        <f t="shared" si="30"/>
        <v>0</v>
      </c>
      <c r="AF265" s="526">
        <f t="shared" si="31"/>
        <v>0</v>
      </c>
      <c r="AG265" s="527">
        <f t="shared" si="32"/>
        <v>0</v>
      </c>
      <c r="AH265" s="527">
        <f t="shared" si="33"/>
        <v>0</v>
      </c>
      <c r="AI265" s="490">
        <v>1438</v>
      </c>
      <c r="AJ265" s="489">
        <f t="shared" si="34"/>
        <v>0</v>
      </c>
      <c r="AK265" s="490"/>
      <c r="AL265" s="490"/>
      <c r="AM265" s="490"/>
      <c r="AN265" s="490"/>
    </row>
    <row r="266" spans="1:40" x14ac:dyDescent="0.25">
      <c r="A266" s="332">
        <v>5858</v>
      </c>
      <c r="B266" s="460" t="s">
        <v>23</v>
      </c>
      <c r="C266" s="382">
        <v>1586703.57</v>
      </c>
      <c r="D266" s="382">
        <v>337318.48</v>
      </c>
      <c r="E266" s="380"/>
      <c r="F266" s="518"/>
      <c r="G266" s="382">
        <v>14113.95</v>
      </c>
      <c r="H266" s="382">
        <v>271.5</v>
      </c>
      <c r="I266" s="382">
        <v>26062.26</v>
      </c>
      <c r="J266" s="382">
        <v>134330.93</v>
      </c>
      <c r="K266" s="382">
        <v>1653.9</v>
      </c>
      <c r="L266" s="382">
        <v>237176.05</v>
      </c>
      <c r="M266" s="325">
        <f t="shared" si="28"/>
        <v>2337630.6399999997</v>
      </c>
      <c r="N266" s="386">
        <v>3971.45</v>
      </c>
      <c r="O266" s="386">
        <v>370.8</v>
      </c>
      <c r="P266" s="386">
        <v>99996.4</v>
      </c>
      <c r="Q266" s="386">
        <v>1921.53</v>
      </c>
      <c r="R266" s="386">
        <v>5618.45</v>
      </c>
      <c r="S266" s="371">
        <v>1629.33</v>
      </c>
      <c r="T266" s="439">
        <f t="shared" si="29"/>
        <v>2451138.5999999996</v>
      </c>
      <c r="U266" s="387">
        <v>58.5</v>
      </c>
      <c r="V266" s="390">
        <f>VLOOKUP(B266,'[1]2021'!$C:$D,2,FALSE)</f>
        <v>630</v>
      </c>
      <c r="W266" s="436">
        <v>-20864.740000000002</v>
      </c>
      <c r="X266" s="442"/>
      <c r="Y266" s="442">
        <v>-3434.34</v>
      </c>
      <c r="Z266" s="447">
        <v>1.5</v>
      </c>
      <c r="AA266" s="484">
        <v>2451138.6</v>
      </c>
      <c r="AB266" s="484">
        <v>-20864.740000000002</v>
      </c>
      <c r="AC266" s="484"/>
      <c r="AD266" s="484">
        <v>-3434.34</v>
      </c>
      <c r="AE266" s="526">
        <f t="shared" si="30"/>
        <v>0</v>
      </c>
      <c r="AF266" s="526">
        <f t="shared" si="31"/>
        <v>0</v>
      </c>
      <c r="AG266" s="527">
        <f t="shared" si="32"/>
        <v>0</v>
      </c>
      <c r="AH266" s="527">
        <f t="shared" si="33"/>
        <v>0</v>
      </c>
      <c r="AI266" s="490">
        <v>630</v>
      </c>
      <c r="AJ266" s="489">
        <f t="shared" si="34"/>
        <v>0</v>
      </c>
      <c r="AK266" s="490"/>
      <c r="AL266" s="490"/>
      <c r="AM266" s="490"/>
      <c r="AN266" s="490"/>
    </row>
    <row r="267" spans="1:40" x14ac:dyDescent="0.25">
      <c r="A267" s="332">
        <v>5859</v>
      </c>
      <c r="B267" s="460" t="s">
        <v>24</v>
      </c>
      <c r="C267" s="382">
        <v>7473642.4400000004</v>
      </c>
      <c r="D267" s="382">
        <v>1600183.12</v>
      </c>
      <c r="E267" s="380"/>
      <c r="F267" s="518"/>
      <c r="G267" s="382">
        <v>98135.45</v>
      </c>
      <c r="H267" s="382">
        <v>19883.7</v>
      </c>
      <c r="I267" s="382">
        <v>251427.3</v>
      </c>
      <c r="J267" s="382">
        <v>120596.17</v>
      </c>
      <c r="K267" s="382">
        <v>26616.5</v>
      </c>
      <c r="L267" s="382">
        <v>682773.4</v>
      </c>
      <c r="M267" s="325">
        <f t="shared" si="28"/>
        <v>10273258.08</v>
      </c>
      <c r="N267" s="386">
        <v>120212.6</v>
      </c>
      <c r="O267" s="386">
        <v>454080.9</v>
      </c>
      <c r="P267" s="386">
        <v>772469.4</v>
      </c>
      <c r="Q267" s="386">
        <v>1342.99</v>
      </c>
      <c r="R267" s="386">
        <v>444522.4</v>
      </c>
      <c r="S267" s="371">
        <v>13367.1</v>
      </c>
      <c r="T267" s="439">
        <f t="shared" si="29"/>
        <v>12079253.470000001</v>
      </c>
      <c r="U267" s="387">
        <v>63.5</v>
      </c>
      <c r="V267" s="390">
        <f>VLOOKUP(B267,'[1]2021'!$C:$D,2,FALSE)</f>
        <v>2739</v>
      </c>
      <c r="W267" s="436">
        <v>-44391.3</v>
      </c>
      <c r="X267" s="442"/>
      <c r="Y267" s="442">
        <v>-25732.32</v>
      </c>
      <c r="Z267" s="447">
        <v>1</v>
      </c>
      <c r="AA267" s="484">
        <v>12079253.470000001</v>
      </c>
      <c r="AB267" s="484">
        <v>-44391.3</v>
      </c>
      <c r="AC267" s="484"/>
      <c r="AD267" s="484">
        <v>-25732.32</v>
      </c>
      <c r="AE267" s="526">
        <f t="shared" si="30"/>
        <v>0</v>
      </c>
      <c r="AF267" s="526">
        <f t="shared" si="31"/>
        <v>0</v>
      </c>
      <c r="AG267" s="527">
        <f t="shared" si="32"/>
        <v>0</v>
      </c>
      <c r="AH267" s="527">
        <f t="shared" si="33"/>
        <v>0</v>
      </c>
      <c r="AI267" s="490">
        <v>2739</v>
      </c>
      <c r="AJ267" s="489">
        <f t="shared" si="34"/>
        <v>0</v>
      </c>
      <c r="AK267" s="490"/>
      <c r="AL267" s="490"/>
      <c r="AM267" s="490"/>
      <c r="AN267" s="490"/>
    </row>
    <row r="268" spans="1:40" x14ac:dyDescent="0.25">
      <c r="A268" s="332">
        <v>5860</v>
      </c>
      <c r="B268" s="460" t="s">
        <v>25</v>
      </c>
      <c r="C268" s="382">
        <v>4573281.91</v>
      </c>
      <c r="D268" s="382">
        <v>1795041.99</v>
      </c>
      <c r="E268" s="380"/>
      <c r="F268" s="518"/>
      <c r="G268" s="382">
        <v>57279.35</v>
      </c>
      <c r="H268" s="382">
        <v>11037.7</v>
      </c>
      <c r="I268" s="382">
        <v>286540.95</v>
      </c>
      <c r="J268" s="382">
        <v>53145.32</v>
      </c>
      <c r="K268" s="382">
        <v>4677.8999999999996</v>
      </c>
      <c r="L268" s="382">
        <v>705030.6</v>
      </c>
      <c r="M268" s="325">
        <f t="shared" si="28"/>
        <v>7486035.7200000007</v>
      </c>
      <c r="N268" s="386">
        <v>19166.650000000001</v>
      </c>
      <c r="O268" s="386">
        <v>51341.3</v>
      </c>
      <c r="P268" s="386">
        <v>554801.80000000005</v>
      </c>
      <c r="Q268" s="386">
        <v>43239.91</v>
      </c>
      <c r="R268" s="386">
        <v>406854.35</v>
      </c>
      <c r="S268" s="371">
        <v>7737.73</v>
      </c>
      <c r="T268" s="439">
        <f t="shared" si="29"/>
        <v>8569177.4600000009</v>
      </c>
      <c r="U268" s="387">
        <v>58.5</v>
      </c>
      <c r="V268" s="390">
        <f>VLOOKUP(B268,'[1]2021'!$C:$D,2,FALSE)</f>
        <v>1514</v>
      </c>
      <c r="W268" s="436">
        <v>-57853.54</v>
      </c>
      <c r="X268" s="442"/>
      <c r="Y268" s="442">
        <v>-48297.53</v>
      </c>
      <c r="Z268" s="447">
        <v>1.3</v>
      </c>
      <c r="AA268" s="484">
        <v>8569177.4600000009</v>
      </c>
      <c r="AB268" s="484">
        <v>-57853.54</v>
      </c>
      <c r="AC268" s="484"/>
      <c r="AD268" s="484">
        <v>-48297.53</v>
      </c>
      <c r="AE268" s="526">
        <f t="shared" si="30"/>
        <v>0</v>
      </c>
      <c r="AF268" s="526">
        <f t="shared" si="31"/>
        <v>0</v>
      </c>
      <c r="AG268" s="527">
        <f t="shared" si="32"/>
        <v>0</v>
      </c>
      <c r="AH268" s="527">
        <f t="shared" si="33"/>
        <v>0</v>
      </c>
      <c r="AI268" s="490">
        <v>1514</v>
      </c>
      <c r="AJ268" s="489">
        <f t="shared" si="34"/>
        <v>0</v>
      </c>
      <c r="AK268" s="490"/>
      <c r="AL268" s="490"/>
      <c r="AM268" s="490"/>
      <c r="AN268" s="490"/>
    </row>
    <row r="269" spans="1:40" x14ac:dyDescent="0.25">
      <c r="A269" s="332">
        <v>5861</v>
      </c>
      <c r="B269" s="460" t="s">
        <v>26</v>
      </c>
      <c r="C269" s="382">
        <v>15157130.33</v>
      </c>
      <c r="D269" s="382">
        <v>3136421.01</v>
      </c>
      <c r="E269" s="380"/>
      <c r="F269" s="518"/>
      <c r="G269" s="382">
        <v>11997753.800000001</v>
      </c>
      <c r="H269" s="382">
        <v>2240010.5</v>
      </c>
      <c r="I269" s="382">
        <v>655911.5</v>
      </c>
      <c r="J269" s="382">
        <v>1326774.3799999999</v>
      </c>
      <c r="K269" s="382">
        <v>338690.9</v>
      </c>
      <c r="L269" s="382">
        <v>1864180.6</v>
      </c>
      <c r="M269" s="325">
        <f t="shared" si="28"/>
        <v>36716873.020000003</v>
      </c>
      <c r="N269" s="386">
        <v>223079.3</v>
      </c>
      <c r="O269" s="386">
        <v>1674898.2</v>
      </c>
      <c r="P269" s="386">
        <v>1019635.55</v>
      </c>
      <c r="Q269" s="386">
        <v>32554.28</v>
      </c>
      <c r="R269" s="386">
        <v>797224.8</v>
      </c>
      <c r="S269" s="371">
        <v>1612599.44</v>
      </c>
      <c r="T269" s="439">
        <f t="shared" si="29"/>
        <v>42076864.589999996</v>
      </c>
      <c r="U269" s="387">
        <v>59.5</v>
      </c>
      <c r="V269" s="390">
        <f>VLOOKUP(B269,'[1]2021'!$C:$D,2,FALSE)</f>
        <v>6291</v>
      </c>
      <c r="W269" s="436">
        <v>-332033.11</v>
      </c>
      <c r="X269" s="442"/>
      <c r="Y269" s="442">
        <v>-61342.879999999997</v>
      </c>
      <c r="Z269" s="447">
        <v>1</v>
      </c>
      <c r="AA269" s="484">
        <v>42076864.590000004</v>
      </c>
      <c r="AB269" s="484">
        <v>-332033.11</v>
      </c>
      <c r="AC269" s="484"/>
      <c r="AD269" s="484">
        <v>-61342.879999999997</v>
      </c>
      <c r="AE269" s="526">
        <f t="shared" si="30"/>
        <v>0</v>
      </c>
      <c r="AF269" s="526">
        <f t="shared" si="31"/>
        <v>0</v>
      </c>
      <c r="AG269" s="527">
        <f t="shared" si="32"/>
        <v>0</v>
      </c>
      <c r="AH269" s="527">
        <f t="shared" si="33"/>
        <v>0</v>
      </c>
      <c r="AI269" s="490">
        <v>6291</v>
      </c>
      <c r="AJ269" s="489">
        <f t="shared" si="34"/>
        <v>0</v>
      </c>
      <c r="AK269" s="490"/>
      <c r="AL269" s="490"/>
      <c r="AM269" s="490"/>
      <c r="AN269" s="490"/>
    </row>
    <row r="270" spans="1:40" x14ac:dyDescent="0.25">
      <c r="A270" s="332">
        <v>5862</v>
      </c>
      <c r="B270" s="460" t="s">
        <v>27</v>
      </c>
      <c r="C270" s="382">
        <v>506676.15</v>
      </c>
      <c r="D270" s="382">
        <v>81039.5</v>
      </c>
      <c r="E270" s="380"/>
      <c r="F270" s="518"/>
      <c r="G270" s="382">
        <v>716</v>
      </c>
      <c r="H270" s="382">
        <v>1356.9</v>
      </c>
      <c r="I270" s="382"/>
      <c r="J270" s="382">
        <v>6624.19</v>
      </c>
      <c r="K270" s="382"/>
      <c r="L270" s="382">
        <v>50239.5</v>
      </c>
      <c r="M270" s="325">
        <f t="shared" si="28"/>
        <v>646652.24</v>
      </c>
      <c r="N270" s="386">
        <v>5530.15</v>
      </c>
      <c r="O270" s="386">
        <v>246.6</v>
      </c>
      <c r="P270" s="386">
        <v>15240.15</v>
      </c>
      <c r="Q270" s="386">
        <v>3331.82</v>
      </c>
      <c r="R270" s="386">
        <v>17265.55</v>
      </c>
      <c r="S270" s="371">
        <v>234.78</v>
      </c>
      <c r="T270" s="439">
        <f t="shared" si="29"/>
        <v>688501.29</v>
      </c>
      <c r="U270" s="387">
        <v>79</v>
      </c>
      <c r="V270" s="390">
        <f>VLOOKUP(B270,'[1]2021'!$C:$D,2,FALSE)</f>
        <v>241</v>
      </c>
      <c r="W270" s="436">
        <v>-26753.33</v>
      </c>
      <c r="X270" s="442"/>
      <c r="Y270" s="442">
        <v>-74.75</v>
      </c>
      <c r="Z270" s="447">
        <v>1</v>
      </c>
      <c r="AA270" s="484">
        <v>688501.29</v>
      </c>
      <c r="AB270" s="484">
        <v>-26753.33</v>
      </c>
      <c r="AC270" s="484"/>
      <c r="AD270" s="484">
        <v>-74.75</v>
      </c>
      <c r="AE270" s="526">
        <f t="shared" si="30"/>
        <v>0</v>
      </c>
      <c r="AF270" s="526">
        <f t="shared" si="31"/>
        <v>0</v>
      </c>
      <c r="AG270" s="527">
        <f t="shared" si="32"/>
        <v>0</v>
      </c>
      <c r="AH270" s="527">
        <f t="shared" si="33"/>
        <v>0</v>
      </c>
      <c r="AI270" s="490">
        <v>241</v>
      </c>
      <c r="AJ270" s="489">
        <f t="shared" si="34"/>
        <v>0</v>
      </c>
      <c r="AK270" s="490"/>
      <c r="AL270" s="490"/>
      <c r="AM270" s="490"/>
      <c r="AN270" s="490"/>
    </row>
    <row r="271" spans="1:40" x14ac:dyDescent="0.25">
      <c r="A271" s="332">
        <v>5863</v>
      </c>
      <c r="B271" s="460" t="s">
        <v>28</v>
      </c>
      <c r="C271" s="382">
        <v>1012397.44</v>
      </c>
      <c r="D271" s="382">
        <v>236796.75</v>
      </c>
      <c r="F271" s="518"/>
      <c r="G271" s="382">
        <v>15457.3</v>
      </c>
      <c r="H271" s="382">
        <v>6979.8</v>
      </c>
      <c r="I271" s="382">
        <v>42873.3</v>
      </c>
      <c r="J271" s="382">
        <v>46887.76</v>
      </c>
      <c r="K271" s="382">
        <v>2189.4</v>
      </c>
      <c r="L271" s="382">
        <v>84223.2</v>
      </c>
      <c r="M271" s="325">
        <f t="shared" si="28"/>
        <v>1447804.95</v>
      </c>
      <c r="N271" s="386">
        <v>18683.7</v>
      </c>
      <c r="O271" s="386"/>
      <c r="P271" s="386">
        <v>112519.5</v>
      </c>
      <c r="Q271" s="386"/>
      <c r="R271" s="386">
        <v>85563.15</v>
      </c>
      <c r="S271" s="371">
        <v>2541.27</v>
      </c>
      <c r="T271" s="439">
        <f t="shared" si="29"/>
        <v>1667112.5699999998</v>
      </c>
      <c r="U271" s="387">
        <v>67</v>
      </c>
      <c r="V271" s="390">
        <f>VLOOKUP(B271,'[1]2021'!$C:$D,2,FALSE)</f>
        <v>369</v>
      </c>
      <c r="W271" s="436">
        <v>-13258.33</v>
      </c>
      <c r="X271" s="442"/>
      <c r="Y271" s="442">
        <v>-1671.28</v>
      </c>
      <c r="Z271" s="447">
        <v>1</v>
      </c>
      <c r="AA271" s="484">
        <v>1667112.57</v>
      </c>
      <c r="AB271" s="484">
        <v>-13258.33</v>
      </c>
      <c r="AC271" s="484"/>
      <c r="AD271" s="484">
        <v>-1671.28</v>
      </c>
      <c r="AE271" s="526">
        <f t="shared" si="30"/>
        <v>0</v>
      </c>
      <c r="AF271" s="526">
        <f t="shared" si="31"/>
        <v>0</v>
      </c>
      <c r="AG271" s="527">
        <f t="shared" si="32"/>
        <v>0</v>
      </c>
      <c r="AH271" s="527">
        <f t="shared" si="33"/>
        <v>0</v>
      </c>
      <c r="AI271" s="490">
        <v>369</v>
      </c>
      <c r="AJ271" s="489">
        <f t="shared" si="34"/>
        <v>0</v>
      </c>
      <c r="AK271" s="490"/>
      <c r="AL271" s="490"/>
      <c r="AM271" s="490"/>
      <c r="AN271" s="490"/>
    </row>
    <row r="272" spans="1:40" x14ac:dyDescent="0.25">
      <c r="A272" s="332">
        <v>5871</v>
      </c>
      <c r="B272" s="460" t="s">
        <v>29</v>
      </c>
      <c r="C272" s="380">
        <v>2987127.62</v>
      </c>
      <c r="D272" s="380">
        <v>588826.38</v>
      </c>
      <c r="F272" s="518"/>
      <c r="G272" s="380">
        <v>116776.55</v>
      </c>
      <c r="H272" s="15">
        <v>17985.849999999999</v>
      </c>
      <c r="I272" s="382"/>
      <c r="J272" s="382">
        <v>75243.06</v>
      </c>
      <c r="K272" s="382">
        <v>1864.6</v>
      </c>
      <c r="L272" s="382">
        <v>276305.8</v>
      </c>
      <c r="M272" s="325">
        <f>SUM(C272:L272)</f>
        <v>4064129.86</v>
      </c>
      <c r="N272" s="386">
        <v>774954</v>
      </c>
      <c r="O272" s="386">
        <v>156841.9</v>
      </c>
      <c r="P272" s="386">
        <v>171152.4</v>
      </c>
      <c r="Q272" s="386">
        <v>58010.5</v>
      </c>
      <c r="R272" s="386">
        <v>178978.75</v>
      </c>
      <c r="S272" s="371">
        <v>15263.48</v>
      </c>
      <c r="T272" s="439">
        <f t="shared" si="29"/>
        <v>5419330.8900000006</v>
      </c>
      <c r="U272" s="387">
        <v>76</v>
      </c>
      <c r="V272" s="390">
        <f>VLOOKUP(B272,'[1]2021'!$C:$D,2,FALSE)</f>
        <v>1521</v>
      </c>
      <c r="W272" s="436">
        <v>-88551.23</v>
      </c>
      <c r="X272" s="442"/>
      <c r="Y272" s="442">
        <v>-372.69</v>
      </c>
      <c r="Z272" s="447">
        <v>1</v>
      </c>
      <c r="AA272" s="484">
        <f>5243934.89+276305.8-100909.8</f>
        <v>5419330.8899999997</v>
      </c>
      <c r="AB272" s="484">
        <v>-88551.23000000001</v>
      </c>
      <c r="AC272" s="484"/>
      <c r="AD272" s="484">
        <v>-372.69</v>
      </c>
      <c r="AE272" s="526">
        <f t="shared" si="30"/>
        <v>0</v>
      </c>
      <c r="AF272" s="526">
        <f t="shared" si="31"/>
        <v>0</v>
      </c>
      <c r="AG272" s="527">
        <f t="shared" si="32"/>
        <v>0</v>
      </c>
      <c r="AH272" s="527">
        <f t="shared" si="33"/>
        <v>0</v>
      </c>
      <c r="AI272" s="490">
        <v>1521</v>
      </c>
      <c r="AJ272" s="489">
        <f t="shared" si="34"/>
        <v>0</v>
      </c>
      <c r="AK272" s="490" t="s">
        <v>583</v>
      </c>
      <c r="AL272" s="490"/>
      <c r="AM272" s="490"/>
      <c r="AN272" s="490"/>
    </row>
    <row r="273" spans="1:40" x14ac:dyDescent="0.25">
      <c r="A273" s="332">
        <v>5872</v>
      </c>
      <c r="B273" s="460" t="s">
        <v>200</v>
      </c>
      <c r="C273" s="513">
        <v>6587271.8899999997</v>
      </c>
      <c r="D273" s="382">
        <v>1008099.83</v>
      </c>
      <c r="F273" s="518"/>
      <c r="G273" s="382">
        <v>3722298.05</v>
      </c>
      <c r="H273" s="382">
        <v>309927</v>
      </c>
      <c r="I273" s="382"/>
      <c r="J273" s="382">
        <v>466676.81</v>
      </c>
      <c r="K273" s="382">
        <v>55805.05</v>
      </c>
      <c r="L273" s="382">
        <v>778011.3</v>
      </c>
      <c r="M273" s="325">
        <f t="shared" si="28"/>
        <v>12928089.930000002</v>
      </c>
      <c r="N273" s="386">
        <v>6657622.0499999998</v>
      </c>
      <c r="O273" s="386">
        <v>916450.5</v>
      </c>
      <c r="P273" s="386">
        <v>421204.85</v>
      </c>
      <c r="Q273" s="386">
        <v>68523.38</v>
      </c>
      <c r="R273" s="386">
        <v>395737.2</v>
      </c>
      <c r="S273" s="371">
        <v>456698.38</v>
      </c>
      <c r="T273" s="439">
        <f t="shared" si="29"/>
        <v>21844326.289999999</v>
      </c>
      <c r="U273" s="387">
        <v>58.5</v>
      </c>
      <c r="V273" s="390">
        <f>VLOOKUP(B273,'[1]2021'!$C:$D,2,FALSE)</f>
        <v>4569</v>
      </c>
      <c r="W273" s="436">
        <v>-106252.5</v>
      </c>
      <c r="X273" s="442"/>
      <c r="Y273" s="442">
        <v>-6231.42</v>
      </c>
      <c r="Z273" s="447">
        <v>1</v>
      </c>
      <c r="AA273" s="484">
        <v>21844326.289999999</v>
      </c>
      <c r="AB273" s="484">
        <v>-106252.5</v>
      </c>
      <c r="AC273" s="484"/>
      <c r="AD273" s="484">
        <v>-6231.42</v>
      </c>
      <c r="AE273" s="526">
        <f t="shared" si="30"/>
        <v>0</v>
      </c>
      <c r="AF273" s="526">
        <f t="shared" si="31"/>
        <v>0</v>
      </c>
      <c r="AG273" s="527">
        <f t="shared" si="32"/>
        <v>0</v>
      </c>
      <c r="AH273" s="527">
        <f t="shared" si="33"/>
        <v>0</v>
      </c>
      <c r="AI273" s="490">
        <v>4569</v>
      </c>
      <c r="AJ273" s="489">
        <f t="shared" si="34"/>
        <v>0</v>
      </c>
      <c r="AK273" s="490"/>
      <c r="AL273" s="490"/>
      <c r="AM273" s="490"/>
      <c r="AN273" s="490"/>
    </row>
    <row r="274" spans="1:40" x14ac:dyDescent="0.25">
      <c r="A274" s="332">
        <v>5873</v>
      </c>
      <c r="B274" s="460" t="s">
        <v>201</v>
      </c>
      <c r="C274" s="380">
        <v>1401103.45</v>
      </c>
      <c r="D274" s="380">
        <v>332787.05</v>
      </c>
      <c r="F274" s="518"/>
      <c r="G274" s="437">
        <v>236681.95</v>
      </c>
      <c r="H274" s="15">
        <v>6343.1</v>
      </c>
      <c r="I274" s="382"/>
      <c r="J274" s="382">
        <v>64565.08</v>
      </c>
      <c r="K274" s="382">
        <v>0</v>
      </c>
      <c r="L274" s="382">
        <v>118973.15</v>
      </c>
      <c r="M274" s="325">
        <f>SUM(C274:L274)</f>
        <v>2160453.7800000003</v>
      </c>
      <c r="N274" s="386">
        <v>899203.4</v>
      </c>
      <c r="O274" s="386">
        <v>107400</v>
      </c>
      <c r="P274" s="386">
        <v>36203.15</v>
      </c>
      <c r="Q274" s="386">
        <v>9158.26</v>
      </c>
      <c r="R274" s="386">
        <v>62741.8</v>
      </c>
      <c r="S274" s="371">
        <v>27525.53</v>
      </c>
      <c r="T274" s="439">
        <f t="shared" si="29"/>
        <v>3302685.9199999995</v>
      </c>
      <c r="U274" s="387">
        <v>70</v>
      </c>
      <c r="V274" s="390">
        <f>VLOOKUP(B274,'[1]2021'!$C:$D,2,FALSE)</f>
        <v>881</v>
      </c>
      <c r="W274" s="436">
        <v>-23219.39</v>
      </c>
      <c r="X274" s="442"/>
      <c r="Y274" s="442">
        <v>-402.41</v>
      </c>
      <c r="Z274" s="447">
        <v>0.8</v>
      </c>
      <c r="AA274" s="484">
        <v>3302685.92</v>
      </c>
      <c r="AB274" s="484">
        <v>-23219.39</v>
      </c>
      <c r="AC274" s="484"/>
      <c r="AD274" s="484">
        <v>-402.41</v>
      </c>
      <c r="AE274" s="526">
        <f t="shared" si="30"/>
        <v>0</v>
      </c>
      <c r="AF274" s="526">
        <f t="shared" si="31"/>
        <v>0</v>
      </c>
      <c r="AG274" s="527">
        <f t="shared" si="32"/>
        <v>0</v>
      </c>
      <c r="AH274" s="527">
        <f t="shared" si="33"/>
        <v>0</v>
      </c>
      <c r="AI274" s="490">
        <v>881</v>
      </c>
      <c r="AJ274" s="489">
        <f t="shared" si="34"/>
        <v>0</v>
      </c>
      <c r="AK274" s="490"/>
      <c r="AL274" s="490"/>
      <c r="AM274" s="490"/>
      <c r="AN274" s="490"/>
    </row>
    <row r="275" spans="1:40" x14ac:dyDescent="0.25">
      <c r="A275" s="332">
        <v>5881</v>
      </c>
      <c r="B275" s="460" t="s">
        <v>202</v>
      </c>
      <c r="C275" s="513">
        <v>19016717.239999998</v>
      </c>
      <c r="D275" s="382">
        <v>4021893.29</v>
      </c>
      <c r="F275" s="518"/>
      <c r="G275" s="382">
        <v>348403</v>
      </c>
      <c r="H275" s="382">
        <v>102548</v>
      </c>
      <c r="I275" s="382">
        <v>568839.22</v>
      </c>
      <c r="J275" s="382">
        <v>-99312.89</v>
      </c>
      <c r="K275" s="382">
        <v>68498.850000000006</v>
      </c>
      <c r="L275" s="382">
        <v>1742292.45</v>
      </c>
      <c r="M275" s="325">
        <f t="shared" si="28"/>
        <v>25769879.159999996</v>
      </c>
      <c r="N275" s="386">
        <v>69243.399999999994</v>
      </c>
      <c r="O275" s="517">
        <v>1948131.18</v>
      </c>
      <c r="P275" s="386">
        <v>1605703.7</v>
      </c>
      <c r="Q275" s="386">
        <v>134100.25</v>
      </c>
      <c r="R275" s="386">
        <v>1279249.55</v>
      </c>
      <c r="S275" s="371">
        <v>51075.67</v>
      </c>
      <c r="T275" s="439">
        <f t="shared" si="29"/>
        <v>30857382.909999996</v>
      </c>
      <c r="U275" s="387">
        <v>68.5</v>
      </c>
      <c r="V275" s="390">
        <f>VLOOKUP(B275,'[1]2021'!$C:$D,2,FALSE)</f>
        <v>6291</v>
      </c>
      <c r="W275" s="436">
        <v>-489682.34</v>
      </c>
      <c r="X275" s="442"/>
      <c r="Y275" s="442">
        <v>-24339.97</v>
      </c>
      <c r="Z275" s="447">
        <v>1</v>
      </c>
      <c r="AA275" s="484">
        <v>30857382.91</v>
      </c>
      <c r="AB275" s="484">
        <v>-489682.34</v>
      </c>
      <c r="AC275" s="484"/>
      <c r="AD275" s="484">
        <v>-24339.97</v>
      </c>
      <c r="AE275" s="526">
        <f t="shared" si="30"/>
        <v>0</v>
      </c>
      <c r="AF275" s="526">
        <f t="shared" si="31"/>
        <v>0</v>
      </c>
      <c r="AG275" s="527">
        <f t="shared" si="32"/>
        <v>0</v>
      </c>
      <c r="AH275" s="527">
        <f t="shared" si="33"/>
        <v>0</v>
      </c>
      <c r="AI275" s="490">
        <v>6291</v>
      </c>
      <c r="AJ275" s="489">
        <f t="shared" si="34"/>
        <v>0</v>
      </c>
      <c r="AK275" s="490"/>
      <c r="AL275" s="490"/>
      <c r="AM275" s="490"/>
      <c r="AN275" s="490"/>
    </row>
    <row r="276" spans="1:40" x14ac:dyDescent="0.25">
      <c r="A276" s="332">
        <v>5882</v>
      </c>
      <c r="B276" s="460" t="s">
        <v>203</v>
      </c>
      <c r="C276" s="382">
        <v>8585962.7400000002</v>
      </c>
      <c r="D276" s="382">
        <v>2197702.2799999998</v>
      </c>
      <c r="E276" s="380"/>
      <c r="F276" s="518"/>
      <c r="G276" s="382">
        <v>160107.1</v>
      </c>
      <c r="H276" s="382">
        <v>22527.25</v>
      </c>
      <c r="I276" s="382">
        <v>577853.94999999995</v>
      </c>
      <c r="J276" s="382">
        <v>169623.76</v>
      </c>
      <c r="K276" s="382">
        <v>51194.35</v>
      </c>
      <c r="L276" s="382">
        <v>1005413.66</v>
      </c>
      <c r="M276" s="325">
        <f t="shared" si="28"/>
        <v>12770385.089999998</v>
      </c>
      <c r="N276" s="386">
        <v>7632.95</v>
      </c>
      <c r="O276" s="386">
        <v>429566.85</v>
      </c>
      <c r="P276" s="386">
        <v>619546.9</v>
      </c>
      <c r="Q276" s="386">
        <v>12390.21</v>
      </c>
      <c r="R276" s="386">
        <v>414741.65</v>
      </c>
      <c r="S276" s="371">
        <v>20685.55</v>
      </c>
      <c r="T276" s="439">
        <f t="shared" si="29"/>
        <v>14274949.199999999</v>
      </c>
      <c r="U276" s="387">
        <v>68</v>
      </c>
      <c r="V276" s="390">
        <f>VLOOKUP(B276,'[1]2021'!$C:$D,2,FALSE)</f>
        <v>3078</v>
      </c>
      <c r="W276" s="436">
        <v>-57817.440000000002</v>
      </c>
      <c r="X276" s="442"/>
      <c r="Y276" s="442">
        <v>-32860.769999999997</v>
      </c>
      <c r="Z276" s="447">
        <v>1</v>
      </c>
      <c r="AA276" s="484">
        <v>14274949.199999999</v>
      </c>
      <c r="AB276" s="484">
        <v>-57817.440000000002</v>
      </c>
      <c r="AC276" s="484"/>
      <c r="AD276" s="484">
        <v>-32860.769999999997</v>
      </c>
      <c r="AE276" s="526">
        <f t="shared" si="30"/>
        <v>0</v>
      </c>
      <c r="AF276" s="526">
        <f t="shared" si="31"/>
        <v>0</v>
      </c>
      <c r="AG276" s="527">
        <f t="shared" si="32"/>
        <v>0</v>
      </c>
      <c r="AH276" s="527">
        <f t="shared" si="33"/>
        <v>0</v>
      </c>
      <c r="AI276" s="490">
        <v>3078</v>
      </c>
      <c r="AJ276" s="489">
        <f t="shared" si="34"/>
        <v>0</v>
      </c>
      <c r="AK276" s="490"/>
      <c r="AL276" s="490"/>
      <c r="AM276" s="490"/>
      <c r="AN276" s="490"/>
    </row>
    <row r="277" spans="1:40" x14ac:dyDescent="0.25">
      <c r="A277" s="332">
        <v>5883</v>
      </c>
      <c r="B277" s="460" t="s">
        <v>204</v>
      </c>
      <c r="C277" s="382">
        <v>9477308.0600000005</v>
      </c>
      <c r="D277" s="382">
        <v>2587935.6800000002</v>
      </c>
      <c r="E277" s="380"/>
      <c r="F277" s="518"/>
      <c r="G277" s="382">
        <v>35039.449999999997</v>
      </c>
      <c r="H277" s="382">
        <v>46022.6</v>
      </c>
      <c r="I277" s="382">
        <v>375246.94</v>
      </c>
      <c r="J277" s="382">
        <v>-158220.06</v>
      </c>
      <c r="K277" s="382">
        <v>16329.9</v>
      </c>
      <c r="L277" s="382">
        <v>685419.85</v>
      </c>
      <c r="M277" s="325">
        <f t="shared" si="28"/>
        <v>13065082.419999998</v>
      </c>
      <c r="N277" s="386"/>
      <c r="O277" s="386">
        <v>2110360.2999999998</v>
      </c>
      <c r="P277" s="386">
        <v>580616.25</v>
      </c>
      <c r="Q277" s="386">
        <v>2879.24</v>
      </c>
      <c r="R277" s="386">
        <v>413980.2</v>
      </c>
      <c r="S277" s="371">
        <v>9181.26</v>
      </c>
      <c r="T277" s="439">
        <f t="shared" si="29"/>
        <v>16182099.669999998</v>
      </c>
      <c r="U277" s="387">
        <v>67.5</v>
      </c>
      <c r="V277" s="390">
        <f>VLOOKUP(B277,'[1]2021'!$C:$D,2,FALSE)</f>
        <v>2330</v>
      </c>
      <c r="W277" s="436">
        <v>-25677.83</v>
      </c>
      <c r="X277" s="442"/>
      <c r="Y277" s="442">
        <v>-17532.259999999998</v>
      </c>
      <c r="Z277" s="447">
        <v>1</v>
      </c>
      <c r="AA277" s="484">
        <v>16182099.67</v>
      </c>
      <c r="AB277" s="484">
        <v>-25677.83</v>
      </c>
      <c r="AC277" s="484"/>
      <c r="AD277" s="484">
        <v>-17532.259999999998</v>
      </c>
      <c r="AE277" s="526">
        <f t="shared" si="30"/>
        <v>0</v>
      </c>
      <c r="AF277" s="526">
        <f t="shared" si="31"/>
        <v>0</v>
      </c>
      <c r="AG277" s="527">
        <f t="shared" si="32"/>
        <v>0</v>
      </c>
      <c r="AH277" s="527">
        <f t="shared" si="33"/>
        <v>0</v>
      </c>
      <c r="AI277" s="490">
        <v>2330</v>
      </c>
      <c r="AJ277" s="489">
        <f t="shared" si="34"/>
        <v>0</v>
      </c>
      <c r="AK277" s="490"/>
      <c r="AL277" s="490"/>
      <c r="AM277" s="490"/>
      <c r="AN277" s="490"/>
    </row>
    <row r="278" spans="1:40" x14ac:dyDescent="0.25">
      <c r="A278" s="332">
        <v>5884</v>
      </c>
      <c r="B278" s="460" t="s">
        <v>49</v>
      </c>
      <c r="C278" s="382">
        <v>5730524.7599999998</v>
      </c>
      <c r="D278" s="382">
        <v>965272.87</v>
      </c>
      <c r="E278" s="380"/>
      <c r="F278" s="518"/>
      <c r="G278" s="382">
        <v>1613212.65</v>
      </c>
      <c r="H278" s="382">
        <v>129294.65</v>
      </c>
      <c r="I278" s="382">
        <v>33220.85</v>
      </c>
      <c r="J278" s="382">
        <v>127959.97</v>
      </c>
      <c r="K278" s="382">
        <v>187082.9</v>
      </c>
      <c r="L278" s="382">
        <v>988510.6</v>
      </c>
      <c r="M278" s="325">
        <f t="shared" si="28"/>
        <v>9775079.25</v>
      </c>
      <c r="N278" s="386">
        <v>551964.19999999995</v>
      </c>
      <c r="O278" s="386">
        <v>315162.8</v>
      </c>
      <c r="P278" s="386">
        <v>224319.55</v>
      </c>
      <c r="Q278" s="386">
        <v>13811.13</v>
      </c>
      <c r="R278" s="386">
        <v>243783.1</v>
      </c>
      <c r="S278" s="371">
        <v>197360.08</v>
      </c>
      <c r="T278" s="439">
        <f t="shared" si="29"/>
        <v>11321480.110000001</v>
      </c>
      <c r="U278" s="387">
        <v>64.5</v>
      </c>
      <c r="V278" s="390">
        <f>VLOOKUP(B278,'[1]2021'!$C:$D,2,FALSE)</f>
        <v>3390</v>
      </c>
      <c r="W278" s="436">
        <v>-213574.81</v>
      </c>
      <c r="X278" s="442"/>
      <c r="Y278" s="442">
        <v>-4080.92</v>
      </c>
      <c r="Z278" s="447">
        <v>1.2</v>
      </c>
      <c r="AA278" s="484">
        <v>11321480.109999999</v>
      </c>
      <c r="AB278" s="484">
        <v>-213574.81</v>
      </c>
      <c r="AC278" s="484"/>
      <c r="AD278" s="484">
        <v>-4080.92</v>
      </c>
      <c r="AE278" s="526">
        <f t="shared" si="30"/>
        <v>0</v>
      </c>
      <c r="AF278" s="526">
        <f t="shared" si="31"/>
        <v>0</v>
      </c>
      <c r="AG278" s="527">
        <f t="shared" si="32"/>
        <v>0</v>
      </c>
      <c r="AH278" s="527">
        <f t="shared" si="33"/>
        <v>0</v>
      </c>
      <c r="AI278" s="490">
        <v>3390</v>
      </c>
      <c r="AJ278" s="489">
        <f t="shared" si="34"/>
        <v>0</v>
      </c>
      <c r="AK278" s="490"/>
      <c r="AL278" s="490"/>
      <c r="AM278" s="490"/>
      <c r="AN278" s="490"/>
    </row>
    <row r="279" spans="1:40" x14ac:dyDescent="0.25">
      <c r="A279" s="332">
        <v>5885</v>
      </c>
      <c r="B279" s="460" t="s">
        <v>50</v>
      </c>
      <c r="C279" s="513">
        <v>5215869.18</v>
      </c>
      <c r="D279" s="382">
        <v>932821.89</v>
      </c>
      <c r="E279" s="380"/>
      <c r="F279" s="518"/>
      <c r="G279" s="382">
        <v>30172.05</v>
      </c>
      <c r="H279" s="382">
        <v>15234.15</v>
      </c>
      <c r="I279" s="382">
        <v>172503.95</v>
      </c>
      <c r="J279" s="382">
        <v>54698.69</v>
      </c>
      <c r="K279" s="382">
        <v>-12632.95</v>
      </c>
      <c r="L279" s="382">
        <v>535076</v>
      </c>
      <c r="M279" s="325">
        <f t="shared" si="28"/>
        <v>6943742.96</v>
      </c>
      <c r="N279" s="386">
        <v>2403.85</v>
      </c>
      <c r="O279" s="386">
        <v>49382.7</v>
      </c>
      <c r="P279" s="386">
        <v>893700.15</v>
      </c>
      <c r="Q279" s="386">
        <v>3480.39</v>
      </c>
      <c r="R279" s="386">
        <v>218072</v>
      </c>
      <c r="S279" s="371">
        <v>5142.8</v>
      </c>
      <c r="T279" s="439">
        <f t="shared" si="29"/>
        <v>8115924.8499999996</v>
      </c>
      <c r="U279" s="387">
        <v>69.5</v>
      </c>
      <c r="V279" s="390">
        <f>VLOOKUP(B279,'[1]2021'!$C:$D,2,FALSE)</f>
        <v>1805</v>
      </c>
      <c r="W279" s="436">
        <v>-106805.73</v>
      </c>
      <c r="X279" s="442"/>
      <c r="Y279" s="442">
        <v>-9533.7199999999993</v>
      </c>
      <c r="Z279" s="447">
        <v>1.2</v>
      </c>
      <c r="AA279" s="484">
        <v>8115924.8499999996</v>
      </c>
      <c r="AB279" s="484">
        <v>-106805.73</v>
      </c>
      <c r="AC279" s="484"/>
      <c r="AD279" s="484">
        <v>-9533.7199999999993</v>
      </c>
      <c r="AE279" s="526">
        <f t="shared" si="30"/>
        <v>0</v>
      </c>
      <c r="AF279" s="526">
        <f t="shared" si="31"/>
        <v>0</v>
      </c>
      <c r="AG279" s="527">
        <f t="shared" si="32"/>
        <v>0</v>
      </c>
      <c r="AH279" s="527">
        <f t="shared" si="33"/>
        <v>0</v>
      </c>
      <c r="AI279" s="490">
        <v>1805</v>
      </c>
      <c r="AJ279" s="489">
        <f t="shared" si="34"/>
        <v>0</v>
      </c>
      <c r="AK279" s="490"/>
      <c r="AL279" s="490"/>
      <c r="AM279" s="490"/>
      <c r="AN279" s="490"/>
    </row>
    <row r="280" spans="1:40" x14ac:dyDescent="0.25">
      <c r="A280" s="332">
        <v>5886</v>
      </c>
      <c r="B280" s="460" t="s">
        <v>51</v>
      </c>
      <c r="C280" s="382">
        <v>47650076.039999999</v>
      </c>
      <c r="D280" s="382">
        <v>14168306.529999999</v>
      </c>
      <c r="E280" s="380"/>
      <c r="F280" s="518"/>
      <c r="G280" s="382">
        <v>3300078.8</v>
      </c>
      <c r="H280" s="382">
        <v>619666.1</v>
      </c>
      <c r="I280" s="382">
        <v>4534589.04</v>
      </c>
      <c r="J280" s="382">
        <v>1980964.99</v>
      </c>
      <c r="K280" s="382">
        <v>627150.69999999995</v>
      </c>
      <c r="L280" s="382">
        <v>10288374.27</v>
      </c>
      <c r="M280" s="325">
        <f t="shared" si="28"/>
        <v>83169206.469999999</v>
      </c>
      <c r="N280" s="386">
        <v>1254691.7</v>
      </c>
      <c r="O280" s="386">
        <v>21229157.899999999</v>
      </c>
      <c r="P280" s="386">
        <v>5645048.4500000002</v>
      </c>
      <c r="Q280" s="386">
        <v>321489.27</v>
      </c>
      <c r="R280" s="386">
        <v>3438682.75</v>
      </c>
      <c r="S280" s="371">
        <v>443958.64</v>
      </c>
      <c r="T280" s="439">
        <f t="shared" si="29"/>
        <v>115502235.17999999</v>
      </c>
      <c r="U280" s="387">
        <v>65</v>
      </c>
      <c r="V280" s="390">
        <f>VLOOKUP(B280,'[1]2021'!$C:$D,2,FALSE)</f>
        <v>26012</v>
      </c>
      <c r="W280" s="436">
        <v>-886144.14</v>
      </c>
      <c r="X280" s="442"/>
      <c r="Y280" s="442">
        <v>-97724.35</v>
      </c>
      <c r="Z280" s="447">
        <v>1.5</v>
      </c>
      <c r="AA280" s="484">
        <v>115502235.18000001</v>
      </c>
      <c r="AB280" s="484">
        <v>-886144.14</v>
      </c>
      <c r="AC280" s="484"/>
      <c r="AD280" s="484">
        <v>-97724.35</v>
      </c>
      <c r="AE280" s="526">
        <f t="shared" si="30"/>
        <v>0</v>
      </c>
      <c r="AF280" s="526">
        <f t="shared" si="31"/>
        <v>0</v>
      </c>
      <c r="AG280" s="527">
        <f t="shared" si="32"/>
        <v>0</v>
      </c>
      <c r="AH280" s="527">
        <f t="shared" si="33"/>
        <v>0</v>
      </c>
      <c r="AI280" s="490">
        <v>26012</v>
      </c>
      <c r="AJ280" s="489">
        <f t="shared" si="34"/>
        <v>0</v>
      </c>
      <c r="AK280" s="490"/>
      <c r="AL280" s="490"/>
      <c r="AM280" s="490"/>
      <c r="AN280" s="490"/>
    </row>
    <row r="281" spans="1:40" x14ac:dyDescent="0.25">
      <c r="A281" s="332">
        <v>5888</v>
      </c>
      <c r="B281" s="460" t="s">
        <v>492</v>
      </c>
      <c r="C281" s="513">
        <v>17161768.91</v>
      </c>
      <c r="D281" s="382">
        <v>3786487.65</v>
      </c>
      <c r="E281" s="380"/>
      <c r="F281" s="518"/>
      <c r="G281" s="382">
        <v>114568.95</v>
      </c>
      <c r="H281" s="382">
        <v>78497.399999999994</v>
      </c>
      <c r="I281" s="382">
        <v>114723</v>
      </c>
      <c r="J281" s="382">
        <v>-14478.04</v>
      </c>
      <c r="K281" s="382">
        <v>51595.199999999997</v>
      </c>
      <c r="L281" s="382">
        <v>2001238.9</v>
      </c>
      <c r="M281" s="325">
        <f t="shared" si="28"/>
        <v>23294401.969999995</v>
      </c>
      <c r="N281" s="386">
        <v>210894</v>
      </c>
      <c r="O281" s="386">
        <v>69723.199999999997</v>
      </c>
      <c r="P281" s="386">
        <v>1262564.25</v>
      </c>
      <c r="Q281" s="386">
        <v>13992.4</v>
      </c>
      <c r="R281" s="386">
        <v>1330306.7</v>
      </c>
      <c r="S281" s="371">
        <v>21867.11</v>
      </c>
      <c r="T281" s="439">
        <f t="shared" si="29"/>
        <v>26203749.629999992</v>
      </c>
      <c r="U281" s="387">
        <v>68.5</v>
      </c>
      <c r="V281" s="390">
        <v>5634</v>
      </c>
      <c r="W281" s="436">
        <v>-88256.45</v>
      </c>
      <c r="X281" s="442"/>
      <c r="Y281" s="442">
        <v>-28287.73</v>
      </c>
      <c r="Z281" s="447">
        <v>1.2</v>
      </c>
      <c r="AA281" s="484">
        <v>26203749.629999999</v>
      </c>
      <c r="AB281" s="484">
        <v>-88256.45</v>
      </c>
      <c r="AC281" s="484"/>
      <c r="AD281" s="484">
        <v>-28287.73</v>
      </c>
      <c r="AE281" s="526">
        <f t="shared" si="30"/>
        <v>0</v>
      </c>
      <c r="AF281" s="526">
        <f t="shared" si="31"/>
        <v>0</v>
      </c>
      <c r="AG281" s="527">
        <f t="shared" si="32"/>
        <v>0</v>
      </c>
      <c r="AH281" s="527">
        <f t="shared" si="33"/>
        <v>0</v>
      </c>
      <c r="AI281" s="490">
        <v>5634</v>
      </c>
      <c r="AJ281" s="489">
        <f t="shared" si="34"/>
        <v>0</v>
      </c>
      <c r="AK281" s="490"/>
      <c r="AL281" s="490"/>
      <c r="AM281" s="490"/>
      <c r="AN281" s="490"/>
    </row>
    <row r="282" spans="1:40" x14ac:dyDescent="0.25">
      <c r="A282" s="332">
        <v>5889</v>
      </c>
      <c r="B282" s="460" t="s">
        <v>52</v>
      </c>
      <c r="C282" s="382">
        <v>27531361.809999999</v>
      </c>
      <c r="D282" s="382">
        <v>6636354.3600000003</v>
      </c>
      <c r="E282" s="380"/>
      <c r="F282" s="518"/>
      <c r="G282" s="382">
        <v>7157293.6500000004</v>
      </c>
      <c r="H282" s="382">
        <v>1180998.3500000001</v>
      </c>
      <c r="I282" s="382">
        <v>675203.69</v>
      </c>
      <c r="J282" s="382">
        <v>645786.52</v>
      </c>
      <c r="K282" s="382">
        <v>306717.05</v>
      </c>
      <c r="L282" s="382">
        <v>3102844.3</v>
      </c>
      <c r="M282" s="325">
        <f t="shared" si="28"/>
        <v>47236559.729999997</v>
      </c>
      <c r="N282" s="386">
        <v>259436.3</v>
      </c>
      <c r="O282" s="386">
        <v>237280.9</v>
      </c>
      <c r="P282" s="386">
        <v>1687943.05</v>
      </c>
      <c r="Q282" s="386">
        <v>146154.68</v>
      </c>
      <c r="R282" s="386">
        <v>1895537.55</v>
      </c>
      <c r="S282" s="371">
        <v>944412.67</v>
      </c>
      <c r="T282" s="439">
        <f t="shared" si="29"/>
        <v>52407324.879999988</v>
      </c>
      <c r="U282" s="387">
        <v>64</v>
      </c>
      <c r="V282" s="390">
        <f>VLOOKUP(B282,'[1]2021'!$C:$D,2,FALSE)</f>
        <v>12222</v>
      </c>
      <c r="W282" s="436">
        <v>-303506.06</v>
      </c>
      <c r="X282" s="442"/>
      <c r="Y282" s="442">
        <v>-112201.94</v>
      </c>
      <c r="Z282" s="447">
        <v>1.2</v>
      </c>
      <c r="AA282" s="484">
        <v>52407324.880000003</v>
      </c>
      <c r="AB282" s="484">
        <v>-303506.06</v>
      </c>
      <c r="AC282" s="484"/>
      <c r="AD282" s="484">
        <v>-112201.94</v>
      </c>
      <c r="AE282" s="526">
        <f t="shared" si="30"/>
        <v>0</v>
      </c>
      <c r="AF282" s="526">
        <f t="shared" si="31"/>
        <v>0</v>
      </c>
      <c r="AG282" s="527">
        <f t="shared" si="32"/>
        <v>0</v>
      </c>
      <c r="AH282" s="527">
        <f t="shared" si="33"/>
        <v>0</v>
      </c>
      <c r="AI282" s="490">
        <v>12222</v>
      </c>
      <c r="AJ282" s="489">
        <f t="shared" si="34"/>
        <v>0</v>
      </c>
      <c r="AK282" s="490"/>
      <c r="AL282" s="490"/>
      <c r="AM282" s="490"/>
      <c r="AN282" s="490"/>
    </row>
    <row r="283" spans="1:40" x14ac:dyDescent="0.25">
      <c r="A283" s="332">
        <v>5890</v>
      </c>
      <c r="B283" s="459" t="s">
        <v>53</v>
      </c>
      <c r="C283" s="513">
        <v>37441781.060000002</v>
      </c>
      <c r="D283" s="382">
        <v>5609480.1299999999</v>
      </c>
      <c r="E283" s="380"/>
      <c r="F283" s="518"/>
      <c r="G283" s="382">
        <v>16808760.649999999</v>
      </c>
      <c r="H283" s="382">
        <v>2393610.9500000002</v>
      </c>
      <c r="I283" s="382">
        <v>388358.83</v>
      </c>
      <c r="J283" s="382">
        <v>3327671</v>
      </c>
      <c r="K283" s="382">
        <v>796821.45</v>
      </c>
      <c r="L283" s="382">
        <v>5778517.29</v>
      </c>
      <c r="M283" s="325">
        <f t="shared" si="28"/>
        <v>72545001.360000014</v>
      </c>
      <c r="N283" s="386">
        <v>1260005.1000000001</v>
      </c>
      <c r="O283" s="386">
        <v>1949287.4</v>
      </c>
      <c r="P283" s="386">
        <v>2434402.0499999998</v>
      </c>
      <c r="Q283" s="386">
        <v>191449.14</v>
      </c>
      <c r="R283" s="386">
        <v>1549727</v>
      </c>
      <c r="S283" s="371">
        <v>2174901.41</v>
      </c>
      <c r="T283" s="439">
        <f t="shared" si="29"/>
        <v>82104773.460000008</v>
      </c>
      <c r="U283" s="387">
        <v>74.5</v>
      </c>
      <c r="V283" s="390">
        <f>VLOOKUP(B283,'[1]2021'!$C:$D,2,FALSE)</f>
        <v>19721</v>
      </c>
      <c r="W283" s="436">
        <v>-698119.75</v>
      </c>
      <c r="X283" s="442"/>
      <c r="Y283" s="442">
        <v>-38688.300000000003</v>
      </c>
      <c r="Z283" s="447">
        <v>1.5</v>
      </c>
      <c r="AA283" s="484">
        <v>82104773.459999993</v>
      </c>
      <c r="AB283" s="484">
        <v>-698119.75</v>
      </c>
      <c r="AC283" s="484"/>
      <c r="AD283" s="484">
        <v>-38688.300000000003</v>
      </c>
      <c r="AE283" s="526">
        <f t="shared" si="30"/>
        <v>0</v>
      </c>
      <c r="AF283" s="526">
        <f t="shared" si="31"/>
        <v>0</v>
      </c>
      <c r="AG283" s="527">
        <f t="shared" si="32"/>
        <v>0</v>
      </c>
      <c r="AH283" s="527">
        <f t="shared" si="33"/>
        <v>0</v>
      </c>
      <c r="AI283" s="490">
        <v>19721</v>
      </c>
      <c r="AJ283" s="489">
        <f t="shared" si="34"/>
        <v>0</v>
      </c>
      <c r="AK283" s="490"/>
      <c r="AL283" s="490"/>
      <c r="AM283" s="490"/>
      <c r="AN283" s="490"/>
    </row>
    <row r="284" spans="1:40" x14ac:dyDescent="0.25">
      <c r="A284" s="332">
        <v>5891</v>
      </c>
      <c r="B284" s="460" t="s">
        <v>54</v>
      </c>
      <c r="C284" s="382">
        <v>1764304.9</v>
      </c>
      <c r="D284" s="382">
        <v>468885.77</v>
      </c>
      <c r="E284" s="380"/>
      <c r="F284" s="518"/>
      <c r="G284" s="382">
        <v>51815.5</v>
      </c>
      <c r="H284" s="382">
        <v>40143.25</v>
      </c>
      <c r="I284" s="382">
        <v>43104.95</v>
      </c>
      <c r="J284" s="382">
        <v>60495.839999999997</v>
      </c>
      <c r="K284" s="382">
        <v>15204.85</v>
      </c>
      <c r="L284" s="382">
        <v>442043.7</v>
      </c>
      <c r="M284" s="325">
        <f t="shared" si="28"/>
        <v>2885998.7600000002</v>
      </c>
      <c r="N284" s="386">
        <v>2689.3</v>
      </c>
      <c r="O284" s="386">
        <v>7716.2</v>
      </c>
      <c r="P284" s="386">
        <v>157602.6</v>
      </c>
      <c r="Q284" s="386">
        <v>9717.17</v>
      </c>
      <c r="R284" s="386">
        <v>94879.1</v>
      </c>
      <c r="S284" s="371">
        <v>10415.44</v>
      </c>
      <c r="T284" s="439">
        <f t="shared" si="29"/>
        <v>3169018.5700000003</v>
      </c>
      <c r="U284" s="387">
        <v>69.5</v>
      </c>
      <c r="V284" s="390">
        <f>VLOOKUP(B284,'[1]2021'!$C:$D,2,FALSE)</f>
        <v>952</v>
      </c>
      <c r="W284" s="436">
        <v>-38546.910000000003</v>
      </c>
      <c r="X284" s="442"/>
      <c r="Y284" s="442">
        <v>-1163.5</v>
      </c>
      <c r="Z284" s="447">
        <v>1.5</v>
      </c>
      <c r="AA284" s="484">
        <v>3169018.57</v>
      </c>
      <c r="AB284" s="484">
        <v>-38546.910000000003</v>
      </c>
      <c r="AC284" s="484"/>
      <c r="AD284" s="484">
        <v>-1163.5</v>
      </c>
      <c r="AE284" s="526">
        <f t="shared" si="30"/>
        <v>0</v>
      </c>
      <c r="AF284" s="526">
        <f t="shared" si="31"/>
        <v>0</v>
      </c>
      <c r="AG284" s="527">
        <f t="shared" si="32"/>
        <v>0</v>
      </c>
      <c r="AH284" s="527">
        <f t="shared" si="33"/>
        <v>0</v>
      </c>
      <c r="AI284" s="490">
        <v>952</v>
      </c>
      <c r="AJ284" s="489">
        <f t="shared" si="34"/>
        <v>0</v>
      </c>
      <c r="AK284" s="490"/>
      <c r="AL284" s="490"/>
      <c r="AM284" s="490"/>
      <c r="AN284" s="490"/>
    </row>
    <row r="285" spans="1:40" x14ac:dyDescent="0.25">
      <c r="A285" s="332">
        <v>5902</v>
      </c>
      <c r="B285" s="459" t="s">
        <v>55</v>
      </c>
      <c r="C285" s="382">
        <v>704432.73</v>
      </c>
      <c r="D285" s="382">
        <v>78514.210000000006</v>
      </c>
      <c r="E285" s="380"/>
      <c r="F285" s="518"/>
      <c r="G285" s="382">
        <v>2078.9</v>
      </c>
      <c r="H285" s="382">
        <v>75.55</v>
      </c>
      <c r="I285" s="382"/>
      <c r="J285" s="382">
        <v>2692.1</v>
      </c>
      <c r="K285" s="382"/>
      <c r="L285" s="382">
        <v>59786.55</v>
      </c>
      <c r="M285" s="325">
        <f t="shared" si="28"/>
        <v>847580.04</v>
      </c>
      <c r="N285" s="386"/>
      <c r="O285" s="386">
        <v>360.6</v>
      </c>
      <c r="P285" s="386">
        <v>41136.35</v>
      </c>
      <c r="Q285" s="386"/>
      <c r="R285" s="386">
        <v>21279.599999999999</v>
      </c>
      <c r="S285" s="371">
        <v>244.02</v>
      </c>
      <c r="T285" s="439">
        <f t="shared" si="29"/>
        <v>910600.61</v>
      </c>
      <c r="U285" s="387">
        <v>70</v>
      </c>
      <c r="V285" s="390">
        <f>VLOOKUP(B285,'[1]2021'!$C:$D,2,FALSE)</f>
        <v>415</v>
      </c>
      <c r="W285" s="436">
        <v>-47.61</v>
      </c>
      <c r="X285" s="442"/>
      <c r="Y285" s="442">
        <v>-135.94999999999999</v>
      </c>
      <c r="Z285" s="447">
        <v>1</v>
      </c>
      <c r="AA285" s="484">
        <v>910600.6100000001</v>
      </c>
      <c r="AB285" s="484">
        <v>-47.61</v>
      </c>
      <c r="AC285" s="484"/>
      <c r="AD285" s="484">
        <v>-135.94999999999999</v>
      </c>
      <c r="AE285" s="526">
        <f t="shared" si="30"/>
        <v>0</v>
      </c>
      <c r="AF285" s="526">
        <f t="shared" si="31"/>
        <v>0</v>
      </c>
      <c r="AG285" s="527">
        <f t="shared" si="32"/>
        <v>0</v>
      </c>
      <c r="AH285" s="527">
        <f t="shared" si="33"/>
        <v>0</v>
      </c>
      <c r="AI285" s="490">
        <v>415</v>
      </c>
      <c r="AJ285" s="489">
        <f t="shared" si="34"/>
        <v>0</v>
      </c>
      <c r="AK285" s="490"/>
      <c r="AL285" s="490"/>
      <c r="AM285" s="490"/>
      <c r="AN285" s="490"/>
    </row>
    <row r="286" spans="1:40" x14ac:dyDescent="0.25">
      <c r="A286" s="332">
        <v>5903</v>
      </c>
      <c r="B286" s="459" t="s">
        <v>56</v>
      </c>
      <c r="C286" s="382">
        <v>359994.44</v>
      </c>
      <c r="D286" s="382">
        <v>41342.26</v>
      </c>
      <c r="E286" s="380"/>
      <c r="F286" s="518"/>
      <c r="G286" s="382">
        <v>-2390.1</v>
      </c>
      <c r="H286" s="382">
        <v>273</v>
      </c>
      <c r="I286" s="382"/>
      <c r="J286" s="382">
        <v>711.72</v>
      </c>
      <c r="K286" s="382"/>
      <c r="L286" s="382">
        <v>27100.35</v>
      </c>
      <c r="M286" s="325">
        <f t="shared" si="28"/>
        <v>427031.67</v>
      </c>
      <c r="N286" s="386">
        <v>35867.85</v>
      </c>
      <c r="O286" s="386"/>
      <c r="P286" s="386"/>
      <c r="Q286" s="386"/>
      <c r="R286" s="386"/>
      <c r="S286" s="371">
        <v>-239.79</v>
      </c>
      <c r="T286" s="439">
        <f t="shared" si="29"/>
        <v>462659.73</v>
      </c>
      <c r="U286" s="387">
        <v>72</v>
      </c>
      <c r="V286" s="390">
        <f>VLOOKUP(B286,'[1]2021'!$C:$D,2,FALSE)</f>
        <v>234</v>
      </c>
      <c r="W286" s="436">
        <v>-2000.24</v>
      </c>
      <c r="X286" s="442"/>
      <c r="Y286" s="442">
        <v>-143.72</v>
      </c>
      <c r="Z286" s="447">
        <v>0.7</v>
      </c>
      <c r="AA286" s="484">
        <v>462659.73</v>
      </c>
      <c r="AB286" s="484">
        <v>-2000.24</v>
      </c>
      <c r="AC286" s="484"/>
      <c r="AD286" s="484">
        <v>-143.72</v>
      </c>
      <c r="AE286" s="526">
        <f t="shared" si="30"/>
        <v>0</v>
      </c>
      <c r="AF286" s="526">
        <f t="shared" si="31"/>
        <v>0</v>
      </c>
      <c r="AG286" s="527">
        <f t="shared" si="32"/>
        <v>0</v>
      </c>
      <c r="AH286" s="527">
        <f t="shared" si="33"/>
        <v>0</v>
      </c>
      <c r="AI286" s="490">
        <v>234</v>
      </c>
      <c r="AJ286" s="489">
        <f t="shared" si="34"/>
        <v>0</v>
      </c>
      <c r="AK286" s="490"/>
      <c r="AL286" s="490"/>
      <c r="AM286" s="490"/>
      <c r="AN286" s="490"/>
    </row>
    <row r="287" spans="1:40" x14ac:dyDescent="0.25">
      <c r="A287" s="332">
        <v>5904</v>
      </c>
      <c r="B287" s="459" t="s">
        <v>57</v>
      </c>
      <c r="C287" s="382">
        <v>1155619.8999999999</v>
      </c>
      <c r="D287" s="382">
        <v>166690.88</v>
      </c>
      <c r="E287" s="380"/>
      <c r="F287" s="518"/>
      <c r="G287" s="382">
        <v>17248.7</v>
      </c>
      <c r="H287" s="382">
        <v>656.05</v>
      </c>
      <c r="I287" s="382"/>
      <c r="J287" s="382">
        <v>27953.1</v>
      </c>
      <c r="K287" s="382">
        <v>1431.65</v>
      </c>
      <c r="L287" s="382">
        <v>97989.1</v>
      </c>
      <c r="M287" s="325">
        <f t="shared" si="28"/>
        <v>1467589.38</v>
      </c>
      <c r="N287" s="386">
        <v>32442.95</v>
      </c>
      <c r="O287" s="386"/>
      <c r="P287" s="386">
        <v>34131.1</v>
      </c>
      <c r="Q287" s="386"/>
      <c r="R287" s="386">
        <v>12514</v>
      </c>
      <c r="S287" s="371">
        <v>2027.93</v>
      </c>
      <c r="T287" s="439">
        <f t="shared" si="29"/>
        <v>1548705.3599999999</v>
      </c>
      <c r="U287" s="387">
        <v>66</v>
      </c>
      <c r="V287" s="390">
        <f>VLOOKUP(B287,'[1]2021'!$C:$D,2,FALSE)</f>
        <v>561</v>
      </c>
      <c r="W287" s="436">
        <v>-5642.34</v>
      </c>
      <c r="X287" s="442"/>
      <c r="Y287" s="442">
        <v>-212.77</v>
      </c>
      <c r="Z287" s="447">
        <v>1</v>
      </c>
      <c r="AA287" s="484">
        <v>1548705.36</v>
      </c>
      <c r="AB287" s="484">
        <v>-5642.34</v>
      </c>
      <c r="AC287" s="484"/>
      <c r="AD287" s="484">
        <v>-212.77</v>
      </c>
      <c r="AE287" s="526">
        <f t="shared" si="30"/>
        <v>0</v>
      </c>
      <c r="AF287" s="526">
        <f t="shared" si="31"/>
        <v>0</v>
      </c>
      <c r="AG287" s="527">
        <f t="shared" si="32"/>
        <v>0</v>
      </c>
      <c r="AH287" s="527">
        <f t="shared" si="33"/>
        <v>0</v>
      </c>
      <c r="AI287" s="490">
        <v>561</v>
      </c>
      <c r="AJ287" s="489">
        <f t="shared" si="34"/>
        <v>0</v>
      </c>
      <c r="AK287" s="490"/>
      <c r="AL287" s="490"/>
      <c r="AM287" s="490"/>
      <c r="AN287" s="490"/>
    </row>
    <row r="288" spans="1:40" x14ac:dyDescent="0.25">
      <c r="A288" s="332">
        <v>5905</v>
      </c>
      <c r="B288" s="459" t="s">
        <v>58</v>
      </c>
      <c r="C288" s="382">
        <v>1120660.1000000001</v>
      </c>
      <c r="D288" s="382">
        <v>196376.23</v>
      </c>
      <c r="E288" s="380"/>
      <c r="F288" s="518"/>
      <c r="G288" s="382">
        <v>153171.5</v>
      </c>
      <c r="H288" s="382">
        <v>7342.75</v>
      </c>
      <c r="I288" s="382"/>
      <c r="J288" s="382">
        <v>27902.33</v>
      </c>
      <c r="K288" s="382">
        <v>3104.55</v>
      </c>
      <c r="L288" s="529">
        <v>103440.55</v>
      </c>
      <c r="M288" s="325">
        <f t="shared" si="28"/>
        <v>1611998.0100000002</v>
      </c>
      <c r="N288" s="386">
        <v>273258</v>
      </c>
      <c r="O288" s="386"/>
      <c r="P288" s="386">
        <v>66973.7</v>
      </c>
      <c r="Q288" s="386">
        <v>465.13</v>
      </c>
      <c r="R288" s="386">
        <v>118583.65</v>
      </c>
      <c r="S288" s="371">
        <v>18180.189999999999</v>
      </c>
      <c r="T288" s="439">
        <f t="shared" si="29"/>
        <v>2089458.68</v>
      </c>
      <c r="U288" s="387">
        <v>70</v>
      </c>
      <c r="V288" s="390">
        <f>VLOOKUP(B288,'[1]2021'!$C:$D,2,FALSE)</f>
        <v>712</v>
      </c>
      <c r="W288" s="436">
        <v>-3492.36</v>
      </c>
      <c r="X288" s="442"/>
      <c r="Y288" s="442">
        <v>-614.89</v>
      </c>
      <c r="Z288" s="447">
        <v>1</v>
      </c>
      <c r="AA288" s="484"/>
      <c r="AB288" s="484"/>
      <c r="AC288" s="484"/>
      <c r="AD288" s="484"/>
      <c r="AE288" s="526">
        <f t="shared" si="30"/>
        <v>2089458.68</v>
      </c>
      <c r="AF288" s="526">
        <f t="shared" si="31"/>
        <v>3492.36</v>
      </c>
      <c r="AG288" s="527">
        <f t="shared" si="32"/>
        <v>0</v>
      </c>
      <c r="AH288" s="527">
        <f t="shared" si="33"/>
        <v>614.89</v>
      </c>
      <c r="AI288" s="490">
        <v>712</v>
      </c>
      <c r="AJ288" s="489">
        <f t="shared" si="34"/>
        <v>0</v>
      </c>
      <c r="AK288" s="490"/>
      <c r="AL288" s="490"/>
      <c r="AM288" s="490"/>
      <c r="AN288" s="490"/>
    </row>
    <row r="289" spans="1:40" x14ac:dyDescent="0.25">
      <c r="A289" s="332">
        <v>5907</v>
      </c>
      <c r="B289" s="459" t="s">
        <v>59</v>
      </c>
      <c r="C289" s="382">
        <v>496341.2</v>
      </c>
      <c r="D289" s="382">
        <v>50665.05</v>
      </c>
      <c r="E289" s="380"/>
      <c r="F289" s="518">
        <v>2030</v>
      </c>
      <c r="G289" s="382">
        <v>1168.05</v>
      </c>
      <c r="H289" s="382">
        <v>-344</v>
      </c>
      <c r="I289" s="382"/>
      <c r="J289" s="382">
        <v>-9093.52</v>
      </c>
      <c r="K289" s="382">
        <v>520.70000000000005</v>
      </c>
      <c r="L289" s="382">
        <v>48075.75</v>
      </c>
      <c r="M289" s="325">
        <f t="shared" si="28"/>
        <v>589363.23</v>
      </c>
      <c r="N289" s="386">
        <v>8695.1</v>
      </c>
      <c r="O289" s="386"/>
      <c r="P289" s="386">
        <v>10435.35</v>
      </c>
      <c r="Q289" s="386"/>
      <c r="R289" s="386">
        <v>9770</v>
      </c>
      <c r="S289" s="371">
        <v>93.33</v>
      </c>
      <c r="T289" s="439">
        <f t="shared" si="29"/>
        <v>618357.00999999989</v>
      </c>
      <c r="U289" s="387">
        <v>75</v>
      </c>
      <c r="V289" s="390">
        <f>VLOOKUP(B289,'[1]2021'!$C:$D,2,FALSE)</f>
        <v>325</v>
      </c>
      <c r="W289" s="436">
        <v>-3075.95</v>
      </c>
      <c r="X289" s="442"/>
      <c r="Y289" s="442">
        <v>-4.53</v>
      </c>
      <c r="Z289" s="447">
        <v>1</v>
      </c>
      <c r="AA289" s="484">
        <v>618357.01</v>
      </c>
      <c r="AB289" s="484">
        <v>-3075.95</v>
      </c>
      <c r="AC289" s="484"/>
      <c r="AD289" s="484">
        <v>-4.53</v>
      </c>
      <c r="AE289" s="526">
        <f t="shared" si="30"/>
        <v>0</v>
      </c>
      <c r="AF289" s="526">
        <f t="shared" si="31"/>
        <v>0</v>
      </c>
      <c r="AG289" s="527">
        <f t="shared" si="32"/>
        <v>0</v>
      </c>
      <c r="AH289" s="527">
        <f t="shared" si="33"/>
        <v>0</v>
      </c>
      <c r="AI289" s="490">
        <v>325</v>
      </c>
      <c r="AJ289" s="489">
        <f t="shared" si="34"/>
        <v>0</v>
      </c>
      <c r="AK289" s="490"/>
      <c r="AL289" s="490"/>
      <c r="AM289" s="490"/>
      <c r="AN289" s="490"/>
    </row>
    <row r="290" spans="1:40" x14ac:dyDescent="0.25">
      <c r="A290" s="332">
        <v>5908</v>
      </c>
      <c r="B290" s="459" t="s">
        <v>60</v>
      </c>
      <c r="C290" s="382">
        <v>261879.2</v>
      </c>
      <c r="D290" s="382">
        <v>47070.62</v>
      </c>
      <c r="E290" s="380"/>
      <c r="F290" s="518"/>
      <c r="G290" s="382">
        <v>10549.75</v>
      </c>
      <c r="H290" s="382">
        <v>-162.94999999999999</v>
      </c>
      <c r="I290" s="382"/>
      <c r="J290" s="382">
        <v>11594.65</v>
      </c>
      <c r="K290" s="382">
        <v>662.95</v>
      </c>
      <c r="L290" s="382">
        <v>23047.35</v>
      </c>
      <c r="M290" s="325">
        <f t="shared" si="28"/>
        <v>354641.57</v>
      </c>
      <c r="N290" s="386">
        <v>436.2</v>
      </c>
      <c r="O290" s="386">
        <v>8555.2000000000007</v>
      </c>
      <c r="P290" s="386">
        <v>4400</v>
      </c>
      <c r="Q290" s="386"/>
      <c r="R290" s="386">
        <v>1651.25</v>
      </c>
      <c r="S290" s="371">
        <v>1176.43</v>
      </c>
      <c r="T290" s="439">
        <f t="shared" si="29"/>
        <v>370860.65</v>
      </c>
      <c r="U290" s="387">
        <v>79</v>
      </c>
      <c r="V290" s="390">
        <f>VLOOKUP(B290,'[1]2021'!$C:$D,2,FALSE)</f>
        <v>153</v>
      </c>
      <c r="W290" s="436">
        <v>-7072.3</v>
      </c>
      <c r="X290" s="442"/>
      <c r="Y290" s="442">
        <v>-49.33</v>
      </c>
      <c r="Z290" s="447">
        <v>1</v>
      </c>
      <c r="AA290" s="484">
        <v>370860.65</v>
      </c>
      <c r="AB290" s="484">
        <v>-7072.3</v>
      </c>
      <c r="AC290" s="484"/>
      <c r="AD290" s="484">
        <v>-49.33</v>
      </c>
      <c r="AE290" s="526">
        <f t="shared" si="30"/>
        <v>0</v>
      </c>
      <c r="AF290" s="526">
        <f t="shared" si="31"/>
        <v>0</v>
      </c>
      <c r="AG290" s="527">
        <f t="shared" si="32"/>
        <v>0</v>
      </c>
      <c r="AH290" s="527">
        <f t="shared" si="33"/>
        <v>0</v>
      </c>
      <c r="AI290" s="490">
        <v>153</v>
      </c>
      <c r="AJ290" s="489">
        <f t="shared" si="34"/>
        <v>0</v>
      </c>
      <c r="AK290" s="490"/>
      <c r="AL290" s="490"/>
      <c r="AM290" s="490"/>
      <c r="AN290" s="490"/>
    </row>
    <row r="291" spans="1:40" x14ac:dyDescent="0.25">
      <c r="A291" s="332">
        <v>5909</v>
      </c>
      <c r="B291" s="459" t="s">
        <v>61</v>
      </c>
      <c r="C291" s="382">
        <v>1906338.17</v>
      </c>
      <c r="D291" s="382">
        <v>386515.57</v>
      </c>
      <c r="E291" s="380"/>
      <c r="F291" s="518"/>
      <c r="G291" s="382">
        <v>-10397.5</v>
      </c>
      <c r="H291" s="382">
        <v>1923.55</v>
      </c>
      <c r="I291" s="382"/>
      <c r="J291" s="382">
        <v>25369.15</v>
      </c>
      <c r="K291" s="382">
        <v>768.05</v>
      </c>
      <c r="L291" s="382">
        <v>163216.22</v>
      </c>
      <c r="M291" s="325">
        <f t="shared" si="28"/>
        <v>2473733.2099999995</v>
      </c>
      <c r="N291" s="386">
        <v>7393.8</v>
      </c>
      <c r="O291" s="386">
        <v>15566.6</v>
      </c>
      <c r="P291" s="386">
        <v>112643.65</v>
      </c>
      <c r="Q291" s="386">
        <v>2108.14</v>
      </c>
      <c r="R291" s="386">
        <v>137179.85</v>
      </c>
      <c r="S291" s="371">
        <v>-959.78</v>
      </c>
      <c r="T291" s="439">
        <f t="shared" si="29"/>
        <v>2747665.4699999997</v>
      </c>
      <c r="U291" s="387">
        <v>67</v>
      </c>
      <c r="V291" s="390">
        <f>VLOOKUP(B291,'[1]2021'!$C:$D,2,FALSE)</f>
        <v>728</v>
      </c>
      <c r="W291" s="436">
        <v>-1915.8</v>
      </c>
      <c r="X291" s="442"/>
      <c r="Y291" s="442">
        <v>-761.37</v>
      </c>
      <c r="Z291" s="447">
        <v>1</v>
      </c>
      <c r="AA291" s="484">
        <v>2747665.47</v>
      </c>
      <c r="AB291" s="484">
        <v>-1915.8</v>
      </c>
      <c r="AC291" s="484"/>
      <c r="AD291" s="484">
        <v>-761.37</v>
      </c>
      <c r="AE291" s="526">
        <f t="shared" si="30"/>
        <v>0</v>
      </c>
      <c r="AF291" s="526">
        <f t="shared" si="31"/>
        <v>0</v>
      </c>
      <c r="AG291" s="527">
        <f t="shared" si="32"/>
        <v>0</v>
      </c>
      <c r="AH291" s="527">
        <f t="shared" si="33"/>
        <v>0</v>
      </c>
      <c r="AI291" s="490">
        <v>728</v>
      </c>
      <c r="AJ291" s="489">
        <f t="shared" si="34"/>
        <v>0</v>
      </c>
      <c r="AK291" s="490"/>
      <c r="AL291" s="490"/>
      <c r="AM291" s="490"/>
      <c r="AN291" s="490"/>
    </row>
    <row r="292" spans="1:40" x14ac:dyDescent="0.25">
      <c r="A292" s="332">
        <v>5910</v>
      </c>
      <c r="B292" s="459" t="s">
        <v>62</v>
      </c>
      <c r="C292" s="382">
        <v>666922.73</v>
      </c>
      <c r="D292" s="382">
        <v>84650.86</v>
      </c>
      <c r="E292" s="380"/>
      <c r="F292" s="518">
        <v>2200</v>
      </c>
      <c r="G292" s="382">
        <v>9787.2000000000007</v>
      </c>
      <c r="H292" s="382">
        <v>127.8</v>
      </c>
      <c r="I292" s="382"/>
      <c r="J292" s="382">
        <v>8599.1200000000008</v>
      </c>
      <c r="K292" s="382"/>
      <c r="L292" s="382">
        <v>61018</v>
      </c>
      <c r="M292" s="325">
        <f t="shared" si="28"/>
        <v>833305.71</v>
      </c>
      <c r="N292" s="386"/>
      <c r="O292" s="386"/>
      <c r="P292" s="386">
        <v>44207.8</v>
      </c>
      <c r="Q292" s="386"/>
      <c r="R292" s="386">
        <v>13554.7</v>
      </c>
      <c r="S292" s="371">
        <v>1122.99</v>
      </c>
      <c r="T292" s="439">
        <f t="shared" si="29"/>
        <v>892191.2</v>
      </c>
      <c r="U292" s="387">
        <v>77</v>
      </c>
      <c r="V292" s="390">
        <f>VLOOKUP(B292,'[1]2021'!$C:$D,2,FALSE)</f>
        <v>403</v>
      </c>
      <c r="W292" s="515">
        <v>-18196.66</v>
      </c>
      <c r="X292" s="442"/>
      <c r="Y292" s="442">
        <v>0</v>
      </c>
      <c r="Z292" s="447">
        <v>1</v>
      </c>
      <c r="AA292" s="484">
        <f>889991.2+2200</f>
        <v>892191.2</v>
      </c>
      <c r="AB292" s="484">
        <v>-18196.66</v>
      </c>
      <c r="AC292" s="484"/>
      <c r="AD292" s="484">
        <v>0</v>
      </c>
      <c r="AE292" s="526">
        <f t="shared" si="30"/>
        <v>0</v>
      </c>
      <c r="AF292" s="526">
        <f t="shared" si="31"/>
        <v>0</v>
      </c>
      <c r="AG292" s="527">
        <f t="shared" si="32"/>
        <v>0</v>
      </c>
      <c r="AH292" s="527">
        <f t="shared" si="33"/>
        <v>0</v>
      </c>
      <c r="AI292" s="490">
        <v>403</v>
      </c>
      <c r="AJ292" s="489">
        <f t="shared" si="34"/>
        <v>0</v>
      </c>
      <c r="AK292" s="490"/>
      <c r="AL292" s="490"/>
      <c r="AM292" s="490"/>
      <c r="AN292" s="490"/>
    </row>
    <row r="293" spans="1:40" x14ac:dyDescent="0.25">
      <c r="A293" s="332">
        <v>5911</v>
      </c>
      <c r="B293" s="459" t="s">
        <v>63</v>
      </c>
      <c r="C293" s="382">
        <v>467737.02</v>
      </c>
      <c r="D293" s="382">
        <v>64690.2</v>
      </c>
      <c r="E293" s="380"/>
      <c r="F293" s="518">
        <v>1390</v>
      </c>
      <c r="G293" s="382">
        <v>7413.25</v>
      </c>
      <c r="H293" s="382">
        <v>-303.89999999999998</v>
      </c>
      <c r="I293" s="382"/>
      <c r="J293" s="382">
        <v>1364.8</v>
      </c>
      <c r="K293" s="382">
        <v>2738.5</v>
      </c>
      <c r="L293" s="382">
        <v>35287.1</v>
      </c>
      <c r="M293" s="325">
        <f t="shared" si="28"/>
        <v>580316.97</v>
      </c>
      <c r="N293" s="386">
        <v>1009.45</v>
      </c>
      <c r="O293" s="386">
        <v>1676.5</v>
      </c>
      <c r="P293" s="386">
        <v>18095.45</v>
      </c>
      <c r="Q293" s="386"/>
      <c r="R293" s="386">
        <v>28123.95</v>
      </c>
      <c r="S293" s="371">
        <v>805.22</v>
      </c>
      <c r="T293" s="439">
        <f t="shared" si="29"/>
        <v>630027.5399999998</v>
      </c>
      <c r="U293" s="387">
        <v>77</v>
      </c>
      <c r="V293" s="390">
        <f>VLOOKUP(B293,'[1]2021'!$C:$D,2,FALSE)</f>
        <v>245</v>
      </c>
      <c r="W293" s="436">
        <v>-2706.69</v>
      </c>
      <c r="X293" s="442"/>
      <c r="Y293" s="442">
        <v>-600.22</v>
      </c>
      <c r="Z293" s="447">
        <v>1</v>
      </c>
      <c r="AA293" s="484">
        <f>628637.54+1390</f>
        <v>630027.54</v>
      </c>
      <c r="AB293" s="484">
        <v>-2706.69</v>
      </c>
      <c r="AC293" s="484"/>
      <c r="AD293" s="484">
        <v>-600.22</v>
      </c>
      <c r="AE293" s="526">
        <f t="shared" si="30"/>
        <v>0</v>
      </c>
      <c r="AF293" s="526">
        <f t="shared" si="31"/>
        <v>0</v>
      </c>
      <c r="AG293" s="527">
        <f t="shared" si="32"/>
        <v>0</v>
      </c>
      <c r="AH293" s="527">
        <f t="shared" si="33"/>
        <v>0</v>
      </c>
      <c r="AI293" s="490">
        <v>245</v>
      </c>
      <c r="AJ293" s="489">
        <f t="shared" si="34"/>
        <v>0</v>
      </c>
      <c r="AK293" s="490"/>
      <c r="AL293" s="490"/>
      <c r="AM293" s="490"/>
      <c r="AN293" s="490"/>
    </row>
    <row r="294" spans="1:40" x14ac:dyDescent="0.25">
      <c r="A294" s="332">
        <v>5912</v>
      </c>
      <c r="B294" s="459" t="s">
        <v>64</v>
      </c>
      <c r="C294" s="382">
        <v>328189.94</v>
      </c>
      <c r="D294" s="382">
        <v>22756.41</v>
      </c>
      <c r="E294" s="380"/>
      <c r="F294" s="533">
        <v>880</v>
      </c>
      <c r="G294" s="382">
        <v>3576.9</v>
      </c>
      <c r="H294" s="382">
        <v>379.75</v>
      </c>
      <c r="I294" s="382"/>
      <c r="J294" s="382">
        <v>6624.13</v>
      </c>
      <c r="K294" s="382"/>
      <c r="L294" s="382">
        <v>21877.3</v>
      </c>
      <c r="M294" s="325">
        <f t="shared" si="28"/>
        <v>384284.43</v>
      </c>
      <c r="N294" s="386">
        <v>3569.75</v>
      </c>
      <c r="O294" s="386"/>
      <c r="P294" s="386">
        <v>20262.2</v>
      </c>
      <c r="Q294" s="386"/>
      <c r="R294" s="386">
        <v>11314.3</v>
      </c>
      <c r="S294" s="371">
        <v>448.14</v>
      </c>
      <c r="T294" s="439">
        <f t="shared" si="29"/>
        <v>419878.82</v>
      </c>
      <c r="U294" s="387">
        <v>81</v>
      </c>
      <c r="V294" s="390">
        <f>VLOOKUP(B294,'[1]2021'!$C:$D,2,FALSE)</f>
        <v>164</v>
      </c>
      <c r="W294" s="436">
        <v>-2205.6</v>
      </c>
      <c r="X294" s="442"/>
      <c r="Y294" s="442">
        <v>0</v>
      </c>
      <c r="Z294" s="447">
        <v>1</v>
      </c>
      <c r="AA294" s="484">
        <v>419878.82</v>
      </c>
      <c r="AB294" s="484">
        <v>-2205.6</v>
      </c>
      <c r="AC294" s="484"/>
      <c r="AD294" s="484">
        <v>0</v>
      </c>
      <c r="AE294" s="526">
        <f t="shared" si="30"/>
        <v>0</v>
      </c>
      <c r="AF294" s="526">
        <f t="shared" si="31"/>
        <v>0</v>
      </c>
      <c r="AG294" s="527">
        <f t="shared" si="32"/>
        <v>0</v>
      </c>
      <c r="AH294" s="527">
        <f t="shared" si="33"/>
        <v>0</v>
      </c>
      <c r="AI294" s="490">
        <v>164</v>
      </c>
      <c r="AJ294" s="489">
        <f t="shared" si="34"/>
        <v>0</v>
      </c>
      <c r="AK294" s="490"/>
      <c r="AL294" s="490"/>
      <c r="AM294" s="490"/>
      <c r="AN294" s="490"/>
    </row>
    <row r="295" spans="1:40" x14ac:dyDescent="0.25">
      <c r="A295" s="332">
        <v>5913</v>
      </c>
      <c r="B295" s="459" t="s">
        <v>65</v>
      </c>
      <c r="C295" s="382">
        <v>1421452.94</v>
      </c>
      <c r="D295" s="382">
        <v>191745.01</v>
      </c>
      <c r="E295" s="380"/>
      <c r="F295" s="518"/>
      <c r="G295" s="382">
        <v>3323.85</v>
      </c>
      <c r="H295" s="382">
        <v>171.85</v>
      </c>
      <c r="I295" s="382"/>
      <c r="J295" s="382">
        <v>21753.759999999998</v>
      </c>
      <c r="K295" s="382">
        <v>1585.35</v>
      </c>
      <c r="L295" s="382">
        <v>121723</v>
      </c>
      <c r="M295" s="325">
        <f t="shared" si="28"/>
        <v>1761755.7600000002</v>
      </c>
      <c r="N295" s="386">
        <v>29277.45</v>
      </c>
      <c r="O295" s="386">
        <v>4630.3</v>
      </c>
      <c r="P295" s="386">
        <v>91602.5</v>
      </c>
      <c r="Q295" s="386"/>
      <c r="R295" s="386">
        <v>47018.9</v>
      </c>
      <c r="S295" s="371">
        <v>395.93</v>
      </c>
      <c r="T295" s="439">
        <f t="shared" si="29"/>
        <v>1934680.84</v>
      </c>
      <c r="U295" s="387">
        <v>73</v>
      </c>
      <c r="V295" s="390">
        <f>VLOOKUP(B295,'[1]2021'!$C:$D,2,FALSE)</f>
        <v>891</v>
      </c>
      <c r="W295" s="436">
        <v>-17825.29</v>
      </c>
      <c r="X295" s="442"/>
      <c r="Y295" s="442">
        <v>-113.86</v>
      </c>
      <c r="Z295" s="447">
        <v>1</v>
      </c>
      <c r="AA295" s="484">
        <f>1932076.84+2604</f>
        <v>1934680.84</v>
      </c>
      <c r="AB295" s="484">
        <v>-17825.29</v>
      </c>
      <c r="AC295" s="484"/>
      <c r="AD295" s="484">
        <v>-113.86</v>
      </c>
      <c r="AE295" s="526">
        <f t="shared" si="30"/>
        <v>0</v>
      </c>
      <c r="AF295" s="526">
        <f t="shared" si="31"/>
        <v>0</v>
      </c>
      <c r="AG295" s="527">
        <f t="shared" si="32"/>
        <v>0</v>
      </c>
      <c r="AH295" s="527">
        <f t="shared" si="33"/>
        <v>0</v>
      </c>
      <c r="AI295" s="490">
        <v>891</v>
      </c>
      <c r="AJ295" s="489">
        <f t="shared" si="34"/>
        <v>0</v>
      </c>
      <c r="AK295" s="490"/>
      <c r="AL295" s="490"/>
      <c r="AM295" s="490"/>
      <c r="AN295" s="490"/>
    </row>
    <row r="296" spans="1:40" x14ac:dyDescent="0.25">
      <c r="A296" s="332">
        <v>5914</v>
      </c>
      <c r="B296" s="459" t="s">
        <v>66</v>
      </c>
      <c r="C296" s="382">
        <v>562856.05000000005</v>
      </c>
      <c r="D296" s="382">
        <v>63058.61</v>
      </c>
      <c r="E296" s="380"/>
      <c r="F296" s="518">
        <v>2290</v>
      </c>
      <c r="G296" s="382">
        <v>14313.7</v>
      </c>
      <c r="H296" s="382">
        <v>6594.85</v>
      </c>
      <c r="I296" s="382"/>
      <c r="J296" s="382">
        <v>7438.26</v>
      </c>
      <c r="K296" s="382">
        <v>8081.45</v>
      </c>
      <c r="L296" s="382">
        <v>64880.15</v>
      </c>
      <c r="M296" s="325">
        <f t="shared" si="28"/>
        <v>729513.07</v>
      </c>
      <c r="N296" s="386">
        <v>11708.55</v>
      </c>
      <c r="O296" s="386">
        <v>44453.2</v>
      </c>
      <c r="P296" s="386">
        <v>42893</v>
      </c>
      <c r="Q296" s="386">
        <v>2446.0500000000002</v>
      </c>
      <c r="R296" s="386">
        <v>33599.1</v>
      </c>
      <c r="S296" s="371">
        <v>2368.15</v>
      </c>
      <c r="T296" s="439">
        <f t="shared" si="29"/>
        <v>866981.12</v>
      </c>
      <c r="U296" s="387">
        <v>73.5</v>
      </c>
      <c r="V296" s="390">
        <f>VLOOKUP(B296,'[1]2021'!$C:$D,2,FALSE)</f>
        <v>381</v>
      </c>
      <c r="W296" s="436">
        <v>-11855.03</v>
      </c>
      <c r="X296" s="442"/>
      <c r="Y296" s="442">
        <v>-3.01</v>
      </c>
      <c r="Z296" s="447">
        <v>1</v>
      </c>
      <c r="AA296" s="484">
        <v>866981.12</v>
      </c>
      <c r="AB296" s="484">
        <v>-11855.03</v>
      </c>
      <c r="AC296" s="484"/>
      <c r="AD296" s="484">
        <v>-3.01</v>
      </c>
      <c r="AE296" s="526">
        <f t="shared" si="30"/>
        <v>0</v>
      </c>
      <c r="AF296" s="526">
        <f t="shared" si="31"/>
        <v>0</v>
      </c>
      <c r="AG296" s="527">
        <f t="shared" si="32"/>
        <v>0</v>
      </c>
      <c r="AH296" s="527">
        <f t="shared" si="33"/>
        <v>0</v>
      </c>
      <c r="AI296" s="490">
        <v>381</v>
      </c>
      <c r="AJ296" s="489">
        <f t="shared" si="34"/>
        <v>0</v>
      </c>
      <c r="AK296" s="490"/>
      <c r="AL296" s="490"/>
      <c r="AM296" s="490"/>
      <c r="AN296" s="490"/>
    </row>
    <row r="297" spans="1:40" x14ac:dyDescent="0.25">
      <c r="A297" s="332">
        <v>5919</v>
      </c>
      <c r="B297" s="459" t="s">
        <v>382</v>
      </c>
      <c r="C297" s="382">
        <v>1068836.4099999999</v>
      </c>
      <c r="D297" s="382">
        <v>131687.44</v>
      </c>
      <c r="E297" s="380"/>
      <c r="F297" s="530">
        <v>3860</v>
      </c>
      <c r="G297" s="382">
        <v>13343.9</v>
      </c>
      <c r="H297" s="382">
        <v>412.75</v>
      </c>
      <c r="I297" s="382"/>
      <c r="J297" s="382">
        <v>23681.83</v>
      </c>
      <c r="K297" s="382">
        <v>9487.2999999999993</v>
      </c>
      <c r="L297" s="382">
        <v>140517.9</v>
      </c>
      <c r="M297" s="325">
        <f t="shared" si="28"/>
        <v>1391827.5299999998</v>
      </c>
      <c r="N297" s="386">
        <v>11130.05</v>
      </c>
      <c r="O297" s="386"/>
      <c r="P297" s="386">
        <v>59761.5</v>
      </c>
      <c r="Q297" s="386">
        <v>1659.81</v>
      </c>
      <c r="R297" s="386">
        <v>29137.5</v>
      </c>
      <c r="S297" s="371">
        <v>1558.11</v>
      </c>
      <c r="T297" s="439">
        <f t="shared" si="29"/>
        <v>1495074.5</v>
      </c>
      <c r="U297" s="387">
        <v>72</v>
      </c>
      <c r="V297" s="390">
        <f>VLOOKUP(B297,'[1]2021'!$C:$D,2,FALSE)</f>
        <v>655</v>
      </c>
      <c r="W297" s="436">
        <v>-26247.29</v>
      </c>
      <c r="X297" s="442"/>
      <c r="Y297" s="442">
        <v>-66.72</v>
      </c>
      <c r="Z297" s="447">
        <v>1.2</v>
      </c>
      <c r="AA297" s="484">
        <v>1495074.5</v>
      </c>
      <c r="AB297" s="484">
        <v>-26247.29</v>
      </c>
      <c r="AC297" s="484"/>
      <c r="AD297" s="484">
        <v>-66.72</v>
      </c>
      <c r="AE297" s="526">
        <f t="shared" si="30"/>
        <v>0</v>
      </c>
      <c r="AF297" s="526">
        <f t="shared" si="31"/>
        <v>0</v>
      </c>
      <c r="AG297" s="527">
        <f t="shared" si="32"/>
        <v>0</v>
      </c>
      <c r="AH297" s="527">
        <f t="shared" si="33"/>
        <v>0</v>
      </c>
      <c r="AI297" s="490">
        <v>655</v>
      </c>
      <c r="AJ297" s="489">
        <f t="shared" si="34"/>
        <v>0</v>
      </c>
      <c r="AK297" s="490"/>
      <c r="AL297" s="490"/>
      <c r="AM297" s="490"/>
      <c r="AN297" s="490"/>
    </row>
    <row r="298" spans="1:40" x14ac:dyDescent="0.25">
      <c r="A298" s="332">
        <v>5921</v>
      </c>
      <c r="B298" s="459" t="s">
        <v>383</v>
      </c>
      <c r="C298" s="382">
        <v>397762.94</v>
      </c>
      <c r="D298" s="382">
        <v>36064.5</v>
      </c>
      <c r="E298" s="380"/>
      <c r="F298" s="518">
        <v>1420.9</v>
      </c>
      <c r="G298" s="382">
        <v>10495.15</v>
      </c>
      <c r="H298" s="382">
        <v>732.4</v>
      </c>
      <c r="I298" s="382"/>
      <c r="J298" s="382">
        <v>12004.38</v>
      </c>
      <c r="K298" s="382"/>
      <c r="L298" s="382">
        <v>34416.65</v>
      </c>
      <c r="M298" s="325">
        <f t="shared" si="28"/>
        <v>492896.9200000001</v>
      </c>
      <c r="N298" s="386">
        <v>8046.65</v>
      </c>
      <c r="O298" s="386">
        <v>3618.6</v>
      </c>
      <c r="P298" s="386">
        <v>653.25</v>
      </c>
      <c r="Q298" s="386"/>
      <c r="R298" s="386"/>
      <c r="S298" s="371">
        <v>1271.6600000000001</v>
      </c>
      <c r="T298" s="439">
        <f t="shared" si="29"/>
        <v>506487.08000000007</v>
      </c>
      <c r="U298" s="387">
        <v>81</v>
      </c>
      <c r="V298" s="390">
        <f>VLOOKUP(B298,'[1]2021'!$C:$D,2,FALSE)</f>
        <v>239</v>
      </c>
      <c r="W298" s="436">
        <v>-18273.919999999998</v>
      </c>
      <c r="X298" s="442"/>
      <c r="Y298" s="442">
        <v>-19.93</v>
      </c>
      <c r="Z298" s="447">
        <v>1</v>
      </c>
      <c r="AA298" s="484">
        <v>506487.08</v>
      </c>
      <c r="AB298" s="484">
        <v>-18273.919999999998</v>
      </c>
      <c r="AC298" s="484"/>
      <c r="AD298" s="484">
        <v>-19.93</v>
      </c>
      <c r="AE298" s="526">
        <f t="shared" si="30"/>
        <v>0</v>
      </c>
      <c r="AF298" s="526">
        <f t="shared" si="31"/>
        <v>0</v>
      </c>
      <c r="AG298" s="527">
        <f t="shared" si="32"/>
        <v>0</v>
      </c>
      <c r="AH298" s="527">
        <f t="shared" si="33"/>
        <v>0</v>
      </c>
      <c r="AI298" s="490">
        <v>239</v>
      </c>
      <c r="AJ298" s="489">
        <f t="shared" si="34"/>
        <v>0</v>
      </c>
      <c r="AK298" s="490"/>
      <c r="AL298" s="490"/>
      <c r="AM298" s="490"/>
      <c r="AN298" s="490"/>
    </row>
    <row r="299" spans="1:40" x14ac:dyDescent="0.25">
      <c r="A299" s="332">
        <v>5922</v>
      </c>
      <c r="B299" s="459" t="s">
        <v>266</v>
      </c>
      <c r="C299" s="513">
        <v>1439702.84</v>
      </c>
      <c r="D299" s="382">
        <v>209115.82</v>
      </c>
      <c r="E299" s="380"/>
      <c r="F299" s="518"/>
      <c r="G299" s="382">
        <v>407369.8</v>
      </c>
      <c r="H299" s="382">
        <v>22594.35</v>
      </c>
      <c r="I299" s="382"/>
      <c r="J299" s="382">
        <v>91122.68</v>
      </c>
      <c r="K299" s="382">
        <v>29094.15</v>
      </c>
      <c r="L299" s="382">
        <v>263016.8</v>
      </c>
      <c r="M299" s="325">
        <f t="shared" si="28"/>
        <v>2462016.44</v>
      </c>
      <c r="N299" s="386">
        <v>373184.55</v>
      </c>
      <c r="O299" s="386"/>
      <c r="P299" s="386">
        <v>228232.2</v>
      </c>
      <c r="Q299" s="386">
        <v>8693.7900000000009</v>
      </c>
      <c r="R299" s="386">
        <v>100434.2</v>
      </c>
      <c r="S299" s="371">
        <v>48698.65</v>
      </c>
      <c r="T299" s="439">
        <f t="shared" si="29"/>
        <v>3221259.83</v>
      </c>
      <c r="U299" s="387">
        <v>64.5</v>
      </c>
      <c r="V299" s="390">
        <f>VLOOKUP(B299,'[1]2021'!$C:$D,2,FALSE)</f>
        <v>775</v>
      </c>
      <c r="W299" s="436">
        <v>-29613.51</v>
      </c>
      <c r="X299" s="442"/>
      <c r="Y299" s="442">
        <v>-444.96</v>
      </c>
      <c r="Z299" s="447">
        <v>0.8</v>
      </c>
      <c r="AA299" s="484">
        <v>3221259.83</v>
      </c>
      <c r="AB299" s="484">
        <v>-29613.51</v>
      </c>
      <c r="AC299" s="484"/>
      <c r="AD299" s="484">
        <v>-444.96</v>
      </c>
      <c r="AE299" s="526">
        <f t="shared" si="30"/>
        <v>0</v>
      </c>
      <c r="AF299" s="526">
        <f t="shared" si="31"/>
        <v>0</v>
      </c>
      <c r="AG299" s="527">
        <f t="shared" si="32"/>
        <v>0</v>
      </c>
      <c r="AH299" s="527">
        <f t="shared" si="33"/>
        <v>0</v>
      </c>
      <c r="AI299" s="490">
        <v>775</v>
      </c>
      <c r="AJ299" s="489">
        <f t="shared" si="34"/>
        <v>0</v>
      </c>
      <c r="AK299" s="490"/>
      <c r="AL299" s="490"/>
      <c r="AM299" s="490"/>
      <c r="AN299" s="490"/>
    </row>
    <row r="300" spans="1:40" x14ac:dyDescent="0.25">
      <c r="A300" s="332">
        <v>5923</v>
      </c>
      <c r="B300" s="459" t="s">
        <v>267</v>
      </c>
      <c r="C300" s="382">
        <v>332713.40999999997</v>
      </c>
      <c r="D300" s="382">
        <v>44399.75</v>
      </c>
      <c r="E300" s="380"/>
      <c r="F300" s="518"/>
      <c r="G300" s="382">
        <v>-2117.5</v>
      </c>
      <c r="H300" s="382">
        <v>1264.5999999999999</v>
      </c>
      <c r="I300" s="382"/>
      <c r="J300" s="382">
        <v>15044.24</v>
      </c>
      <c r="K300" s="382"/>
      <c r="L300" s="382">
        <v>26403.4</v>
      </c>
      <c r="M300" s="325">
        <f t="shared" si="28"/>
        <v>417707.89999999997</v>
      </c>
      <c r="N300" s="386">
        <v>12323.55</v>
      </c>
      <c r="O300" s="386"/>
      <c r="P300" s="386">
        <v>34066.9</v>
      </c>
      <c r="Q300" s="386">
        <v>364.95</v>
      </c>
      <c r="R300" s="386">
        <v>27999.75</v>
      </c>
      <c r="S300" s="371">
        <v>-96.6</v>
      </c>
      <c r="T300" s="439">
        <f t="shared" si="29"/>
        <v>492366.45</v>
      </c>
      <c r="U300" s="387">
        <v>81</v>
      </c>
      <c r="V300" s="390">
        <f>VLOOKUP(B300,'[1]2021'!$C:$D,2,FALSE)</f>
        <v>201</v>
      </c>
      <c r="W300" s="436">
        <v>-5294.37</v>
      </c>
      <c r="X300" s="442"/>
      <c r="Y300" s="442">
        <v>-0.17</v>
      </c>
      <c r="Z300" s="447">
        <v>1</v>
      </c>
      <c r="AA300" s="484">
        <v>492366.45</v>
      </c>
      <c r="AB300" s="484">
        <v>-5294.37</v>
      </c>
      <c r="AC300" s="484"/>
      <c r="AD300" s="484">
        <v>-0.17</v>
      </c>
      <c r="AE300" s="526">
        <f t="shared" si="30"/>
        <v>0</v>
      </c>
      <c r="AF300" s="526">
        <f t="shared" si="31"/>
        <v>0</v>
      </c>
      <c r="AG300" s="527">
        <f t="shared" si="32"/>
        <v>0</v>
      </c>
      <c r="AH300" s="527">
        <f t="shared" si="33"/>
        <v>0</v>
      </c>
      <c r="AI300" s="490">
        <v>201</v>
      </c>
      <c r="AJ300" s="489">
        <f t="shared" si="34"/>
        <v>0</v>
      </c>
      <c r="AK300" s="490"/>
      <c r="AL300" s="490"/>
      <c r="AM300" s="490"/>
      <c r="AN300" s="490"/>
    </row>
    <row r="301" spans="1:40" x14ac:dyDescent="0.25">
      <c r="A301" s="332">
        <v>5924</v>
      </c>
      <c r="B301" s="459" t="s">
        <v>268</v>
      </c>
      <c r="C301" s="382">
        <v>694540.99</v>
      </c>
      <c r="D301" s="382">
        <v>183235.54</v>
      </c>
      <c r="E301" s="380"/>
      <c r="F301" s="518"/>
      <c r="G301" s="382">
        <v>18825.849999999999</v>
      </c>
      <c r="H301" s="382">
        <v>424.05</v>
      </c>
      <c r="I301" s="382"/>
      <c r="J301" s="382">
        <v>15442.3</v>
      </c>
      <c r="K301" s="382">
        <v>-179</v>
      </c>
      <c r="L301" s="382">
        <v>58334.75</v>
      </c>
      <c r="M301" s="325">
        <f t="shared" si="28"/>
        <v>970624.4800000001</v>
      </c>
      <c r="N301" s="386">
        <v>18896.3</v>
      </c>
      <c r="O301" s="386"/>
      <c r="P301" s="386">
        <v>50312.55</v>
      </c>
      <c r="Q301" s="386">
        <v>5.52</v>
      </c>
      <c r="R301" s="386">
        <v>31744.55</v>
      </c>
      <c r="S301" s="371">
        <v>2180.2800000000002</v>
      </c>
      <c r="T301" s="439">
        <f t="shared" si="29"/>
        <v>1073763.6800000002</v>
      </c>
      <c r="U301" s="387">
        <v>74</v>
      </c>
      <c r="V301" s="390">
        <f>VLOOKUP(B301,'[1]2021'!$C:$D,2,FALSE)</f>
        <v>367</v>
      </c>
      <c r="W301" s="436">
        <v>-1776.21</v>
      </c>
      <c r="X301" s="442"/>
      <c r="Y301" s="442">
        <v>-881.5</v>
      </c>
      <c r="Z301" s="447">
        <v>1</v>
      </c>
      <c r="AA301" s="484">
        <v>1073763.68</v>
      </c>
      <c r="AB301" s="484">
        <v>-1776.21</v>
      </c>
      <c r="AC301" s="484"/>
      <c r="AD301" s="484">
        <v>-881.5</v>
      </c>
      <c r="AE301" s="526">
        <f t="shared" si="30"/>
        <v>0</v>
      </c>
      <c r="AF301" s="526">
        <f t="shared" si="31"/>
        <v>0</v>
      </c>
      <c r="AG301" s="527">
        <f t="shared" si="32"/>
        <v>0</v>
      </c>
      <c r="AH301" s="527">
        <f t="shared" si="33"/>
        <v>0</v>
      </c>
      <c r="AI301" s="490">
        <v>367</v>
      </c>
      <c r="AJ301" s="489">
        <f t="shared" si="34"/>
        <v>0</v>
      </c>
      <c r="AK301" s="490"/>
      <c r="AL301" s="490"/>
      <c r="AM301" s="490"/>
      <c r="AN301" s="490"/>
    </row>
    <row r="302" spans="1:40" x14ac:dyDescent="0.25">
      <c r="A302" s="332">
        <v>5925</v>
      </c>
      <c r="B302" s="459" t="s">
        <v>387</v>
      </c>
      <c r="C302" s="382">
        <v>323297.53999999998</v>
      </c>
      <c r="D302" s="382">
        <v>53896.800000000003</v>
      </c>
      <c r="E302" s="380"/>
      <c r="F302" s="518">
        <v>1240</v>
      </c>
      <c r="G302" s="382">
        <v>4295.95</v>
      </c>
      <c r="H302" s="382">
        <v>201.15</v>
      </c>
      <c r="I302" s="382"/>
      <c r="J302" s="382">
        <v>10860.24</v>
      </c>
      <c r="K302" s="382"/>
      <c r="L302" s="382">
        <v>31278.400000000001</v>
      </c>
      <c r="M302" s="325">
        <f t="shared" si="28"/>
        <v>425070.08000000002</v>
      </c>
      <c r="N302" s="386">
        <v>514.25</v>
      </c>
      <c r="O302" s="386">
        <v>112955.2</v>
      </c>
      <c r="P302" s="386">
        <v>10837.5</v>
      </c>
      <c r="Q302" s="386">
        <v>257.86</v>
      </c>
      <c r="R302" s="386">
        <v>13223.4</v>
      </c>
      <c r="S302" s="371">
        <v>509.35</v>
      </c>
      <c r="T302" s="439">
        <f t="shared" si="29"/>
        <v>563367.64</v>
      </c>
      <c r="U302" s="387">
        <v>79</v>
      </c>
      <c r="V302" s="390">
        <f>VLOOKUP(B302,'[1]2021'!$C:$D,2,FALSE)</f>
        <v>202</v>
      </c>
      <c r="W302" s="436">
        <v>-12375.55</v>
      </c>
      <c r="X302" s="442"/>
      <c r="Y302" s="442">
        <v>-245.38</v>
      </c>
      <c r="Z302" s="447">
        <v>1</v>
      </c>
      <c r="AA302" s="484">
        <v>563367.64</v>
      </c>
      <c r="AB302" s="484">
        <v>-12375.55</v>
      </c>
      <c r="AC302" s="484"/>
      <c r="AD302" s="484">
        <v>-245.38</v>
      </c>
      <c r="AE302" s="526">
        <f t="shared" si="30"/>
        <v>0</v>
      </c>
      <c r="AF302" s="526">
        <f t="shared" si="31"/>
        <v>0</v>
      </c>
      <c r="AG302" s="527">
        <f t="shared" si="32"/>
        <v>0</v>
      </c>
      <c r="AH302" s="527">
        <f t="shared" si="33"/>
        <v>0</v>
      </c>
      <c r="AI302" s="490">
        <v>202</v>
      </c>
      <c r="AJ302" s="489">
        <f t="shared" si="34"/>
        <v>0</v>
      </c>
      <c r="AK302" s="490"/>
      <c r="AL302" s="490"/>
      <c r="AM302" s="490"/>
      <c r="AN302" s="490"/>
    </row>
    <row r="303" spans="1:40" x14ac:dyDescent="0.25">
      <c r="A303" s="332">
        <v>5926</v>
      </c>
      <c r="B303" s="459" t="s">
        <v>388</v>
      </c>
      <c r="C303" s="382">
        <v>1579803.32</v>
      </c>
      <c r="D303" s="382">
        <v>307676.11</v>
      </c>
      <c r="E303" s="380"/>
      <c r="F303" s="518"/>
      <c r="G303" s="382">
        <v>18972.2</v>
      </c>
      <c r="H303" s="382">
        <v>926.05</v>
      </c>
      <c r="I303" s="382"/>
      <c r="J303" s="382">
        <v>19080.93</v>
      </c>
      <c r="K303" s="382"/>
      <c r="L303" s="444">
        <v>132240</v>
      </c>
      <c r="M303" s="325">
        <f t="shared" si="28"/>
        <v>2058698.61</v>
      </c>
      <c r="N303" s="386">
        <v>30239.599999999999</v>
      </c>
      <c r="O303" s="386">
        <v>2683.8</v>
      </c>
      <c r="P303" s="386">
        <v>139129.54999999999</v>
      </c>
      <c r="Q303" s="386">
        <v>118.75</v>
      </c>
      <c r="R303" s="386">
        <v>52958</v>
      </c>
      <c r="S303" s="371">
        <v>2253.7199999999998</v>
      </c>
      <c r="T303" s="439">
        <f t="shared" si="29"/>
        <v>2286082.0300000003</v>
      </c>
      <c r="U303" s="387">
        <v>71</v>
      </c>
      <c r="V303" s="390">
        <f>VLOOKUP(B303,'[1]2021'!$C:$D,2,FALSE)</f>
        <v>838</v>
      </c>
      <c r="W303" s="436">
        <v>-81744.06</v>
      </c>
      <c r="X303" s="442"/>
      <c r="Y303" s="442">
        <v>-194.64</v>
      </c>
      <c r="Z303" s="447">
        <v>1</v>
      </c>
      <c r="AA303" s="484">
        <v>2286082.0299999998</v>
      </c>
      <c r="AB303" s="484">
        <v>-81744.06</v>
      </c>
      <c r="AC303" s="484"/>
      <c r="AD303" s="484">
        <v>-194.64</v>
      </c>
      <c r="AE303" s="526">
        <f t="shared" si="30"/>
        <v>0</v>
      </c>
      <c r="AF303" s="526">
        <f t="shared" si="31"/>
        <v>0</v>
      </c>
      <c r="AG303" s="527">
        <f t="shared" si="32"/>
        <v>0</v>
      </c>
      <c r="AH303" s="527">
        <f t="shared" si="33"/>
        <v>0</v>
      </c>
      <c r="AI303" s="490">
        <v>838</v>
      </c>
      <c r="AJ303" s="489">
        <f t="shared" si="34"/>
        <v>0</v>
      </c>
      <c r="AK303" s="490"/>
      <c r="AL303" s="490"/>
      <c r="AM303" s="490"/>
      <c r="AN303" s="490"/>
    </row>
    <row r="304" spans="1:40" x14ac:dyDescent="0.25">
      <c r="A304" s="332">
        <v>5928</v>
      </c>
      <c r="B304" s="459" t="s">
        <v>389</v>
      </c>
      <c r="C304" s="382">
        <v>345536.41</v>
      </c>
      <c r="D304" s="382">
        <v>39368.06</v>
      </c>
      <c r="E304" s="380"/>
      <c r="F304" s="518"/>
      <c r="G304" s="382">
        <v>226</v>
      </c>
      <c r="H304" s="382">
        <v>81.3</v>
      </c>
      <c r="I304" s="382"/>
      <c r="J304" s="382">
        <v>-8779.6</v>
      </c>
      <c r="K304" s="382"/>
      <c r="L304" s="382">
        <v>23473.3</v>
      </c>
      <c r="M304" s="325">
        <f t="shared" si="28"/>
        <v>399905.47</v>
      </c>
      <c r="N304" s="386">
        <v>10979.85</v>
      </c>
      <c r="O304" s="386">
        <v>790.2</v>
      </c>
      <c r="P304" s="386">
        <v>451.35</v>
      </c>
      <c r="Q304" s="386"/>
      <c r="R304" s="386">
        <v>18200</v>
      </c>
      <c r="S304" s="371">
        <v>34.81</v>
      </c>
      <c r="T304" s="439">
        <f t="shared" si="29"/>
        <v>430361.67999999993</v>
      </c>
      <c r="U304" s="387">
        <v>71.5</v>
      </c>
      <c r="V304" s="390">
        <f>VLOOKUP(B304,'[1]2021'!$C:$D,2,FALSE)</f>
        <v>206</v>
      </c>
      <c r="W304" s="436">
        <v>-9588.84</v>
      </c>
      <c r="X304" s="442"/>
      <c r="Y304" s="442">
        <v>0</v>
      </c>
      <c r="Z304" s="447">
        <v>1</v>
      </c>
      <c r="AA304" s="484"/>
      <c r="AB304" s="484"/>
      <c r="AC304" s="484"/>
      <c r="AD304" s="484"/>
      <c r="AE304" s="526">
        <f t="shared" si="30"/>
        <v>430361.67999999993</v>
      </c>
      <c r="AF304" s="526">
        <f t="shared" si="31"/>
        <v>9588.84</v>
      </c>
      <c r="AG304" s="527">
        <f t="shared" si="32"/>
        <v>0</v>
      </c>
      <c r="AH304" s="527">
        <f t="shared" si="33"/>
        <v>0</v>
      </c>
      <c r="AI304" s="490">
        <v>206</v>
      </c>
      <c r="AJ304" s="489">
        <f t="shared" si="34"/>
        <v>0</v>
      </c>
      <c r="AK304" s="490"/>
      <c r="AL304" s="490"/>
      <c r="AM304" s="490"/>
      <c r="AN304" s="490"/>
    </row>
    <row r="305" spans="1:48" x14ac:dyDescent="0.25">
      <c r="A305" s="332">
        <v>5929</v>
      </c>
      <c r="B305" s="459" t="s">
        <v>390</v>
      </c>
      <c r="C305" s="382">
        <v>1091618.5900000001</v>
      </c>
      <c r="D305" s="382">
        <v>125332.68</v>
      </c>
      <c r="E305" s="380"/>
      <c r="F305" s="518"/>
      <c r="G305" s="382">
        <v>48209.25</v>
      </c>
      <c r="H305" s="382">
        <v>-253.05</v>
      </c>
      <c r="I305" s="382">
        <v>41100.15</v>
      </c>
      <c r="J305" s="382">
        <v>3702.39</v>
      </c>
      <c r="K305" s="382"/>
      <c r="L305" s="382">
        <v>92886.15</v>
      </c>
      <c r="M305" s="325">
        <f t="shared" si="28"/>
        <v>1402596.1599999997</v>
      </c>
      <c r="N305" s="386">
        <v>6048.3</v>
      </c>
      <c r="O305" s="386"/>
      <c r="P305" s="386">
        <v>81326.3</v>
      </c>
      <c r="Q305" s="386"/>
      <c r="R305" s="386">
        <v>62114.8</v>
      </c>
      <c r="S305" s="371">
        <v>5431.62</v>
      </c>
      <c r="T305" s="439">
        <f t="shared" si="29"/>
        <v>1557517.18</v>
      </c>
      <c r="U305" s="387">
        <v>70</v>
      </c>
      <c r="V305" s="390">
        <f>VLOOKUP(B305,'[1]2021'!$C:$D,2,FALSE)</f>
        <v>656</v>
      </c>
      <c r="W305" s="436">
        <v>-12531.13</v>
      </c>
      <c r="X305" s="442"/>
      <c r="Y305" s="442">
        <v>-29</v>
      </c>
      <c r="Z305" s="447">
        <v>0.8</v>
      </c>
      <c r="AA305" s="484">
        <v>1557517.18</v>
      </c>
      <c r="AB305" s="484">
        <v>-12531.13</v>
      </c>
      <c r="AC305" s="484"/>
      <c r="AD305" s="484">
        <v>-29</v>
      </c>
      <c r="AE305" s="526">
        <f t="shared" si="30"/>
        <v>0</v>
      </c>
      <c r="AF305" s="526">
        <f t="shared" si="31"/>
        <v>0</v>
      </c>
      <c r="AG305" s="527">
        <f t="shared" si="32"/>
        <v>0</v>
      </c>
      <c r="AH305" s="527">
        <f t="shared" si="33"/>
        <v>0</v>
      </c>
      <c r="AI305" s="490">
        <v>656</v>
      </c>
      <c r="AJ305" s="489">
        <f t="shared" si="34"/>
        <v>0</v>
      </c>
      <c r="AK305" s="490"/>
      <c r="AL305" s="490"/>
      <c r="AM305" s="490"/>
      <c r="AN305" s="490"/>
    </row>
    <row r="306" spans="1:48" x14ac:dyDescent="0.25">
      <c r="A306" s="332">
        <v>5930</v>
      </c>
      <c r="B306" s="459" t="s">
        <v>391</v>
      </c>
      <c r="C306" s="382">
        <v>390714.99</v>
      </c>
      <c r="D306" s="382">
        <v>60132.19</v>
      </c>
      <c r="E306" s="380"/>
      <c r="F306" s="518">
        <v>1170</v>
      </c>
      <c r="G306" s="382">
        <v>1265.0999999999999</v>
      </c>
      <c r="H306" s="382">
        <v>114.5</v>
      </c>
      <c r="I306" s="382"/>
      <c r="J306" s="382">
        <v>4628.62</v>
      </c>
      <c r="K306" s="382">
        <v>228.6</v>
      </c>
      <c r="L306" s="382">
        <v>30524.5</v>
      </c>
      <c r="M306" s="325">
        <f t="shared" si="28"/>
        <v>488778.49999999994</v>
      </c>
      <c r="N306" s="386"/>
      <c r="O306" s="386"/>
      <c r="P306" s="386">
        <v>55040</v>
      </c>
      <c r="Q306" s="386"/>
      <c r="R306" s="386">
        <v>24801.8</v>
      </c>
      <c r="S306" s="371">
        <v>156.26</v>
      </c>
      <c r="T306" s="439">
        <f t="shared" si="29"/>
        <v>568776.56000000006</v>
      </c>
      <c r="U306" s="387">
        <v>72</v>
      </c>
      <c r="V306" s="390">
        <f>VLOOKUP(B306,'[1]2021'!$C:$D,2,FALSE)</f>
        <v>215</v>
      </c>
      <c r="W306" s="436">
        <v>-9284.16</v>
      </c>
      <c r="X306" s="442"/>
      <c r="Y306" s="442">
        <v>0</v>
      </c>
      <c r="Z306" s="447">
        <v>1</v>
      </c>
      <c r="AA306" s="484">
        <v>568776.56000000006</v>
      </c>
      <c r="AB306" s="484">
        <v>-9284.16</v>
      </c>
      <c r="AC306" s="484"/>
      <c r="AD306" s="484">
        <v>0</v>
      </c>
      <c r="AE306" s="526">
        <f t="shared" si="30"/>
        <v>0</v>
      </c>
      <c r="AF306" s="526">
        <f t="shared" si="31"/>
        <v>0</v>
      </c>
      <c r="AG306" s="527">
        <f t="shared" si="32"/>
        <v>0</v>
      </c>
      <c r="AH306" s="527">
        <f t="shared" si="33"/>
        <v>0</v>
      </c>
      <c r="AI306" s="490">
        <v>215</v>
      </c>
      <c r="AJ306" s="489">
        <f t="shared" si="34"/>
        <v>0</v>
      </c>
      <c r="AK306" s="490"/>
      <c r="AL306" s="490"/>
      <c r="AM306" s="490"/>
      <c r="AN306" s="490"/>
    </row>
    <row r="307" spans="1:48" x14ac:dyDescent="0.25">
      <c r="A307" s="332">
        <v>5931</v>
      </c>
      <c r="B307" s="459" t="s">
        <v>392</v>
      </c>
      <c r="C307" s="382">
        <v>914805.55</v>
      </c>
      <c r="D307" s="382">
        <v>106606.66</v>
      </c>
      <c r="E307" s="380"/>
      <c r="F307" s="518"/>
      <c r="G307" s="382">
        <v>32168.05</v>
      </c>
      <c r="H307" s="382">
        <v>1066.5999999999999</v>
      </c>
      <c r="I307" s="382"/>
      <c r="J307" s="382">
        <v>10376.91</v>
      </c>
      <c r="K307" s="382">
        <v>781.4</v>
      </c>
      <c r="L307" s="382">
        <v>80371.8</v>
      </c>
      <c r="M307" s="325">
        <f t="shared" si="28"/>
        <v>1146176.97</v>
      </c>
      <c r="N307" s="386">
        <v>12375.15</v>
      </c>
      <c r="O307" s="386">
        <v>0</v>
      </c>
      <c r="P307" s="386">
        <v>98909.35</v>
      </c>
      <c r="Q307" s="386"/>
      <c r="R307" s="386">
        <v>56168.800000000003</v>
      </c>
      <c r="S307" s="371">
        <v>3764.23</v>
      </c>
      <c r="T307" s="439">
        <f t="shared" si="29"/>
        <v>1317394.5</v>
      </c>
      <c r="U307" s="387">
        <v>75</v>
      </c>
      <c r="V307" s="390">
        <f>VLOOKUP(B307,'[1]2021'!$C:$D,2,FALSE)</f>
        <v>490</v>
      </c>
      <c r="W307" s="436">
        <v>-4568.16</v>
      </c>
      <c r="X307" s="442"/>
      <c r="Y307" s="442">
        <v>-41.03</v>
      </c>
      <c r="Z307" s="447">
        <v>1</v>
      </c>
      <c r="AA307" s="484">
        <v>1317394.5</v>
      </c>
      <c r="AB307" s="484">
        <v>-4568.16</v>
      </c>
      <c r="AC307" s="484"/>
      <c r="AD307" s="484">
        <v>-41.03</v>
      </c>
      <c r="AE307" s="526">
        <f t="shared" si="30"/>
        <v>0</v>
      </c>
      <c r="AF307" s="526">
        <f t="shared" si="31"/>
        <v>0</v>
      </c>
      <c r="AG307" s="527">
        <f t="shared" si="32"/>
        <v>0</v>
      </c>
      <c r="AH307" s="527">
        <f t="shared" si="33"/>
        <v>0</v>
      </c>
      <c r="AI307" s="490">
        <v>490</v>
      </c>
      <c r="AJ307" s="489">
        <f t="shared" si="34"/>
        <v>0</v>
      </c>
      <c r="AK307" s="490"/>
      <c r="AL307" s="490"/>
      <c r="AM307" s="490"/>
      <c r="AN307" s="490"/>
    </row>
    <row r="308" spans="1:48" x14ac:dyDescent="0.25">
      <c r="A308" s="332">
        <v>5932</v>
      </c>
      <c r="B308" s="459" t="s">
        <v>269</v>
      </c>
      <c r="C308" s="382">
        <v>446657.03</v>
      </c>
      <c r="D308" s="382">
        <v>62489.58</v>
      </c>
      <c r="E308" s="380"/>
      <c r="F308" s="518">
        <v>1410</v>
      </c>
      <c r="G308" s="382">
        <v>238.3</v>
      </c>
      <c r="H308" s="382">
        <v>397.65</v>
      </c>
      <c r="I308" s="382">
        <v>46204.7</v>
      </c>
      <c r="J308" s="382">
        <v>1744.92</v>
      </c>
      <c r="K308" s="382">
        <v>819.5</v>
      </c>
      <c r="L308" s="382">
        <v>32899.300000000003</v>
      </c>
      <c r="M308" s="325">
        <f t="shared" si="28"/>
        <v>592860.9800000001</v>
      </c>
      <c r="N308" s="386"/>
      <c r="O308" s="386"/>
      <c r="P308" s="386">
        <v>9848.7000000000007</v>
      </c>
      <c r="Q308" s="386">
        <v>2970.43</v>
      </c>
      <c r="R308" s="386"/>
      <c r="S308" s="371">
        <v>72.03</v>
      </c>
      <c r="T308" s="439">
        <f t="shared" si="29"/>
        <v>605752.14000000013</v>
      </c>
      <c r="U308" s="387">
        <v>75</v>
      </c>
      <c r="V308" s="390">
        <f>VLOOKUP(B308,'[1]2021'!$C:$D,2,FALSE)</f>
        <v>228</v>
      </c>
      <c r="W308" s="436">
        <v>-18154.11</v>
      </c>
      <c r="X308" s="442"/>
      <c r="Y308" s="442">
        <v>0</v>
      </c>
      <c r="Z308" s="447">
        <v>1</v>
      </c>
      <c r="AA308" s="484">
        <v>605752.14</v>
      </c>
      <c r="AB308" s="484">
        <v>-18154.11</v>
      </c>
      <c r="AC308" s="484"/>
      <c r="AD308" s="484">
        <v>0</v>
      </c>
      <c r="AE308" s="526">
        <f t="shared" si="30"/>
        <v>0</v>
      </c>
      <c r="AF308" s="526">
        <f t="shared" si="31"/>
        <v>0</v>
      </c>
      <c r="AG308" s="527">
        <f t="shared" si="32"/>
        <v>0</v>
      </c>
      <c r="AH308" s="527">
        <f t="shared" si="33"/>
        <v>0</v>
      </c>
      <c r="AI308" s="490">
        <v>228</v>
      </c>
      <c r="AJ308" s="489">
        <f t="shared" si="34"/>
        <v>0</v>
      </c>
      <c r="AK308" s="490"/>
      <c r="AL308" s="490"/>
      <c r="AM308" s="490"/>
      <c r="AN308" s="490"/>
    </row>
    <row r="309" spans="1:48" x14ac:dyDescent="0.25">
      <c r="A309" s="332">
        <v>5933</v>
      </c>
      <c r="B309" s="459" t="s">
        <v>385</v>
      </c>
      <c r="C309" s="382">
        <v>1116497.8899999999</v>
      </c>
      <c r="D309" s="382">
        <v>151396.56</v>
      </c>
      <c r="E309" s="380"/>
      <c r="F309" s="518"/>
      <c r="G309" s="382">
        <v>11213.6</v>
      </c>
      <c r="H309" s="382">
        <v>1470</v>
      </c>
      <c r="I309" s="382"/>
      <c r="J309" s="382">
        <v>17395.04</v>
      </c>
      <c r="K309" s="382">
        <v>4918.05</v>
      </c>
      <c r="L309" s="382">
        <v>121538.15</v>
      </c>
      <c r="M309" s="325">
        <f t="shared" si="28"/>
        <v>1424429.29</v>
      </c>
      <c r="N309" s="386">
        <v>17443.900000000001</v>
      </c>
      <c r="O309" s="386"/>
      <c r="P309" s="386">
        <v>75840</v>
      </c>
      <c r="Q309" s="386">
        <v>2884.24</v>
      </c>
      <c r="R309" s="386">
        <v>56608.65</v>
      </c>
      <c r="S309" s="371">
        <v>1436.57</v>
      </c>
      <c r="T309" s="439">
        <f t="shared" si="29"/>
        <v>1578642.65</v>
      </c>
      <c r="U309" s="387">
        <v>70.5</v>
      </c>
      <c r="V309" s="390">
        <f>VLOOKUP(B309,'[1]2021'!$C:$D,2,FALSE)</f>
        <v>697</v>
      </c>
      <c r="W309" s="436">
        <v>-29548.06</v>
      </c>
      <c r="X309" s="516">
        <v>-14260.6</v>
      </c>
      <c r="Y309" s="442">
        <v>-2642.79</v>
      </c>
      <c r="Z309" s="447">
        <v>1</v>
      </c>
      <c r="AA309" s="484">
        <v>1578642.65</v>
      </c>
      <c r="AB309" s="484">
        <v>-29548.06</v>
      </c>
      <c r="AC309" s="484">
        <v>-14260.6</v>
      </c>
      <c r="AD309" s="484">
        <v>-2642.79</v>
      </c>
      <c r="AE309" s="526">
        <f t="shared" si="30"/>
        <v>0</v>
      </c>
      <c r="AF309" s="526">
        <f t="shared" si="31"/>
        <v>0</v>
      </c>
      <c r="AG309" s="527">
        <f t="shared" si="32"/>
        <v>0</v>
      </c>
      <c r="AH309" s="527">
        <f t="shared" si="33"/>
        <v>0</v>
      </c>
      <c r="AI309" s="490">
        <v>697</v>
      </c>
      <c r="AJ309" s="489">
        <f t="shared" si="34"/>
        <v>0</v>
      </c>
      <c r="AK309" s="490"/>
      <c r="AL309" s="490"/>
      <c r="AM309" s="490"/>
      <c r="AN309" s="490"/>
    </row>
    <row r="310" spans="1:48" x14ac:dyDescent="0.25">
      <c r="A310" s="332">
        <v>5934</v>
      </c>
      <c r="B310" s="459" t="s">
        <v>386</v>
      </c>
      <c r="C310" s="382">
        <v>439015.21</v>
      </c>
      <c r="D310" s="382">
        <v>56577.31</v>
      </c>
      <c r="E310" s="380"/>
      <c r="F310" s="518">
        <v>1490</v>
      </c>
      <c r="G310" s="382">
        <v>129.30000000000001</v>
      </c>
      <c r="H310" s="382">
        <v>30.7</v>
      </c>
      <c r="I310" s="382"/>
      <c r="J310" s="382">
        <v>18715.39</v>
      </c>
      <c r="K310" s="382">
        <v>34.700000000000003</v>
      </c>
      <c r="L310" s="382">
        <v>28588.35</v>
      </c>
      <c r="M310" s="325">
        <f t="shared" si="28"/>
        <v>544580.96000000008</v>
      </c>
      <c r="N310" s="386">
        <v>16396.150000000001</v>
      </c>
      <c r="O310" s="386"/>
      <c r="P310" s="386">
        <v>622</v>
      </c>
      <c r="Q310" s="386"/>
      <c r="R310" s="386">
        <v>1589.6</v>
      </c>
      <c r="S310" s="371">
        <v>18.12</v>
      </c>
      <c r="T310" s="439">
        <f t="shared" si="29"/>
        <v>563206.83000000007</v>
      </c>
      <c r="U310" s="387">
        <v>77</v>
      </c>
      <c r="V310" s="390">
        <f>VLOOKUP(B310,'[1]2021'!$C:$D,2,FALSE)</f>
        <v>247</v>
      </c>
      <c r="W310" s="436">
        <v>-4191.24</v>
      </c>
      <c r="X310" s="442"/>
      <c r="Y310" s="442">
        <v>0</v>
      </c>
      <c r="Z310" s="447">
        <v>1</v>
      </c>
      <c r="AA310" s="484">
        <v>563206.82999999996</v>
      </c>
      <c r="AB310" s="484">
        <v>-4191.24</v>
      </c>
      <c r="AC310" s="484"/>
      <c r="AD310" s="484">
        <v>0</v>
      </c>
      <c r="AE310" s="526">
        <f t="shared" si="30"/>
        <v>0</v>
      </c>
      <c r="AF310" s="526">
        <f t="shared" si="31"/>
        <v>0</v>
      </c>
      <c r="AG310" s="527">
        <f t="shared" si="32"/>
        <v>0</v>
      </c>
      <c r="AH310" s="527">
        <f t="shared" si="33"/>
        <v>0</v>
      </c>
      <c r="AI310" s="490">
        <v>247</v>
      </c>
      <c r="AJ310" s="489">
        <f t="shared" si="34"/>
        <v>0</v>
      </c>
      <c r="AK310" s="490"/>
      <c r="AL310" s="490"/>
      <c r="AM310" s="490"/>
      <c r="AN310" s="490"/>
    </row>
    <row r="311" spans="1:48" x14ac:dyDescent="0.25">
      <c r="A311" s="332">
        <v>5935</v>
      </c>
      <c r="B311" s="459" t="s">
        <v>292</v>
      </c>
      <c r="C311" s="382">
        <v>154585.74</v>
      </c>
      <c r="D311" s="382">
        <v>29075.13</v>
      </c>
      <c r="E311" s="380"/>
      <c r="F311" s="518"/>
      <c r="G311" s="382">
        <v>50.35</v>
      </c>
      <c r="H311" s="382">
        <v>386.45</v>
      </c>
      <c r="I311" s="382"/>
      <c r="J311" s="382">
        <v>2477.0700000000002</v>
      </c>
      <c r="K311" s="382"/>
      <c r="L311" s="382">
        <v>20549.55</v>
      </c>
      <c r="M311" s="325">
        <f t="shared" si="28"/>
        <v>207124.29</v>
      </c>
      <c r="N311" s="386"/>
      <c r="O311" s="386"/>
      <c r="P311" s="386">
        <v>10120</v>
      </c>
      <c r="Q311" s="386"/>
      <c r="R311" s="386"/>
      <c r="S311" s="371">
        <v>49.47</v>
      </c>
      <c r="T311" s="439">
        <f t="shared" si="29"/>
        <v>217293.76</v>
      </c>
      <c r="U311" s="387">
        <v>60</v>
      </c>
      <c r="V311" s="390">
        <f>VLOOKUP(B311,'[1]2021'!$C:$D,2,FALSE)</f>
        <v>95</v>
      </c>
      <c r="W311" s="436">
        <v>-24.25</v>
      </c>
      <c r="X311" s="442"/>
      <c r="Y311" s="442">
        <v>-255.68</v>
      </c>
      <c r="Z311" s="447">
        <v>1</v>
      </c>
      <c r="AA311" s="484">
        <v>217293.76</v>
      </c>
      <c r="AB311" s="484">
        <v>-24.25</v>
      </c>
      <c r="AC311" s="484"/>
      <c r="AD311" s="484">
        <v>-255.68</v>
      </c>
      <c r="AE311" s="526">
        <f t="shared" si="30"/>
        <v>0</v>
      </c>
      <c r="AF311" s="526">
        <f t="shared" si="31"/>
        <v>0</v>
      </c>
      <c r="AG311" s="527">
        <f t="shared" si="32"/>
        <v>0</v>
      </c>
      <c r="AH311" s="527">
        <f t="shared" si="33"/>
        <v>0</v>
      </c>
      <c r="AI311" s="490">
        <v>95</v>
      </c>
      <c r="AJ311" s="489">
        <f t="shared" si="34"/>
        <v>0</v>
      </c>
      <c r="AK311" s="490"/>
      <c r="AL311" s="490"/>
      <c r="AM311" s="490"/>
      <c r="AN311" s="490"/>
    </row>
    <row r="312" spans="1:48" x14ac:dyDescent="0.25">
      <c r="A312" s="332">
        <v>5937</v>
      </c>
      <c r="B312" s="459" t="s">
        <v>270</v>
      </c>
      <c r="C312" s="382">
        <v>200814.57</v>
      </c>
      <c r="D312" s="382">
        <v>35528.080000000002</v>
      </c>
      <c r="E312" s="380"/>
      <c r="F312" s="518"/>
      <c r="G312" s="382">
        <v>4939.45</v>
      </c>
      <c r="H312" s="382">
        <v>765.85</v>
      </c>
      <c r="I312" s="382"/>
      <c r="J312" s="382">
        <v>4311.78</v>
      </c>
      <c r="K312" s="382"/>
      <c r="L312" s="382">
        <v>11768.52</v>
      </c>
      <c r="M312" s="325">
        <f t="shared" si="28"/>
        <v>258128.25000000003</v>
      </c>
      <c r="N312" s="386"/>
      <c r="O312" s="386"/>
      <c r="P312" s="386">
        <v>10230</v>
      </c>
      <c r="Q312" s="386">
        <v>1938.72</v>
      </c>
      <c r="R312" s="386"/>
      <c r="S312" s="371">
        <v>646.19000000000005</v>
      </c>
      <c r="T312" s="439">
        <f t="shared" si="29"/>
        <v>270943.15999999997</v>
      </c>
      <c r="U312" s="387">
        <v>70</v>
      </c>
      <c r="V312" s="390">
        <f>VLOOKUP(B312,'[1]2021'!$C:$D,2,FALSE)</f>
        <v>140</v>
      </c>
      <c r="W312" s="436">
        <v>-22710.7</v>
      </c>
      <c r="X312" s="442"/>
      <c r="Y312" s="442">
        <v>-27.91</v>
      </c>
      <c r="Z312" s="447">
        <v>0.7</v>
      </c>
      <c r="AA312" s="484">
        <f>259174.64+11768.52</f>
        <v>270943.16000000003</v>
      </c>
      <c r="AB312" s="484">
        <v>-22710.7</v>
      </c>
      <c r="AC312" s="484"/>
      <c r="AD312" s="484">
        <v>-27.91</v>
      </c>
      <c r="AE312" s="526">
        <f t="shared" si="30"/>
        <v>0</v>
      </c>
      <c r="AF312" s="526">
        <f t="shared" si="31"/>
        <v>0</v>
      </c>
      <c r="AG312" s="527">
        <f t="shared" si="32"/>
        <v>0</v>
      </c>
      <c r="AH312" s="527">
        <f t="shared" si="33"/>
        <v>0</v>
      </c>
      <c r="AI312" s="490">
        <v>140</v>
      </c>
      <c r="AJ312" s="489">
        <f t="shared" si="34"/>
        <v>0</v>
      </c>
      <c r="AK312" s="490"/>
      <c r="AL312" s="490"/>
      <c r="AM312" s="490"/>
      <c r="AN312" s="490"/>
    </row>
    <row r="313" spans="1:48" x14ac:dyDescent="0.25">
      <c r="A313" s="332">
        <v>5938</v>
      </c>
      <c r="B313" s="459" t="s">
        <v>146</v>
      </c>
      <c r="C313" s="382">
        <v>42709958.350000001</v>
      </c>
      <c r="D313" s="382">
        <v>4695884.83</v>
      </c>
      <c r="E313" s="380"/>
      <c r="F313" s="518"/>
      <c r="G313" s="382">
        <v>3132726.45</v>
      </c>
      <c r="H313" s="382">
        <v>719514.35</v>
      </c>
      <c r="I313" s="382">
        <v>-73350.05</v>
      </c>
      <c r="J313" s="382">
        <v>1527061.42</v>
      </c>
      <c r="K313" s="382">
        <v>700264</v>
      </c>
      <c r="L313" s="382">
        <v>4400574.8499999996</v>
      </c>
      <c r="M313" s="325">
        <f t="shared" si="28"/>
        <v>57812634.20000001</v>
      </c>
      <c r="N313" s="386">
        <v>4824763.5999999996</v>
      </c>
      <c r="O313" s="386">
        <v>1382582.8</v>
      </c>
      <c r="P313" s="386">
        <v>2434885.0499999998</v>
      </c>
      <c r="Q313" s="386">
        <v>592665.73</v>
      </c>
      <c r="R313" s="386">
        <v>2456221.9500000002</v>
      </c>
      <c r="S313" s="371">
        <v>436312.98</v>
      </c>
      <c r="T313" s="439">
        <f t="shared" si="29"/>
        <v>69940066.310000002</v>
      </c>
      <c r="U313" s="387">
        <v>75</v>
      </c>
      <c r="V313" s="390">
        <f>VLOOKUP(B313,'[1]2021'!$C:$D,2,FALSE)</f>
        <v>29710</v>
      </c>
      <c r="W313" s="436">
        <v>-1612544.18</v>
      </c>
      <c r="X313" s="442"/>
      <c r="Y313" s="442">
        <v>-21296.37</v>
      </c>
      <c r="Z313" s="447">
        <v>1</v>
      </c>
      <c r="AA313" s="484">
        <v>69940066.310000002</v>
      </c>
      <c r="AB313" s="484">
        <v>-1612544.18</v>
      </c>
      <c r="AC313" s="484"/>
      <c r="AD313" s="484">
        <v>-21296.37</v>
      </c>
      <c r="AE313" s="526">
        <f t="shared" si="30"/>
        <v>0</v>
      </c>
      <c r="AF313" s="526">
        <f t="shared" si="31"/>
        <v>0</v>
      </c>
      <c r="AG313" s="527">
        <f t="shared" si="32"/>
        <v>0</v>
      </c>
      <c r="AH313" s="527">
        <f t="shared" si="33"/>
        <v>0</v>
      </c>
      <c r="AI313" s="490">
        <v>29710</v>
      </c>
      <c r="AJ313" s="489">
        <f t="shared" si="34"/>
        <v>0</v>
      </c>
      <c r="AK313" s="490"/>
      <c r="AL313" s="490"/>
      <c r="AM313" s="490"/>
      <c r="AN313" s="490"/>
    </row>
    <row r="314" spans="1:48" x14ac:dyDescent="0.25">
      <c r="A314" s="332">
        <v>5939</v>
      </c>
      <c r="B314" s="459" t="s">
        <v>145</v>
      </c>
      <c r="C314" s="382">
        <v>6019715.6600000001</v>
      </c>
      <c r="D314" s="382">
        <v>652581.86</v>
      </c>
      <c r="E314" s="380"/>
      <c r="F314" s="518"/>
      <c r="G314" s="382">
        <v>230415.55</v>
      </c>
      <c r="H314" s="382">
        <v>13530.9</v>
      </c>
      <c r="I314" s="382"/>
      <c r="J314" s="382">
        <v>73635.88</v>
      </c>
      <c r="K314" s="382">
        <v>53811.65</v>
      </c>
      <c r="L314" s="382">
        <v>588836.15</v>
      </c>
      <c r="M314" s="325">
        <f t="shared" si="28"/>
        <v>7632527.6500000013</v>
      </c>
      <c r="N314" s="386">
        <v>167773.55</v>
      </c>
      <c r="O314" s="386">
        <v>282357.2</v>
      </c>
      <c r="P314" s="386">
        <v>177512.65</v>
      </c>
      <c r="Q314" s="386">
        <v>21836.2</v>
      </c>
      <c r="R314" s="386">
        <v>146553.65</v>
      </c>
      <c r="S314" s="371">
        <v>27629.89</v>
      </c>
      <c r="T314" s="439">
        <f t="shared" si="29"/>
        <v>8456190.7900000028</v>
      </c>
      <c r="U314" s="389">
        <v>71.5</v>
      </c>
      <c r="V314" s="392">
        <f>VLOOKUP(B314,'[1]2021'!$C:$D,2,FALSE)</f>
        <v>3512</v>
      </c>
      <c r="W314" s="436">
        <v>-149908.45000000001</v>
      </c>
      <c r="X314" s="442"/>
      <c r="Y314" s="445">
        <v>-499.18</v>
      </c>
      <c r="Z314" s="448">
        <v>1</v>
      </c>
      <c r="AA314" s="484">
        <v>8456190.7899999991</v>
      </c>
      <c r="AB314" s="484">
        <v>-149908.45000000001</v>
      </c>
      <c r="AC314" s="484"/>
      <c r="AD314" s="484">
        <v>-499.18</v>
      </c>
      <c r="AE314" s="526">
        <f t="shared" si="30"/>
        <v>0</v>
      </c>
      <c r="AF314" s="526">
        <f t="shared" si="31"/>
        <v>0</v>
      </c>
      <c r="AG314" s="527">
        <f t="shared" si="32"/>
        <v>0</v>
      </c>
      <c r="AH314" s="527">
        <f t="shared" si="33"/>
        <v>0</v>
      </c>
      <c r="AI314" s="490">
        <v>3512</v>
      </c>
      <c r="AJ314" s="489">
        <f t="shared" si="34"/>
        <v>0</v>
      </c>
      <c r="AK314" s="490"/>
      <c r="AL314" s="490"/>
      <c r="AM314" s="490"/>
      <c r="AN314" s="490"/>
    </row>
    <row r="315" spans="1:48" x14ac:dyDescent="0.25">
      <c r="A315" s="334"/>
      <c r="B315" s="351">
        <f>COUNTA(B7:B314)</f>
        <v>308</v>
      </c>
      <c r="C315" s="379">
        <f t="shared" ref="C315:S315" si="35">SUM(C7:C314)</f>
        <v>1719031040.4900005</v>
      </c>
      <c r="D315" s="379">
        <f t="shared" si="35"/>
        <v>341397894.97000009</v>
      </c>
      <c r="E315" s="379">
        <f t="shared" si="35"/>
        <v>0</v>
      </c>
      <c r="F315" s="379">
        <f t="shared" si="35"/>
        <v>105139.35</v>
      </c>
      <c r="G315" s="381">
        <f t="shared" si="35"/>
        <v>277880162.35000008</v>
      </c>
      <c r="H315" s="381">
        <f t="shared" si="35"/>
        <v>39013179.349999987</v>
      </c>
      <c r="I315" s="381">
        <f t="shared" si="35"/>
        <v>40618993.310000017</v>
      </c>
      <c r="J315" s="381">
        <f t="shared" si="35"/>
        <v>64886069.479999989</v>
      </c>
      <c r="K315" s="381">
        <f t="shared" si="35"/>
        <v>20497665.900000002</v>
      </c>
      <c r="L315" s="381">
        <f t="shared" si="35"/>
        <v>223454205.30000007</v>
      </c>
      <c r="M315" s="383">
        <f t="shared" si="35"/>
        <v>2726884350.4999995</v>
      </c>
      <c r="N315" s="381">
        <f t="shared" si="35"/>
        <v>82182598.849999994</v>
      </c>
      <c r="O315" s="19">
        <f t="shared" si="35"/>
        <v>105593921.53000003</v>
      </c>
      <c r="P315" s="19">
        <f t="shared" si="35"/>
        <v>122697377.90000005</v>
      </c>
      <c r="Q315" s="19">
        <f t="shared" si="35"/>
        <v>8990129.9899999984</v>
      </c>
      <c r="R315" s="19">
        <f t="shared" si="35"/>
        <v>94654101.150000006</v>
      </c>
      <c r="S315" s="435">
        <f t="shared" si="35"/>
        <v>34666818.119999997</v>
      </c>
      <c r="T315" s="383">
        <f t="shared" si="29"/>
        <v>3175669298.0399995</v>
      </c>
      <c r="U315" s="441"/>
      <c r="V315" s="18">
        <f>SUM(V7:V314)</f>
        <v>823881</v>
      </c>
      <c r="W315" s="19">
        <f t="shared" ref="W315:Y315" si="36">SUM(W7:W314)</f>
        <v>-33010313.959999979</v>
      </c>
      <c r="X315" s="19">
        <f t="shared" si="36"/>
        <v>-23155.95</v>
      </c>
      <c r="Y315" s="438">
        <f t="shared" si="36"/>
        <v>-5414014.9799999995</v>
      </c>
      <c r="Z315" s="438"/>
      <c r="AA315" s="440"/>
      <c r="AB315" s="440"/>
      <c r="AC315" s="440"/>
      <c r="AD315" s="440"/>
      <c r="AE315" s="528"/>
      <c r="AF315" s="528"/>
      <c r="AJ315" s="489">
        <f t="shared" si="34"/>
        <v>-823881</v>
      </c>
    </row>
    <row r="316" spans="1:48" x14ac:dyDescent="0.25">
      <c r="A316" s="331"/>
      <c r="I316" s="362"/>
      <c r="J316" s="362"/>
      <c r="K316" s="362"/>
      <c r="L316" s="362"/>
      <c r="M316" s="362"/>
      <c r="N316" s="362"/>
      <c r="O316" s="362"/>
      <c r="P316" s="362"/>
      <c r="Q316" s="362"/>
      <c r="R316" s="362"/>
      <c r="S316" s="444"/>
      <c r="V316" s="6">
        <v>-823881</v>
      </c>
      <c r="AJ316" s="489">
        <f t="shared" si="34"/>
        <v>823881</v>
      </c>
    </row>
    <row r="317" spans="1:48" s="436" customFormat="1" x14ac:dyDescent="0.25">
      <c r="A317" s="331"/>
      <c r="C317" s="440"/>
      <c r="D317" s="440"/>
      <c r="E317" s="440"/>
      <c r="F317" s="440"/>
      <c r="G317" s="440"/>
      <c r="H317" s="440"/>
      <c r="I317" s="440"/>
      <c r="J317" s="440"/>
      <c r="K317" s="440"/>
      <c r="S317" s="444"/>
      <c r="V317" s="436">
        <f>+V315+V316</f>
        <v>0</v>
      </c>
      <c r="AE317" s="521"/>
      <c r="AF317" s="521"/>
      <c r="AG317" s="521"/>
      <c r="AH317" s="521"/>
      <c r="AJ317" s="489">
        <f t="shared" si="34"/>
        <v>0</v>
      </c>
      <c r="AV317" s="6"/>
    </row>
  </sheetData>
  <protectedRanges>
    <protectedRange sqref="C315:M315 A7:B314 U7:Y314 N7:R314" name="Plage1"/>
    <protectedRange sqref="E33:E169 S316:S317 E171:E270 I33:L302 G33:H271 E276:E314 C33:D314 G272:G273 H273 G275:H314 I304:L314 I303:K303 S7:S314 C7:L7 C8:E32 G8:L32 F8:F314" name="Plage1_1"/>
    <protectedRange sqref="E170" name="Plage1_3"/>
    <protectedRange sqref="L303" name="Plage1_1_1"/>
  </protectedRanges>
  <mergeCells count="26">
    <mergeCell ref="Z4:Z6"/>
    <mergeCell ref="V4:V5"/>
    <mergeCell ref="W4:W6"/>
    <mergeCell ref="Y4:Y6"/>
    <mergeCell ref="X4:X6"/>
    <mergeCell ref="U4:U5"/>
    <mergeCell ref="A4:A6"/>
    <mergeCell ref="B4:B6"/>
    <mergeCell ref="Q4:Q6"/>
    <mergeCell ref="L4:L5"/>
    <mergeCell ref="G4:G5"/>
    <mergeCell ref="H4:H5"/>
    <mergeCell ref="I4:I5"/>
    <mergeCell ref="J4:J5"/>
    <mergeCell ref="C4:C5"/>
    <mergeCell ref="D4:D5"/>
    <mergeCell ref="E4:E5"/>
    <mergeCell ref="N4:N5"/>
    <mergeCell ref="T4:T5"/>
    <mergeCell ref="O4:O5"/>
    <mergeCell ref="F4:F5"/>
    <mergeCell ref="K4:K5"/>
    <mergeCell ref="M4:M5"/>
    <mergeCell ref="P4:P5"/>
    <mergeCell ref="R4:R5"/>
    <mergeCell ref="S4:S5"/>
  </mergeCells>
  <phoneticPr fontId="21" type="noConversion"/>
  <pageMargins left="0.19685039370078741" right="0.39370078740157483" top="0.98425196850393704" bottom="0.98425196850393704" header="0.51181102362204722" footer="0.51181102362204722"/>
  <pageSetup paperSize="9"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Feuil5">
    <tabColor rgb="FF00B050"/>
  </sheetPr>
  <dimension ref="A1:AA325"/>
  <sheetViews>
    <sheetView topLeftCell="K1" zoomScaleNormal="100" workbookViewId="0">
      <pane ySplit="6" topLeftCell="A7" activePane="bottomLeft" state="frozen"/>
      <selection activeCell="X73" sqref="X73"/>
      <selection pane="bottomLeft" activeCell="AC7" sqref="AC7"/>
    </sheetView>
  </sheetViews>
  <sheetFormatPr baseColWidth="10" defaultColWidth="8.625" defaultRowHeight="15" x14ac:dyDescent="0.25"/>
  <cols>
    <col min="1" max="1" width="7.625" style="4" customWidth="1"/>
    <col min="2" max="2" width="20.375" style="13" bestFit="1" customWidth="1"/>
    <col min="3" max="3" width="15.875" style="13" bestFit="1" customWidth="1"/>
    <col min="4" max="4" width="12.125" style="6" bestFit="1" customWidth="1"/>
    <col min="5" max="5" width="9.125" style="13" bestFit="1" customWidth="1"/>
    <col min="6" max="6" width="13.375" style="6" bestFit="1" customWidth="1"/>
    <col min="7" max="7" width="18.375" style="13" bestFit="1" customWidth="1"/>
    <col min="8" max="8" width="10" style="6" bestFit="1" customWidth="1"/>
    <col min="9" max="9" width="10.125" style="13" bestFit="1" customWidth="1"/>
    <col min="10" max="10" width="16" style="13" bestFit="1" customWidth="1"/>
    <col min="11" max="12" width="12.25" style="13" bestFit="1" customWidth="1"/>
    <col min="13" max="13" width="13.375" style="13" bestFit="1" customWidth="1"/>
    <col min="14" max="14" width="15.875" style="13" bestFit="1" customWidth="1"/>
    <col min="15" max="15" width="13" style="13" bestFit="1" customWidth="1"/>
    <col min="16" max="16" width="13.125" style="13" bestFit="1" customWidth="1"/>
    <col min="17" max="17" width="8.625" style="13" customWidth="1"/>
    <col min="18" max="18" width="14.375" style="13" bestFit="1" customWidth="1"/>
    <col min="19" max="19" width="12.125" style="15" bestFit="1" customWidth="1"/>
    <col min="20" max="20" width="14.375" style="15" bestFit="1" customWidth="1"/>
    <col min="21" max="21" width="12.125" style="13" customWidth="1"/>
    <col min="22" max="22" width="13.5" style="13" bestFit="1" customWidth="1"/>
    <col min="23" max="24" width="12.25" style="13" bestFit="1" customWidth="1"/>
    <col min="25" max="25" width="15.5" style="13" customWidth="1"/>
    <col min="26" max="26" width="12.5" style="13" bestFit="1" customWidth="1"/>
    <col min="27" max="27" width="8.625" style="13" customWidth="1"/>
    <col min="28" max="16384" width="8.625" style="13"/>
  </cols>
  <sheetData>
    <row r="1" spans="1:27" ht="21" x14ac:dyDescent="0.35">
      <c r="A1" s="25" t="s">
        <v>434</v>
      </c>
      <c r="B1" s="26"/>
      <c r="C1" s="26"/>
      <c r="E1" s="28"/>
      <c r="G1" s="4"/>
      <c r="H1" s="5"/>
      <c r="I1" s="4"/>
      <c r="J1" s="4"/>
      <c r="K1" s="4"/>
      <c r="L1" s="4"/>
    </row>
    <row r="2" spans="1:27" ht="21" x14ac:dyDescent="0.35">
      <c r="A2" s="25" t="str">
        <f>Paramètres!B5</f>
        <v>décompte provisoire 2021</v>
      </c>
      <c r="C2" s="25"/>
      <c r="E2" s="28"/>
      <c r="G2" s="29"/>
      <c r="H2" s="5"/>
      <c r="I2" s="4"/>
      <c r="J2" s="4"/>
      <c r="K2" s="4"/>
      <c r="L2" s="4"/>
    </row>
    <row r="3" spans="1:27" x14ac:dyDescent="0.25">
      <c r="A3" s="3"/>
      <c r="B3" s="4"/>
      <c r="C3" s="4"/>
      <c r="E3" s="28"/>
      <c r="G3" s="4"/>
      <c r="H3" s="5"/>
      <c r="I3" s="4"/>
      <c r="J3" s="4"/>
      <c r="K3" s="4"/>
      <c r="L3" s="4"/>
      <c r="O3" s="27"/>
    </row>
    <row r="4" spans="1:27" s="16" customFormat="1" ht="38.1" customHeight="1" x14ac:dyDescent="0.2">
      <c r="A4" s="564" t="s">
        <v>46</v>
      </c>
      <c r="B4" s="567" t="s">
        <v>94</v>
      </c>
      <c r="C4" s="573" t="s">
        <v>244</v>
      </c>
      <c r="D4" s="570" t="s">
        <v>239</v>
      </c>
      <c r="E4" s="575" t="s">
        <v>240</v>
      </c>
      <c r="F4" s="570" t="s">
        <v>241</v>
      </c>
      <c r="G4" s="573" t="s">
        <v>242</v>
      </c>
      <c r="H4" s="570" t="s">
        <v>251</v>
      </c>
      <c r="I4" s="573" t="s">
        <v>252</v>
      </c>
      <c r="J4" s="573" t="s">
        <v>253</v>
      </c>
      <c r="K4" s="573" t="s">
        <v>370</v>
      </c>
      <c r="L4" s="573" t="s">
        <v>371</v>
      </c>
      <c r="M4" s="573" t="s">
        <v>372</v>
      </c>
      <c r="N4" s="570" t="s">
        <v>401</v>
      </c>
      <c r="O4" s="573" t="s">
        <v>48</v>
      </c>
      <c r="P4" s="573" t="s">
        <v>373</v>
      </c>
      <c r="Q4" s="575" t="s">
        <v>479</v>
      </c>
      <c r="R4" s="581" t="s">
        <v>455</v>
      </c>
      <c r="S4" s="547" t="s">
        <v>77</v>
      </c>
      <c r="T4" s="581" t="s">
        <v>333</v>
      </c>
      <c r="U4" s="581" t="s">
        <v>436</v>
      </c>
      <c r="V4" s="573" t="s">
        <v>191</v>
      </c>
      <c r="W4" s="573" t="s">
        <v>192</v>
      </c>
      <c r="X4" s="573" t="s">
        <v>193</v>
      </c>
      <c r="Y4" s="578" t="s">
        <v>410</v>
      </c>
      <c r="Z4" s="573" t="s">
        <v>190</v>
      </c>
      <c r="AA4" s="573" t="s">
        <v>297</v>
      </c>
    </row>
    <row r="5" spans="1:27" s="16" customFormat="1" ht="41.25" customHeight="1" x14ac:dyDescent="0.2">
      <c r="A5" s="565"/>
      <c r="B5" s="568"/>
      <c r="C5" s="574"/>
      <c r="D5" s="571"/>
      <c r="E5" s="576"/>
      <c r="F5" s="571"/>
      <c r="G5" s="574"/>
      <c r="H5" s="572"/>
      <c r="I5" s="574"/>
      <c r="J5" s="574"/>
      <c r="K5" s="574"/>
      <c r="L5" s="574"/>
      <c r="M5" s="574"/>
      <c r="N5" s="571"/>
      <c r="O5" s="584"/>
      <c r="P5" s="574"/>
      <c r="Q5" s="576"/>
      <c r="R5" s="582"/>
      <c r="S5" s="548"/>
      <c r="T5" s="582"/>
      <c r="U5" s="583"/>
      <c r="V5" s="574"/>
      <c r="W5" s="574"/>
      <c r="X5" s="574"/>
      <c r="Y5" s="579"/>
      <c r="Z5" s="574"/>
      <c r="AA5" s="574"/>
    </row>
    <row r="6" spans="1:27" ht="14.25" customHeight="1" x14ac:dyDescent="0.25">
      <c r="A6" s="566"/>
      <c r="B6" s="569"/>
      <c r="C6" s="39" t="s">
        <v>245</v>
      </c>
      <c r="D6" s="572"/>
      <c r="E6" s="577"/>
      <c r="F6" s="572"/>
      <c r="G6" s="39" t="s">
        <v>243</v>
      </c>
      <c r="H6" s="20" t="s">
        <v>78</v>
      </c>
      <c r="I6" s="21" t="s">
        <v>79</v>
      </c>
      <c r="J6" s="21" t="s">
        <v>80</v>
      </c>
      <c r="K6" s="39" t="s">
        <v>81</v>
      </c>
      <c r="L6" s="21" t="s">
        <v>82</v>
      </c>
      <c r="M6" s="21" t="s">
        <v>83</v>
      </c>
      <c r="N6" s="572"/>
      <c r="O6" s="574"/>
      <c r="P6" s="21" t="s">
        <v>84</v>
      </c>
      <c r="Q6" s="577"/>
      <c r="R6" s="583"/>
      <c r="S6" s="40">
        <f>Paramètres!B8</f>
        <v>2021</v>
      </c>
      <c r="T6" s="583"/>
      <c r="U6" s="198" t="str">
        <f>Paramètres!B5</f>
        <v>décompte provisoire 2021</v>
      </c>
      <c r="V6" s="21" t="s">
        <v>87</v>
      </c>
      <c r="W6" s="21" t="s">
        <v>88</v>
      </c>
      <c r="X6" s="21" t="s">
        <v>89</v>
      </c>
      <c r="Y6" s="580"/>
      <c r="Z6" s="39" t="s">
        <v>86</v>
      </c>
      <c r="AA6" s="23">
        <f>Paramètres!B7</f>
        <v>43099</v>
      </c>
    </row>
    <row r="7" spans="1:27" x14ac:dyDescent="0.25">
      <c r="A7" s="8">
        <f>'A) Base RI'!A7</f>
        <v>5401</v>
      </c>
      <c r="B7" s="32" t="str">
        <f>'A) Base RI'!B7</f>
        <v>Aigle</v>
      </c>
      <c r="C7" s="10">
        <f>'A) Base RI'!C7+'A) Base RI'!D7</f>
        <v>14436685.949999999</v>
      </c>
      <c r="D7" s="10">
        <f>'A) Base RI'!W7</f>
        <v>-301234.81</v>
      </c>
      <c r="E7" s="31">
        <f>'A) Base RI'!X7</f>
        <v>0</v>
      </c>
      <c r="F7" s="31">
        <f>'A) Base RI'!Y7</f>
        <v>-9568.57</v>
      </c>
      <c r="G7" s="2">
        <f>SUM(C7:F7)</f>
        <v>14125882.569999998</v>
      </c>
      <c r="H7" s="10">
        <f>+'A) Base RI'!E7</f>
        <v>0</v>
      </c>
      <c r="I7" s="10">
        <f>+'A) Base RI'!F7</f>
        <v>0</v>
      </c>
      <c r="J7" s="10">
        <f>+'A) Base RI'!G7+'A) Base RI'!H7+'A) Base RI'!S7</f>
        <v>1605417.5</v>
      </c>
      <c r="K7" s="10">
        <f>+'A) Base RI'!I7</f>
        <v>55943.199999999997</v>
      </c>
      <c r="L7" s="10">
        <f>+'A) Base RI'!J7</f>
        <v>596061.34</v>
      </c>
      <c r="M7" s="10">
        <f>+'A) Base RI'!K7</f>
        <v>242822.05</v>
      </c>
      <c r="N7" s="10">
        <f>+'A) Base RI'!Q7</f>
        <v>78593.5</v>
      </c>
      <c r="O7" s="10">
        <f>(P7/Q7)*1</f>
        <v>1840716.5416666667</v>
      </c>
      <c r="P7" s="10">
        <f>+'A) Base RI'!L7</f>
        <v>2208859.85</v>
      </c>
      <c r="Q7" s="34">
        <f>'A) Base RI'!Z7</f>
        <v>1.2</v>
      </c>
      <c r="R7" s="2">
        <f>SUM(G7:O7)</f>
        <v>18545436.701666664</v>
      </c>
      <c r="S7" s="33">
        <f>+'A) Base RI'!U7</f>
        <v>66</v>
      </c>
      <c r="T7" s="2">
        <f>(G7+H7+J7+K7+L7+N7)</f>
        <v>16461898.109999998</v>
      </c>
      <c r="U7" s="2">
        <f>R7/S7</f>
        <v>280991.46517676767</v>
      </c>
      <c r="V7" s="10">
        <f>+'A) Base RI'!O7</f>
        <v>410971.7</v>
      </c>
      <c r="W7" s="10">
        <f>+'A) Base RI'!P7</f>
        <v>1358488.4</v>
      </c>
      <c r="X7" s="10">
        <f>+'A) Base RI'!R7</f>
        <v>428650.15</v>
      </c>
      <c r="Y7" s="2">
        <f>SUM(V7:X7)</f>
        <v>2198110.25</v>
      </c>
      <c r="Z7" s="10">
        <f>+'A) Base RI'!N7</f>
        <v>1208164.8999999999</v>
      </c>
      <c r="AA7" s="10">
        <f>'A) Base RI'!V7</f>
        <v>10828</v>
      </c>
    </row>
    <row r="8" spans="1:27" x14ac:dyDescent="0.25">
      <c r="A8" s="8">
        <f>'A) Base RI'!A8</f>
        <v>5402</v>
      </c>
      <c r="B8" s="32" t="str">
        <f>'A) Base RI'!B8</f>
        <v>Bex</v>
      </c>
      <c r="C8" s="10">
        <f>'A) Base RI'!C8+'A) Base RI'!D8</f>
        <v>11061775.07</v>
      </c>
      <c r="D8" s="10">
        <f>'A) Base RI'!W8</f>
        <v>-291750.38</v>
      </c>
      <c r="E8" s="390">
        <f>'A) Base RI'!X8</f>
        <v>0</v>
      </c>
      <c r="F8" s="390">
        <f>'A) Base RI'!Y8</f>
        <v>-3880.84</v>
      </c>
      <c r="G8" s="394">
        <f t="shared" ref="G8:G70" si="0">SUM(C8:F8)</f>
        <v>10766143.85</v>
      </c>
      <c r="H8" s="10">
        <f>+'A) Base RI'!E8</f>
        <v>0</v>
      </c>
      <c r="I8" s="10">
        <f>+'A) Base RI'!F8</f>
        <v>0</v>
      </c>
      <c r="J8" s="10">
        <f>+'A) Base RI'!G8+'A) Base RI'!H8+'A) Base RI'!S8</f>
        <v>929238.67</v>
      </c>
      <c r="K8" s="10">
        <f>+'A) Base RI'!I8</f>
        <v>117061.85</v>
      </c>
      <c r="L8" s="10">
        <f>+'A) Base RI'!J8</f>
        <v>311170.89</v>
      </c>
      <c r="M8" s="10">
        <f>+'A) Base RI'!K8</f>
        <v>109103.9</v>
      </c>
      <c r="N8" s="10">
        <f>+'A) Base RI'!Q8</f>
        <v>76761.88</v>
      </c>
      <c r="O8" s="10">
        <f t="shared" ref="O8:O70" si="1">(P8/Q8)*1</f>
        <v>1372714.6</v>
      </c>
      <c r="P8" s="10">
        <f>+'A) Base RI'!L8</f>
        <v>1715893.25</v>
      </c>
      <c r="Q8" s="402">
        <f>'A) Base RI'!Z8</f>
        <v>1.25</v>
      </c>
      <c r="R8" s="394">
        <f t="shared" ref="R8:R70" si="2">SUM(G8:O8)</f>
        <v>13682195.640000001</v>
      </c>
      <c r="S8" s="437">
        <f>+'A) Base RI'!U8</f>
        <v>71</v>
      </c>
      <c r="T8" s="394">
        <f t="shared" ref="T8:T70" si="3">(G8+H8+J8+K8+L8+N8)</f>
        <v>12200377.140000001</v>
      </c>
      <c r="U8" s="394">
        <f t="shared" ref="U8:U70" si="4">R8/S8</f>
        <v>192706.98084507044</v>
      </c>
      <c r="V8" s="10">
        <f>+'A) Base RI'!O8</f>
        <v>9093.9</v>
      </c>
      <c r="W8" s="10">
        <f>+'A) Base RI'!P8</f>
        <v>1061413.8500000001</v>
      </c>
      <c r="X8" s="10">
        <f>+'A) Base RI'!R8</f>
        <v>515474.3</v>
      </c>
      <c r="Y8" s="394">
        <f t="shared" ref="Y8:Y70" si="5">SUM(V8:X8)</f>
        <v>1585982.05</v>
      </c>
      <c r="Z8" s="10">
        <f>+'A) Base RI'!N8</f>
        <v>360746.15</v>
      </c>
      <c r="AA8" s="10">
        <f>'A) Base RI'!V8</f>
        <v>8063</v>
      </c>
    </row>
    <row r="9" spans="1:27" x14ac:dyDescent="0.25">
      <c r="A9" s="8">
        <f>'A) Base RI'!A9</f>
        <v>5403</v>
      </c>
      <c r="B9" s="32" t="str">
        <f>'A) Base RI'!B9</f>
        <v>Chessel</v>
      </c>
      <c r="C9" s="10">
        <f>'A) Base RI'!C9+'A) Base RI'!D9</f>
        <v>654078.91</v>
      </c>
      <c r="D9" s="10">
        <f>'A) Base RI'!W9</f>
        <v>-13826.16</v>
      </c>
      <c r="E9" s="390">
        <f>'A) Base RI'!X9</f>
        <v>0</v>
      </c>
      <c r="F9" s="390">
        <f>'A) Base RI'!Y9</f>
        <v>0</v>
      </c>
      <c r="G9" s="394">
        <f t="shared" si="0"/>
        <v>640252.75</v>
      </c>
      <c r="H9" s="10">
        <f>+'A) Base RI'!E9</f>
        <v>0</v>
      </c>
      <c r="I9" s="10">
        <f>+'A) Base RI'!F9</f>
        <v>0</v>
      </c>
      <c r="J9" s="10">
        <f>+'A) Base RI'!G9+'A) Base RI'!H9+'A) Base RI'!S9</f>
        <v>119295.44</v>
      </c>
      <c r="K9" s="10">
        <f>+'A) Base RI'!I9</f>
        <v>0</v>
      </c>
      <c r="L9" s="10">
        <f>+'A) Base RI'!J9</f>
        <v>38914.879999999997</v>
      </c>
      <c r="M9" s="10">
        <f>+'A) Base RI'!K9</f>
        <v>7613.8</v>
      </c>
      <c r="N9" s="10">
        <f>+'A) Base RI'!Q9</f>
        <v>-631.95000000000005</v>
      </c>
      <c r="O9" s="10">
        <f t="shared" si="1"/>
        <v>89239.7</v>
      </c>
      <c r="P9" s="10">
        <f>+'A) Base RI'!L9</f>
        <v>89239.7</v>
      </c>
      <c r="Q9" s="402">
        <f>'A) Base RI'!Z9</f>
        <v>1</v>
      </c>
      <c r="R9" s="394">
        <f t="shared" si="2"/>
        <v>894684.62</v>
      </c>
      <c r="S9" s="437">
        <f>+'A) Base RI'!U9</f>
        <v>74</v>
      </c>
      <c r="T9" s="394">
        <f t="shared" si="3"/>
        <v>797831.12</v>
      </c>
      <c r="U9" s="394">
        <f t="shared" si="4"/>
        <v>12090.332702702703</v>
      </c>
      <c r="V9" s="10">
        <f>+'A) Base RI'!O9</f>
        <v>9021</v>
      </c>
      <c r="W9" s="10">
        <f>+'A) Base RI'!P9</f>
        <v>69123.399999999994</v>
      </c>
      <c r="X9" s="10">
        <f>+'A) Base RI'!R9</f>
        <v>-305.2</v>
      </c>
      <c r="Y9" s="394">
        <f t="shared" si="5"/>
        <v>77839.199999999997</v>
      </c>
      <c r="Z9" s="10">
        <f>+'A) Base RI'!N9</f>
        <v>5448.25</v>
      </c>
      <c r="AA9" s="10">
        <f>'A) Base RI'!V9</f>
        <v>497</v>
      </c>
    </row>
    <row r="10" spans="1:27" x14ac:dyDescent="0.25">
      <c r="A10" s="8">
        <f>'A) Base RI'!A10</f>
        <v>5404</v>
      </c>
      <c r="B10" s="32" t="str">
        <f>'A) Base RI'!B10</f>
        <v>Corbeyrier</v>
      </c>
      <c r="C10" s="10">
        <f>'A) Base RI'!C10+'A) Base RI'!D10</f>
        <v>760354.83</v>
      </c>
      <c r="D10" s="10">
        <f>'A) Base RI'!W10</f>
        <v>-3920.21</v>
      </c>
      <c r="E10" s="390">
        <f>'A) Base RI'!X10</f>
        <v>0</v>
      </c>
      <c r="F10" s="390">
        <f>'A) Base RI'!Y10</f>
        <v>-110.6</v>
      </c>
      <c r="G10" s="394">
        <f t="shared" si="0"/>
        <v>756324.02</v>
      </c>
      <c r="H10" s="10">
        <f>+'A) Base RI'!E10</f>
        <v>0</v>
      </c>
      <c r="I10" s="10">
        <f>+'A) Base RI'!F10</f>
        <v>0</v>
      </c>
      <c r="J10" s="10">
        <f>+'A) Base RI'!G10+'A) Base RI'!H10+'A) Base RI'!S10</f>
        <v>7675.61</v>
      </c>
      <c r="K10" s="10">
        <f>+'A) Base RI'!I10</f>
        <v>0</v>
      </c>
      <c r="L10" s="10">
        <f>+'A) Base RI'!J10</f>
        <v>2548.21</v>
      </c>
      <c r="M10" s="10">
        <f>+'A) Base RI'!K10</f>
        <v>1699.05</v>
      </c>
      <c r="N10" s="10">
        <f>+'A) Base RI'!Q10</f>
        <v>0</v>
      </c>
      <c r="O10" s="10">
        <f t="shared" si="1"/>
        <v>88755.900000000009</v>
      </c>
      <c r="P10" s="10">
        <f>+'A) Base RI'!L10</f>
        <v>133133.85</v>
      </c>
      <c r="Q10" s="402">
        <f>'A) Base RI'!Z10</f>
        <v>1.5</v>
      </c>
      <c r="R10" s="394">
        <f t="shared" si="2"/>
        <v>857002.79</v>
      </c>
      <c r="S10" s="437">
        <f>+'A) Base RI'!U10</f>
        <v>74</v>
      </c>
      <c r="T10" s="394">
        <f t="shared" si="3"/>
        <v>766547.84</v>
      </c>
      <c r="U10" s="394">
        <f t="shared" si="4"/>
        <v>11581.118783783784</v>
      </c>
      <c r="V10" s="10">
        <f>+'A) Base RI'!O10</f>
        <v>49601.3</v>
      </c>
      <c r="W10" s="10">
        <f>+'A) Base RI'!P10</f>
        <v>22659.1</v>
      </c>
      <c r="X10" s="10">
        <f>+'A) Base RI'!R10</f>
        <v>24811.85</v>
      </c>
      <c r="Y10" s="394">
        <f t="shared" si="5"/>
        <v>97072.25</v>
      </c>
      <c r="Z10" s="10">
        <f>+'A) Base RI'!N10</f>
        <v>20708.849999999999</v>
      </c>
      <c r="AA10" s="10">
        <f>'A) Base RI'!V10</f>
        <v>439</v>
      </c>
    </row>
    <row r="11" spans="1:27" x14ac:dyDescent="0.25">
      <c r="A11" s="8">
        <f>'A) Base RI'!A11</f>
        <v>5405</v>
      </c>
      <c r="B11" s="32" t="str">
        <f>'A) Base RI'!B11</f>
        <v>Gryon</v>
      </c>
      <c r="C11" s="10">
        <f>'A) Base RI'!C11+'A) Base RI'!D11</f>
        <v>4356706.59</v>
      </c>
      <c r="D11" s="10">
        <f>'A) Base RI'!W11</f>
        <v>-44847.199999999997</v>
      </c>
      <c r="E11" s="390">
        <f>'A) Base RI'!X11</f>
        <v>0</v>
      </c>
      <c r="F11" s="390">
        <f>'A) Base RI'!Y11</f>
        <v>-2520.9</v>
      </c>
      <c r="G11" s="394">
        <f t="shared" si="0"/>
        <v>4309338.4899999993</v>
      </c>
      <c r="H11" s="10">
        <f>+'A) Base RI'!E11</f>
        <v>0</v>
      </c>
      <c r="I11" s="10">
        <f>+'A) Base RI'!F11</f>
        <v>0</v>
      </c>
      <c r="J11" s="10">
        <f>+'A) Base RI'!G11+'A) Base RI'!H11+'A) Base RI'!S11</f>
        <v>106066.15999999999</v>
      </c>
      <c r="K11" s="10">
        <f>+'A) Base RI'!I11</f>
        <v>386758.04</v>
      </c>
      <c r="L11" s="10">
        <f>+'A) Base RI'!J11</f>
        <v>112374.65</v>
      </c>
      <c r="M11" s="10">
        <f>+'A) Base RI'!K11</f>
        <v>-747.3</v>
      </c>
      <c r="N11" s="10">
        <f>+'A) Base RI'!Q11</f>
        <v>23617.99</v>
      </c>
      <c r="O11" s="10">
        <f t="shared" si="1"/>
        <v>803760.4</v>
      </c>
      <c r="P11" s="10">
        <f>+'A) Base RI'!L11</f>
        <v>1205640.6000000001</v>
      </c>
      <c r="Q11" s="402">
        <f>'A) Base RI'!Z11</f>
        <v>1.5</v>
      </c>
      <c r="R11" s="394">
        <f t="shared" si="2"/>
        <v>5741168.4300000006</v>
      </c>
      <c r="S11" s="437">
        <f>+'A) Base RI'!U11</f>
        <v>73.5</v>
      </c>
      <c r="T11" s="394">
        <f t="shared" si="3"/>
        <v>4938155.33</v>
      </c>
      <c r="U11" s="394">
        <f t="shared" si="4"/>
        <v>78111.135102040818</v>
      </c>
      <c r="V11" s="10">
        <f>+'A) Base RI'!O11</f>
        <v>51326.7</v>
      </c>
      <c r="W11" s="10">
        <f>+'A) Base RI'!P11</f>
        <v>756851.5</v>
      </c>
      <c r="X11" s="10">
        <f>+'A) Base RI'!R11</f>
        <v>645085.5</v>
      </c>
      <c r="Y11" s="394">
        <f t="shared" si="5"/>
        <v>1453263.7</v>
      </c>
      <c r="Z11" s="10">
        <f>+'A) Base RI'!N11</f>
        <v>4448.5</v>
      </c>
      <c r="AA11" s="10">
        <f>'A) Base RI'!V11</f>
        <v>1382</v>
      </c>
    </row>
    <row r="12" spans="1:27" x14ac:dyDescent="0.25">
      <c r="A12" s="8">
        <f>'A) Base RI'!A12</f>
        <v>5406</v>
      </c>
      <c r="B12" s="32" t="str">
        <f>'A) Base RI'!B12</f>
        <v>Lavey-Morcles</v>
      </c>
      <c r="C12" s="10">
        <f>'A) Base RI'!C12+'A) Base RI'!D12</f>
        <v>1303939.47</v>
      </c>
      <c r="D12" s="10">
        <f>'A) Base RI'!W12</f>
        <v>-32622.91</v>
      </c>
      <c r="E12" s="390">
        <f>'A) Base RI'!X12</f>
        <v>0</v>
      </c>
      <c r="F12" s="390">
        <f>'A) Base RI'!Y12</f>
        <v>-5.0599999999999996</v>
      </c>
      <c r="G12" s="394">
        <f t="shared" si="0"/>
        <v>1271311.5</v>
      </c>
      <c r="H12" s="10">
        <f>+'A) Base RI'!E12</f>
        <v>0</v>
      </c>
      <c r="I12" s="10">
        <f>+'A) Base RI'!F12</f>
        <v>0</v>
      </c>
      <c r="J12" s="10">
        <f>+'A) Base RI'!G12+'A) Base RI'!H12+'A) Base RI'!S12</f>
        <v>46274.47</v>
      </c>
      <c r="K12" s="10">
        <f>+'A) Base RI'!I12</f>
        <v>0</v>
      </c>
      <c r="L12" s="10">
        <f>+'A) Base RI'!J12</f>
        <v>53070.03</v>
      </c>
      <c r="M12" s="10">
        <f>+'A) Base RI'!K12</f>
        <v>10325.5</v>
      </c>
      <c r="N12" s="10">
        <f>+'A) Base RI'!Q12</f>
        <v>528.94000000000005</v>
      </c>
      <c r="O12" s="10">
        <f t="shared" si="1"/>
        <v>156727.84615384616</v>
      </c>
      <c r="P12" s="10">
        <f>+'A) Base RI'!L12</f>
        <v>203746.2</v>
      </c>
      <c r="Q12" s="402">
        <f>'A) Base RI'!Z12</f>
        <v>1.3</v>
      </c>
      <c r="R12" s="394">
        <f t="shared" si="2"/>
        <v>1538238.2861538462</v>
      </c>
      <c r="S12" s="437">
        <f>+'A) Base RI'!U12</f>
        <v>71.5</v>
      </c>
      <c r="T12" s="394">
        <f t="shared" si="3"/>
        <v>1371184.94</v>
      </c>
      <c r="U12" s="394">
        <f t="shared" si="4"/>
        <v>21513.822183969878</v>
      </c>
      <c r="V12" s="10">
        <f>+'A) Base RI'!O12</f>
        <v>11382</v>
      </c>
      <c r="W12" s="10">
        <f>+'A) Base RI'!P12</f>
        <v>81126.600000000006</v>
      </c>
      <c r="X12" s="10">
        <f>+'A) Base RI'!R12</f>
        <v>7487.45</v>
      </c>
      <c r="Y12" s="394">
        <f t="shared" si="5"/>
        <v>99996.05</v>
      </c>
      <c r="Z12" s="10">
        <f>+'A) Base RI'!N12</f>
        <v>1948.95</v>
      </c>
      <c r="AA12" s="10">
        <f>'A) Base RI'!V12</f>
        <v>966</v>
      </c>
    </row>
    <row r="13" spans="1:27" x14ac:dyDescent="0.25">
      <c r="A13" s="8">
        <f>'A) Base RI'!A13</f>
        <v>5407</v>
      </c>
      <c r="B13" s="32" t="str">
        <f>'A) Base RI'!B13</f>
        <v>Leysin</v>
      </c>
      <c r="C13" s="10">
        <f>'A) Base RI'!C13+'A) Base RI'!D13</f>
        <v>5334478.7399999993</v>
      </c>
      <c r="D13" s="10">
        <f>'A) Base RI'!W13</f>
        <v>-89906.13</v>
      </c>
      <c r="E13" s="390">
        <f>'A) Base RI'!X13</f>
        <v>0</v>
      </c>
      <c r="F13" s="390">
        <f>'A) Base RI'!Y13</f>
        <v>-4230.0200000000004</v>
      </c>
      <c r="G13" s="394">
        <f t="shared" si="0"/>
        <v>5240342.59</v>
      </c>
      <c r="H13" s="10">
        <f>+'A) Base RI'!E13</f>
        <v>0</v>
      </c>
      <c r="I13" s="10">
        <f>+'A) Base RI'!F13</f>
        <v>0</v>
      </c>
      <c r="J13" s="10">
        <f>+'A) Base RI'!G13+'A) Base RI'!H13+'A) Base RI'!S13</f>
        <v>248943.72</v>
      </c>
      <c r="K13" s="10">
        <f>+'A) Base RI'!I13</f>
        <v>211498.75</v>
      </c>
      <c r="L13" s="10">
        <f>+'A) Base RI'!J13</f>
        <v>456345.87</v>
      </c>
      <c r="M13" s="10">
        <f>+'A) Base RI'!K13</f>
        <v>56260.45</v>
      </c>
      <c r="N13" s="10">
        <f>+'A) Base RI'!Q13</f>
        <v>11033.17</v>
      </c>
      <c r="O13" s="10">
        <f t="shared" si="1"/>
        <v>849196.06666666677</v>
      </c>
      <c r="P13" s="10">
        <f>+'A) Base RI'!L13</f>
        <v>1273794.1000000001</v>
      </c>
      <c r="Q13" s="402">
        <f>'A) Base RI'!Z13</f>
        <v>1.5</v>
      </c>
      <c r="R13" s="394">
        <f t="shared" si="2"/>
        <v>7073620.6166666662</v>
      </c>
      <c r="S13" s="437">
        <f>+'A) Base RI'!U13</f>
        <v>78</v>
      </c>
      <c r="T13" s="394">
        <f t="shared" si="3"/>
        <v>6168164.0999999996</v>
      </c>
      <c r="U13" s="394">
        <f t="shared" si="4"/>
        <v>90687.443803418792</v>
      </c>
      <c r="V13" s="10">
        <f>+'A) Base RI'!O13</f>
        <v>260687.7</v>
      </c>
      <c r="W13" s="10">
        <f>+'A) Base RI'!P13</f>
        <v>500748.79999999999</v>
      </c>
      <c r="X13" s="10">
        <f>+'A) Base RI'!R13</f>
        <v>341066.9</v>
      </c>
      <c r="Y13" s="394">
        <f t="shared" si="5"/>
        <v>1102503.3999999999</v>
      </c>
      <c r="Z13" s="10">
        <f>+'A) Base RI'!N13</f>
        <v>85323.25</v>
      </c>
      <c r="AA13" s="10">
        <f>'A) Base RI'!V13</f>
        <v>3637</v>
      </c>
    </row>
    <row r="14" spans="1:27" x14ac:dyDescent="0.25">
      <c r="A14" s="8">
        <f>'A) Base RI'!A14</f>
        <v>5408</v>
      </c>
      <c r="B14" s="32" t="str">
        <f>'A) Base RI'!B14</f>
        <v>Noville</v>
      </c>
      <c r="C14" s="10">
        <f>'A) Base RI'!C14+'A) Base RI'!D14</f>
        <v>2583504.9500000002</v>
      </c>
      <c r="D14" s="10">
        <f>'A) Base RI'!W14</f>
        <v>-33424.71</v>
      </c>
      <c r="E14" s="390">
        <f>'A) Base RI'!X14</f>
        <v>0</v>
      </c>
      <c r="F14" s="390">
        <f>'A) Base RI'!Y14</f>
        <v>-123.9</v>
      </c>
      <c r="G14" s="394">
        <f t="shared" si="0"/>
        <v>2549956.3400000003</v>
      </c>
      <c r="H14" s="10">
        <f>+'A) Base RI'!E14</f>
        <v>0</v>
      </c>
      <c r="I14" s="10">
        <f>+'A) Base RI'!F14</f>
        <v>0</v>
      </c>
      <c r="J14" s="10">
        <f>+'A) Base RI'!G14+'A) Base RI'!H14+'A) Base RI'!S14</f>
        <v>268863.99</v>
      </c>
      <c r="K14" s="10">
        <f>+'A) Base RI'!I14</f>
        <v>0</v>
      </c>
      <c r="L14" s="10">
        <f>+'A) Base RI'!J14</f>
        <v>58629.81</v>
      </c>
      <c r="M14" s="10">
        <f>+'A) Base RI'!K14</f>
        <v>25719.3</v>
      </c>
      <c r="N14" s="10">
        <f>+'A) Base RI'!Q14</f>
        <v>548.74</v>
      </c>
      <c r="O14" s="10">
        <f t="shared" si="1"/>
        <v>345353.06666666665</v>
      </c>
      <c r="P14" s="10">
        <f>+'A) Base RI'!L14</f>
        <v>518029.6</v>
      </c>
      <c r="Q14" s="402">
        <f>'A) Base RI'!Z14</f>
        <v>1.5</v>
      </c>
      <c r="R14" s="394">
        <f t="shared" si="2"/>
        <v>3249071.2466666671</v>
      </c>
      <c r="S14" s="437">
        <f>+'A) Base RI'!U14</f>
        <v>78.5</v>
      </c>
      <c r="T14" s="394">
        <f t="shared" si="3"/>
        <v>2877998.8800000004</v>
      </c>
      <c r="U14" s="394">
        <f t="shared" si="4"/>
        <v>41389.442632696395</v>
      </c>
      <c r="V14" s="10">
        <f>+'A) Base RI'!O14</f>
        <v>0</v>
      </c>
      <c r="W14" s="10">
        <f>+'A) Base RI'!P14</f>
        <v>378889</v>
      </c>
      <c r="X14" s="10">
        <f>+'A) Base RI'!R14</f>
        <v>65793.05</v>
      </c>
      <c r="Y14" s="394">
        <f t="shared" si="5"/>
        <v>444682.05</v>
      </c>
      <c r="Z14" s="10">
        <f>+'A) Base RI'!N14</f>
        <v>139810.25</v>
      </c>
      <c r="AA14" s="10">
        <f>'A) Base RI'!V14</f>
        <v>1169</v>
      </c>
    </row>
    <row r="15" spans="1:27" x14ac:dyDescent="0.25">
      <c r="A15" s="8">
        <f>'A) Base RI'!A15</f>
        <v>5409</v>
      </c>
      <c r="B15" s="32" t="str">
        <f>'A) Base RI'!B15</f>
        <v>Ollon</v>
      </c>
      <c r="C15" s="10">
        <f>'A) Base RI'!C15+'A) Base RI'!D15</f>
        <v>22007860.940000001</v>
      </c>
      <c r="D15" s="10">
        <f>'A) Base RI'!W15</f>
        <v>-491179.55</v>
      </c>
      <c r="E15" s="390">
        <f>'A) Base RI'!X15</f>
        <v>0</v>
      </c>
      <c r="F15" s="390">
        <f>'A) Base RI'!Y15</f>
        <v>-35458.14</v>
      </c>
      <c r="G15" s="394">
        <f t="shared" si="0"/>
        <v>21481223.25</v>
      </c>
      <c r="H15" s="10">
        <f>+'A) Base RI'!E15</f>
        <v>0</v>
      </c>
      <c r="I15" s="10">
        <f>+'A) Base RI'!F15</f>
        <v>0</v>
      </c>
      <c r="J15" s="10">
        <f>+'A) Base RI'!G15+'A) Base RI'!H15+'A) Base RI'!S15</f>
        <v>863792.5</v>
      </c>
      <c r="K15" s="10">
        <f>+'A) Base RI'!I15</f>
        <v>2580549.39</v>
      </c>
      <c r="L15" s="10">
        <f>+'A) Base RI'!J15</f>
        <v>665284.18000000005</v>
      </c>
      <c r="M15" s="10">
        <f>+'A) Base RI'!K15</f>
        <v>76424.5</v>
      </c>
      <c r="N15" s="10">
        <f>+'A) Base RI'!Q15</f>
        <v>258393.78</v>
      </c>
      <c r="O15" s="10">
        <f t="shared" si="1"/>
        <v>3196213.7307692305</v>
      </c>
      <c r="P15" s="10">
        <f>+'A) Base RI'!L15</f>
        <v>4155077.85</v>
      </c>
      <c r="Q15" s="402">
        <f>'A) Base RI'!Z15</f>
        <v>1.3</v>
      </c>
      <c r="R15" s="394">
        <f t="shared" si="2"/>
        <v>29121881.330769233</v>
      </c>
      <c r="S15" s="437">
        <f>+'A) Base RI'!U15</f>
        <v>68</v>
      </c>
      <c r="T15" s="394">
        <f t="shared" si="3"/>
        <v>25849243.100000001</v>
      </c>
      <c r="U15" s="394">
        <f t="shared" si="4"/>
        <v>428262.96074660635</v>
      </c>
      <c r="V15" s="10">
        <f>+'A) Base RI'!O15</f>
        <v>3308119.65</v>
      </c>
      <c r="W15" s="10">
        <f>+'A) Base RI'!P15</f>
        <v>2981009.85</v>
      </c>
      <c r="X15" s="10">
        <f>+'A) Base RI'!R15</f>
        <v>1526736</v>
      </c>
      <c r="Y15" s="394">
        <f t="shared" si="5"/>
        <v>7815865.5</v>
      </c>
      <c r="Z15" s="10">
        <f>+'A) Base RI'!N15</f>
        <v>83657.55</v>
      </c>
      <c r="AA15" s="10">
        <f>'A) Base RI'!V15</f>
        <v>7904</v>
      </c>
    </row>
    <row r="16" spans="1:27" x14ac:dyDescent="0.25">
      <c r="A16" s="8">
        <f>'A) Base RI'!A16</f>
        <v>5410</v>
      </c>
      <c r="B16" s="32" t="str">
        <f>'A) Base RI'!B16</f>
        <v>Ormont-Dessous</v>
      </c>
      <c r="C16" s="10">
        <f>'A) Base RI'!C16+'A) Base RI'!D16</f>
        <v>2424061.21</v>
      </c>
      <c r="D16" s="10">
        <f>'A) Base RI'!W16</f>
        <v>-18212.55</v>
      </c>
      <c r="E16" s="390">
        <f>'A) Base RI'!X16</f>
        <v>0</v>
      </c>
      <c r="F16" s="390">
        <f>'A) Base RI'!Y16</f>
        <v>-228.16</v>
      </c>
      <c r="G16" s="394">
        <f t="shared" si="0"/>
        <v>2405620.5</v>
      </c>
      <c r="H16" s="10">
        <f>+'A) Base RI'!E16</f>
        <v>0</v>
      </c>
      <c r="I16" s="10">
        <f>+'A) Base RI'!F16</f>
        <v>0</v>
      </c>
      <c r="J16" s="10">
        <f>+'A) Base RI'!G16+'A) Base RI'!H16+'A) Base RI'!S16</f>
        <v>36244.92</v>
      </c>
      <c r="K16" s="10">
        <f>+'A) Base RI'!I16</f>
        <v>0</v>
      </c>
      <c r="L16" s="10">
        <f>+'A) Base RI'!J16</f>
        <v>57273.55</v>
      </c>
      <c r="M16" s="10">
        <f>+'A) Base RI'!K16</f>
        <v>12013.85</v>
      </c>
      <c r="N16" s="10">
        <f>+'A) Base RI'!Q16</f>
        <v>68947.58</v>
      </c>
      <c r="O16" s="10">
        <f t="shared" si="1"/>
        <v>392654.39999999997</v>
      </c>
      <c r="P16" s="10">
        <f>+'A) Base RI'!L16</f>
        <v>588981.6</v>
      </c>
      <c r="Q16" s="402">
        <f>'A) Base RI'!Z16</f>
        <v>1.5</v>
      </c>
      <c r="R16" s="394">
        <f t="shared" si="2"/>
        <v>2972754.8</v>
      </c>
      <c r="S16" s="437">
        <f>+'A) Base RI'!U16</f>
        <v>77</v>
      </c>
      <c r="T16" s="394">
        <f t="shared" si="3"/>
        <v>2568086.5499999998</v>
      </c>
      <c r="U16" s="394">
        <f t="shared" si="4"/>
        <v>38607.205194805196</v>
      </c>
      <c r="V16" s="10">
        <f>+'A) Base RI'!O16</f>
        <v>209907.6</v>
      </c>
      <c r="W16" s="10">
        <f>+'A) Base RI'!P16</f>
        <v>222863.15</v>
      </c>
      <c r="X16" s="10">
        <f>+'A) Base RI'!R16</f>
        <v>217531.4</v>
      </c>
      <c r="Y16" s="394">
        <f t="shared" si="5"/>
        <v>650302.15</v>
      </c>
      <c r="Z16" s="10">
        <f>+'A) Base RI'!N16</f>
        <v>13127.75</v>
      </c>
      <c r="AA16" s="10">
        <f>'A) Base RI'!V16</f>
        <v>1162</v>
      </c>
    </row>
    <row r="17" spans="1:27" x14ac:dyDescent="0.25">
      <c r="A17" s="8">
        <f>'A) Base RI'!A17</f>
        <v>5411</v>
      </c>
      <c r="B17" s="32" t="str">
        <f>'A) Base RI'!B17</f>
        <v>Ormont-Dessus</v>
      </c>
      <c r="C17" s="10">
        <f>'A) Base RI'!C17+'A) Base RI'!D17</f>
        <v>4694834.21</v>
      </c>
      <c r="D17" s="10">
        <f>'A) Base RI'!W17</f>
        <v>-53846.27</v>
      </c>
      <c r="E17" s="390">
        <f>'A) Base RI'!X17</f>
        <v>0</v>
      </c>
      <c r="F17" s="390">
        <f>'A) Base RI'!Y17</f>
        <v>-3427.92</v>
      </c>
      <c r="G17" s="394">
        <f t="shared" si="0"/>
        <v>4637560.0200000005</v>
      </c>
      <c r="H17" s="10">
        <f>+'A) Base RI'!E17</f>
        <v>0</v>
      </c>
      <c r="I17" s="10">
        <f>+'A) Base RI'!F17</f>
        <v>0</v>
      </c>
      <c r="J17" s="10">
        <f>+'A) Base RI'!G17+'A) Base RI'!H17+'A) Base RI'!S17</f>
        <v>116380.76000000001</v>
      </c>
      <c r="K17" s="10">
        <f>+'A) Base RI'!I17</f>
        <v>118306.4</v>
      </c>
      <c r="L17" s="10">
        <f>+'A) Base RI'!J17</f>
        <v>142093.76999999999</v>
      </c>
      <c r="M17" s="10">
        <f>+'A) Base RI'!K17</f>
        <v>14419.25</v>
      </c>
      <c r="N17" s="10">
        <f>+'A) Base RI'!Q17</f>
        <v>5781.12</v>
      </c>
      <c r="O17" s="10">
        <f t="shared" si="1"/>
        <v>848725.93333333323</v>
      </c>
      <c r="P17" s="10">
        <f>+'A) Base RI'!L17</f>
        <v>1273088.8999999999</v>
      </c>
      <c r="Q17" s="402">
        <f>'A) Base RI'!Z17</f>
        <v>1.5</v>
      </c>
      <c r="R17" s="394">
        <f t="shared" si="2"/>
        <v>5883267.2533333339</v>
      </c>
      <c r="S17" s="437">
        <f>+'A) Base RI'!U17</f>
        <v>76</v>
      </c>
      <c r="T17" s="394">
        <f t="shared" si="3"/>
        <v>5020122.07</v>
      </c>
      <c r="U17" s="394">
        <f t="shared" si="4"/>
        <v>77411.411228070181</v>
      </c>
      <c r="V17" s="10">
        <f>+'A) Base RI'!O17</f>
        <v>46659.6</v>
      </c>
      <c r="W17" s="10">
        <f>+'A) Base RI'!P17</f>
        <v>527910.9</v>
      </c>
      <c r="X17" s="10">
        <f>+'A) Base RI'!R17</f>
        <v>451099.35</v>
      </c>
      <c r="Y17" s="394">
        <f t="shared" si="5"/>
        <v>1025669.85</v>
      </c>
      <c r="Z17" s="10">
        <f>+'A) Base RI'!N17</f>
        <v>8538.2000000000007</v>
      </c>
      <c r="AA17" s="10">
        <f>'A) Base RI'!V17</f>
        <v>1451</v>
      </c>
    </row>
    <row r="18" spans="1:27" x14ac:dyDescent="0.25">
      <c r="A18" s="8">
        <f>'A) Base RI'!A18</f>
        <v>5412</v>
      </c>
      <c r="B18" s="32" t="str">
        <f>'A) Base RI'!B18</f>
        <v>Rennaz</v>
      </c>
      <c r="C18" s="10">
        <f>'A) Base RI'!C18+'A) Base RI'!D18</f>
        <v>1322753.28</v>
      </c>
      <c r="D18" s="10">
        <f>'A) Base RI'!W18</f>
        <v>-27629.17</v>
      </c>
      <c r="E18" s="390">
        <f>'A) Base RI'!X18</f>
        <v>0</v>
      </c>
      <c r="F18" s="390">
        <f>'A) Base RI'!Y18</f>
        <v>-71.84</v>
      </c>
      <c r="G18" s="394">
        <f t="shared" si="0"/>
        <v>1295052.27</v>
      </c>
      <c r="H18" s="10">
        <f>+'A) Base RI'!E18</f>
        <v>0</v>
      </c>
      <c r="I18" s="10">
        <f>+'A) Base RI'!F18</f>
        <v>0</v>
      </c>
      <c r="J18" s="10">
        <f>+'A) Base RI'!G18+'A) Base RI'!H18+'A) Base RI'!S18</f>
        <v>203783.86000000002</v>
      </c>
      <c r="K18" s="10">
        <f>+'A) Base RI'!I18</f>
        <v>0</v>
      </c>
      <c r="L18" s="10">
        <f>+'A) Base RI'!J18</f>
        <v>92707.5</v>
      </c>
      <c r="M18" s="10">
        <f>+'A) Base RI'!K18</f>
        <v>48156.45</v>
      </c>
      <c r="N18" s="10">
        <f>+'A) Base RI'!Q18</f>
        <v>266.27999999999997</v>
      </c>
      <c r="O18" s="10">
        <f t="shared" si="1"/>
        <v>352477.6</v>
      </c>
      <c r="P18" s="10">
        <f>+'A) Base RI'!L18</f>
        <v>352477.6</v>
      </c>
      <c r="Q18" s="402">
        <f>'A) Base RI'!Z18</f>
        <v>1</v>
      </c>
      <c r="R18" s="394">
        <f t="shared" si="2"/>
        <v>1992443.96</v>
      </c>
      <c r="S18" s="437">
        <f>+'A) Base RI'!U18</f>
        <v>69</v>
      </c>
      <c r="T18" s="394">
        <f t="shared" si="3"/>
        <v>1591809.9100000001</v>
      </c>
      <c r="U18" s="394">
        <f t="shared" si="4"/>
        <v>28875.999420289856</v>
      </c>
      <c r="V18" s="10">
        <f>+'A) Base RI'!O18</f>
        <v>0</v>
      </c>
      <c r="W18" s="10">
        <f>+'A) Base RI'!P18</f>
        <v>72356.100000000006</v>
      </c>
      <c r="X18" s="10">
        <f>+'A) Base RI'!R18</f>
        <v>50258.15</v>
      </c>
      <c r="Y18" s="394">
        <f t="shared" si="5"/>
        <v>122614.25</v>
      </c>
      <c r="Z18" s="10">
        <f>+'A) Base RI'!N18</f>
        <v>939726.85</v>
      </c>
      <c r="AA18" s="10">
        <f>'A) Base RI'!V18</f>
        <v>883</v>
      </c>
    </row>
    <row r="19" spans="1:27" x14ac:dyDescent="0.25">
      <c r="A19" s="8">
        <f>'A) Base RI'!A19</f>
        <v>5413</v>
      </c>
      <c r="B19" s="32" t="str">
        <f>'A) Base RI'!B19</f>
        <v>Roche</v>
      </c>
      <c r="C19" s="10">
        <f>'A) Base RI'!C19+'A) Base RI'!D19</f>
        <v>2442908.2199999997</v>
      </c>
      <c r="D19" s="10">
        <f>'A) Base RI'!W19</f>
        <v>-72050.83</v>
      </c>
      <c r="E19" s="390">
        <f>'A) Base RI'!X19</f>
        <v>0</v>
      </c>
      <c r="F19" s="390">
        <f>'A) Base RI'!Y19</f>
        <v>-270.43</v>
      </c>
      <c r="G19" s="394">
        <f t="shared" si="0"/>
        <v>2370586.9599999995</v>
      </c>
      <c r="H19" s="10">
        <f>+'A) Base RI'!E19</f>
        <v>0</v>
      </c>
      <c r="I19" s="10">
        <f>+'A) Base RI'!F19</f>
        <v>0</v>
      </c>
      <c r="J19" s="10">
        <f>+'A) Base RI'!G19+'A) Base RI'!H19+'A) Base RI'!S19</f>
        <v>151215.4</v>
      </c>
      <c r="K19" s="10">
        <f>+'A) Base RI'!I19</f>
        <v>0</v>
      </c>
      <c r="L19" s="10">
        <f>+'A) Base RI'!J19</f>
        <v>79364.179999999993</v>
      </c>
      <c r="M19" s="10">
        <f>+'A) Base RI'!K19</f>
        <v>33412.050000000003</v>
      </c>
      <c r="N19" s="10">
        <f>+'A) Base RI'!Q19</f>
        <v>14864.84</v>
      </c>
      <c r="O19" s="10">
        <f t="shared" si="1"/>
        <v>284657.375</v>
      </c>
      <c r="P19" s="10">
        <f>+'A) Base RI'!L19</f>
        <v>341588.85</v>
      </c>
      <c r="Q19" s="402">
        <f>'A) Base RI'!Z19</f>
        <v>1.2</v>
      </c>
      <c r="R19" s="394">
        <f t="shared" si="2"/>
        <v>2934100.8049999992</v>
      </c>
      <c r="S19" s="437">
        <f>+'A) Base RI'!U19</f>
        <v>68</v>
      </c>
      <c r="T19" s="394">
        <f t="shared" si="3"/>
        <v>2616031.3799999994</v>
      </c>
      <c r="U19" s="394">
        <f t="shared" si="4"/>
        <v>43148.541249999987</v>
      </c>
      <c r="V19" s="10">
        <f>+'A) Base RI'!O19</f>
        <v>675121.8</v>
      </c>
      <c r="W19" s="10">
        <f>+'A) Base RI'!P19</f>
        <v>130658.45</v>
      </c>
      <c r="X19" s="10">
        <f>+'A) Base RI'!R19</f>
        <v>59414.85</v>
      </c>
      <c r="Y19" s="394">
        <f t="shared" si="5"/>
        <v>865195.1</v>
      </c>
      <c r="Z19" s="10">
        <f>+'A) Base RI'!N19</f>
        <v>228687.95</v>
      </c>
      <c r="AA19" s="10">
        <f>'A) Base RI'!V19</f>
        <v>1874</v>
      </c>
    </row>
    <row r="20" spans="1:27" x14ac:dyDescent="0.25">
      <c r="A20" s="8">
        <f>'A) Base RI'!A20</f>
        <v>5414</v>
      </c>
      <c r="B20" s="32" t="str">
        <f>'A) Base RI'!B20</f>
        <v>Villeneuve</v>
      </c>
      <c r="C20" s="10">
        <f>'A) Base RI'!C20+'A) Base RI'!D20</f>
        <v>8975500.3699999992</v>
      </c>
      <c r="D20" s="10">
        <f>'A) Base RI'!W20</f>
        <v>-256999.15</v>
      </c>
      <c r="E20" s="390">
        <f>'A) Base RI'!X20</f>
        <v>0</v>
      </c>
      <c r="F20" s="390">
        <f>'A) Base RI'!Y20</f>
        <v>-4067.22</v>
      </c>
      <c r="G20" s="394">
        <f t="shared" si="0"/>
        <v>8714433.9999999981</v>
      </c>
      <c r="H20" s="10">
        <f>+'A) Base RI'!E20</f>
        <v>0</v>
      </c>
      <c r="I20" s="10">
        <f>+'A) Base RI'!F20</f>
        <v>0</v>
      </c>
      <c r="J20" s="10">
        <f>+'A) Base RI'!G20+'A) Base RI'!H20+'A) Base RI'!S20</f>
        <v>1933195.27</v>
      </c>
      <c r="K20" s="10">
        <f>+'A) Base RI'!I20</f>
        <v>105516.83</v>
      </c>
      <c r="L20" s="10">
        <f>+'A) Base RI'!J20</f>
        <v>287772.21000000002</v>
      </c>
      <c r="M20" s="10">
        <f>+'A) Base RI'!K20</f>
        <v>166580.79999999999</v>
      </c>
      <c r="N20" s="10">
        <f>+'A) Base RI'!Q20</f>
        <v>48284.82</v>
      </c>
      <c r="O20" s="10">
        <f t="shared" si="1"/>
        <v>1279790.05</v>
      </c>
      <c r="P20" s="10">
        <f>+'A) Base RI'!L20</f>
        <v>1279790.05</v>
      </c>
      <c r="Q20" s="402">
        <f>'A) Base RI'!Z20</f>
        <v>1</v>
      </c>
      <c r="R20" s="394">
        <f t="shared" si="2"/>
        <v>12535573.98</v>
      </c>
      <c r="S20" s="437">
        <f>+'A) Base RI'!U20</f>
        <v>67.5</v>
      </c>
      <c r="T20" s="394">
        <f t="shared" si="3"/>
        <v>11089203.129999999</v>
      </c>
      <c r="U20" s="394">
        <f t="shared" si="4"/>
        <v>185712.20711111111</v>
      </c>
      <c r="V20" s="10">
        <f>+'A) Base RI'!O20</f>
        <v>383509.6</v>
      </c>
      <c r="W20" s="10">
        <f>+'A) Base RI'!P20</f>
        <v>790753.4</v>
      </c>
      <c r="X20" s="10">
        <f>+'A) Base RI'!R20</f>
        <v>513080.9</v>
      </c>
      <c r="Y20" s="394">
        <f t="shared" si="5"/>
        <v>1687343.9</v>
      </c>
      <c r="Z20" s="10">
        <f>+'A) Base RI'!N20</f>
        <v>1493353.75</v>
      </c>
      <c r="AA20" s="10">
        <f>'A) Base RI'!V20</f>
        <v>5921</v>
      </c>
    </row>
    <row r="21" spans="1:27" x14ac:dyDescent="0.25">
      <c r="A21" s="8">
        <f>'A) Base RI'!A21</f>
        <v>5415</v>
      </c>
      <c r="B21" s="32" t="str">
        <f>'A) Base RI'!B21</f>
        <v>Yvorne</v>
      </c>
      <c r="C21" s="10">
        <f>'A) Base RI'!C21+'A) Base RI'!D21</f>
        <v>2138137.63</v>
      </c>
      <c r="D21" s="10">
        <f>'A) Base RI'!W21</f>
        <v>-15188.45</v>
      </c>
      <c r="E21" s="390">
        <f>'A) Base RI'!X21</f>
        <v>0</v>
      </c>
      <c r="F21" s="390">
        <f>'A) Base RI'!Y21</f>
        <v>-15.43</v>
      </c>
      <c r="G21" s="394">
        <f t="shared" si="0"/>
        <v>2122933.7499999995</v>
      </c>
      <c r="H21" s="10">
        <f>+'A) Base RI'!E21</f>
        <v>0</v>
      </c>
      <c r="I21" s="10">
        <f>+'A) Base RI'!F21</f>
        <v>0</v>
      </c>
      <c r="J21" s="10">
        <f>+'A) Base RI'!G21+'A) Base RI'!H21+'A) Base RI'!S21</f>
        <v>130066.64</v>
      </c>
      <c r="K21" s="10">
        <f>+'A) Base RI'!I21</f>
        <v>2064.5</v>
      </c>
      <c r="L21" s="10">
        <f>+'A) Base RI'!J21</f>
        <v>54660.11</v>
      </c>
      <c r="M21" s="10">
        <f>+'A) Base RI'!K21</f>
        <v>12842.7</v>
      </c>
      <c r="N21" s="10">
        <f>+'A) Base RI'!Q21</f>
        <v>7899.57</v>
      </c>
      <c r="O21" s="10">
        <f t="shared" si="1"/>
        <v>237117.36666666667</v>
      </c>
      <c r="P21" s="10">
        <f>+'A) Base RI'!L21</f>
        <v>355676.05</v>
      </c>
      <c r="Q21" s="402">
        <f>'A) Base RI'!Z21</f>
        <v>1.5</v>
      </c>
      <c r="R21" s="394">
        <f t="shared" si="2"/>
        <v>2567584.6366666663</v>
      </c>
      <c r="S21" s="437">
        <f>+'A) Base RI'!U21</f>
        <v>71.5</v>
      </c>
      <c r="T21" s="394">
        <f t="shared" si="3"/>
        <v>2317624.5699999994</v>
      </c>
      <c r="U21" s="394">
        <f t="shared" si="4"/>
        <v>35910.274638694631</v>
      </c>
      <c r="V21" s="10">
        <f>+'A) Base RI'!O21</f>
        <v>187794.7</v>
      </c>
      <c r="W21" s="10">
        <f>+'A) Base RI'!P21</f>
        <v>171774.5</v>
      </c>
      <c r="X21" s="10">
        <f>+'A) Base RI'!R21</f>
        <v>187309.7</v>
      </c>
      <c r="Y21" s="394">
        <f t="shared" si="5"/>
        <v>546878.9</v>
      </c>
      <c r="Z21" s="10">
        <f>+'A) Base RI'!N21</f>
        <v>34692.85</v>
      </c>
      <c r="AA21" s="10">
        <f>'A) Base RI'!V21</f>
        <v>1038</v>
      </c>
    </row>
    <row r="22" spans="1:27" x14ac:dyDescent="0.25">
      <c r="A22" s="8">
        <f>'A) Base RI'!A22</f>
        <v>5421</v>
      </c>
      <c r="B22" s="32" t="str">
        <f>'A) Base RI'!B22</f>
        <v>Apples</v>
      </c>
      <c r="C22" s="10">
        <f>'A) Base RI'!C22+'A) Base RI'!D22</f>
        <v>4415012.53</v>
      </c>
      <c r="D22" s="10">
        <f>'A) Base RI'!W22</f>
        <v>-47532.639999999999</v>
      </c>
      <c r="E22" s="390">
        <f>'A) Base RI'!X22</f>
        <v>0</v>
      </c>
      <c r="F22" s="390">
        <f>'A) Base RI'!Y22</f>
        <v>-5534.6</v>
      </c>
      <c r="G22" s="394">
        <f t="shared" si="0"/>
        <v>4361945.290000001</v>
      </c>
      <c r="H22" s="10">
        <f>+'A) Base RI'!E22</f>
        <v>0</v>
      </c>
      <c r="I22" s="10">
        <f>+'A) Base RI'!F22</f>
        <v>0</v>
      </c>
      <c r="J22" s="10">
        <f>+'A) Base RI'!G22+'A) Base RI'!H22+'A) Base RI'!S22</f>
        <v>75919.8</v>
      </c>
      <c r="K22" s="10">
        <f>+'A) Base RI'!I22</f>
        <v>67515.199999999997</v>
      </c>
      <c r="L22" s="10">
        <f>+'A) Base RI'!J22</f>
        <v>248770.09</v>
      </c>
      <c r="M22" s="10">
        <f>+'A) Base RI'!K22</f>
        <v>12159.5</v>
      </c>
      <c r="N22" s="10">
        <f>+'A) Base RI'!Q22</f>
        <v>481.99</v>
      </c>
      <c r="O22" s="10">
        <f t="shared" si="1"/>
        <v>304550.09999999998</v>
      </c>
      <c r="P22" s="10">
        <f>+'A) Base RI'!L22</f>
        <v>304550.09999999998</v>
      </c>
      <c r="Q22" s="402">
        <f>'A) Base RI'!Z22</f>
        <v>1</v>
      </c>
      <c r="R22" s="394">
        <f t="shared" si="2"/>
        <v>5071341.9700000007</v>
      </c>
      <c r="S22" s="437">
        <f>+'A) Base RI'!U22</f>
        <v>74</v>
      </c>
      <c r="T22" s="394">
        <f t="shared" si="3"/>
        <v>4754632.370000001</v>
      </c>
      <c r="U22" s="394">
        <f t="shared" si="4"/>
        <v>68531.648243243253</v>
      </c>
      <c r="V22" s="10">
        <f>+'A) Base RI'!O22</f>
        <v>327824</v>
      </c>
      <c r="W22" s="10">
        <f>+'A) Base RI'!P22</f>
        <v>277414.15000000002</v>
      </c>
      <c r="X22" s="10">
        <f>+'A) Base RI'!R22</f>
        <v>220334.4</v>
      </c>
      <c r="Y22" s="394">
        <f t="shared" si="5"/>
        <v>825572.55</v>
      </c>
      <c r="Z22" s="10">
        <f>+'A) Base RI'!N22</f>
        <v>45116.9</v>
      </c>
      <c r="AA22" s="10">
        <f>'A) Base RI'!V22</f>
        <v>1469</v>
      </c>
    </row>
    <row r="23" spans="1:27" x14ac:dyDescent="0.25">
      <c r="A23" s="8">
        <f>'A) Base RI'!A23</f>
        <v>5422</v>
      </c>
      <c r="B23" s="32" t="str">
        <f>'A) Base RI'!B23</f>
        <v>Aubonne</v>
      </c>
      <c r="C23" s="10">
        <f>'A) Base RI'!C23+'A) Base RI'!D23</f>
        <v>11849758.98</v>
      </c>
      <c r="D23" s="10">
        <f>'A) Base RI'!W23</f>
        <v>-311685.46999999997</v>
      </c>
      <c r="E23" s="390">
        <f>'A) Base RI'!X23</f>
        <v>0</v>
      </c>
      <c r="F23" s="390">
        <f>'A) Base RI'!Y23</f>
        <v>-8304.34</v>
      </c>
      <c r="G23" s="394">
        <f t="shared" si="0"/>
        <v>11529769.17</v>
      </c>
      <c r="H23" s="10">
        <f>+'A) Base RI'!E23</f>
        <v>0</v>
      </c>
      <c r="I23" s="10">
        <f>+'A) Base RI'!F23</f>
        <v>0</v>
      </c>
      <c r="J23" s="10">
        <f>+'A) Base RI'!G23+'A) Base RI'!H23+'A) Base RI'!S23</f>
        <v>12176192.220000001</v>
      </c>
      <c r="K23" s="10">
        <f>+'A) Base RI'!I23</f>
        <v>213869.35</v>
      </c>
      <c r="L23" s="10">
        <f>+'A) Base RI'!J23</f>
        <v>355439.33</v>
      </c>
      <c r="M23" s="10">
        <f>+'A) Base RI'!K23</f>
        <v>133262.20000000001</v>
      </c>
      <c r="N23" s="10">
        <f>+'A) Base RI'!Q23</f>
        <v>11849.31</v>
      </c>
      <c r="O23" s="10">
        <f t="shared" si="1"/>
        <v>1109072.3700000001</v>
      </c>
      <c r="P23" s="10">
        <f>+'A) Base RI'!L23</f>
        <v>1109072.3700000001</v>
      </c>
      <c r="Q23" s="402">
        <f>'A) Base RI'!Z23</f>
        <v>1</v>
      </c>
      <c r="R23" s="394">
        <f t="shared" si="2"/>
        <v>25529453.949999999</v>
      </c>
      <c r="S23" s="437">
        <f>+'A) Base RI'!U23</f>
        <v>70</v>
      </c>
      <c r="T23" s="394">
        <f t="shared" si="3"/>
        <v>24287119.379999999</v>
      </c>
      <c r="U23" s="394">
        <f t="shared" si="4"/>
        <v>364706.48499999999</v>
      </c>
      <c r="V23" s="10">
        <f>+'A) Base RI'!O23</f>
        <v>889968.1</v>
      </c>
      <c r="W23" s="10">
        <f>+'A) Base RI'!P23</f>
        <v>346638.6</v>
      </c>
      <c r="X23" s="10">
        <f>+'A) Base RI'!R23</f>
        <v>227086.8</v>
      </c>
      <c r="Y23" s="394">
        <f t="shared" si="5"/>
        <v>1463693.5</v>
      </c>
      <c r="Z23" s="10">
        <f>+'A) Base RI'!N23</f>
        <v>962173.15</v>
      </c>
      <c r="AA23" s="10">
        <f>'A) Base RI'!V23</f>
        <v>3781</v>
      </c>
    </row>
    <row r="24" spans="1:27" x14ac:dyDescent="0.25">
      <c r="A24" s="8">
        <f>'A) Base RI'!A24</f>
        <v>5423</v>
      </c>
      <c r="B24" s="32" t="str">
        <f>'A) Base RI'!B24</f>
        <v>Ballens</v>
      </c>
      <c r="C24" s="10">
        <f>'A) Base RI'!C24+'A) Base RI'!D24</f>
        <v>1073157.3699999999</v>
      </c>
      <c r="D24" s="10">
        <f>'A) Base RI'!W24</f>
        <v>-26486.6</v>
      </c>
      <c r="E24" s="390">
        <f>'A) Base RI'!X24</f>
        <v>0</v>
      </c>
      <c r="F24" s="390">
        <f>'A) Base RI'!Y24</f>
        <v>0</v>
      </c>
      <c r="G24" s="394">
        <f t="shared" si="0"/>
        <v>1046670.7699999999</v>
      </c>
      <c r="H24" s="10">
        <f>+'A) Base RI'!E24</f>
        <v>0</v>
      </c>
      <c r="I24" s="10">
        <f>+'A) Base RI'!F24</f>
        <v>0</v>
      </c>
      <c r="J24" s="10">
        <f>+'A) Base RI'!G24+'A) Base RI'!H24+'A) Base RI'!S24</f>
        <v>8503.8799999999992</v>
      </c>
      <c r="K24" s="10">
        <f>+'A) Base RI'!I24</f>
        <v>0</v>
      </c>
      <c r="L24" s="10">
        <f>+'A) Base RI'!J24</f>
        <v>43203.64</v>
      </c>
      <c r="M24" s="10">
        <f>+'A) Base RI'!K24</f>
        <v>2520.85</v>
      </c>
      <c r="N24" s="10">
        <f>+'A) Base RI'!Q24</f>
        <v>0</v>
      </c>
      <c r="O24" s="10">
        <f t="shared" si="1"/>
        <v>81295</v>
      </c>
      <c r="P24" s="10">
        <f>+'A) Base RI'!L24</f>
        <v>40647.5</v>
      </c>
      <c r="Q24" s="402">
        <f>'A) Base RI'!Z24</f>
        <v>0.5</v>
      </c>
      <c r="R24" s="394">
        <f t="shared" si="2"/>
        <v>1182194.1399999999</v>
      </c>
      <c r="S24" s="437">
        <f>+'A) Base RI'!U24</f>
        <v>73</v>
      </c>
      <c r="T24" s="394">
        <f t="shared" si="3"/>
        <v>1098378.2899999998</v>
      </c>
      <c r="U24" s="394">
        <f t="shared" si="4"/>
        <v>16194.440273972601</v>
      </c>
      <c r="V24" s="10">
        <f>+'A) Base RI'!O24</f>
        <v>0</v>
      </c>
      <c r="W24" s="10">
        <f>+'A) Base RI'!P24</f>
        <v>50178.5</v>
      </c>
      <c r="X24" s="10">
        <f>+'A) Base RI'!R24</f>
        <v>95709.2</v>
      </c>
      <c r="Y24" s="394">
        <f t="shared" si="5"/>
        <v>145887.70000000001</v>
      </c>
      <c r="Z24" s="10">
        <f>+'A) Base RI'!N24</f>
        <v>23690.6</v>
      </c>
      <c r="AA24" s="10">
        <f>'A) Base RI'!V24</f>
        <v>567</v>
      </c>
    </row>
    <row r="25" spans="1:27" x14ac:dyDescent="0.25">
      <c r="A25" s="8">
        <f>'A) Base RI'!A25</f>
        <v>5424</v>
      </c>
      <c r="B25" s="32" t="str">
        <f>'A) Base RI'!B25</f>
        <v>Berolle</v>
      </c>
      <c r="C25" s="10">
        <f>'A) Base RI'!C25+'A) Base RI'!D25</f>
        <v>570024.9</v>
      </c>
      <c r="D25" s="10">
        <f>'A) Base RI'!W25</f>
        <v>-53783.7</v>
      </c>
      <c r="E25" s="390">
        <f>'A) Base RI'!X25</f>
        <v>0</v>
      </c>
      <c r="F25" s="390">
        <f>'A) Base RI'!Y25</f>
        <v>-172.9</v>
      </c>
      <c r="G25" s="394">
        <f t="shared" si="0"/>
        <v>516068.3</v>
      </c>
      <c r="H25" s="10">
        <f>+'A) Base RI'!E25</f>
        <v>0</v>
      </c>
      <c r="I25" s="10">
        <f>+'A) Base RI'!F25</f>
        <v>0</v>
      </c>
      <c r="J25" s="10">
        <f>+'A) Base RI'!G25+'A) Base RI'!H25+'A) Base RI'!S25</f>
        <v>3377.47</v>
      </c>
      <c r="K25" s="10">
        <f>+'A) Base RI'!I25</f>
        <v>46446.65</v>
      </c>
      <c r="L25" s="10">
        <f>+'A) Base RI'!J25</f>
        <v>9616.0499999999993</v>
      </c>
      <c r="M25" s="10">
        <f>+'A) Base RI'!K25</f>
        <v>766</v>
      </c>
      <c r="N25" s="10">
        <f>+'A) Base RI'!Q25</f>
        <v>0</v>
      </c>
      <c r="O25" s="10">
        <f t="shared" si="1"/>
        <v>50516.6</v>
      </c>
      <c r="P25" s="10">
        <f>+'A) Base RI'!L25</f>
        <v>50516.6</v>
      </c>
      <c r="Q25" s="402">
        <f>'A) Base RI'!Z25</f>
        <v>1</v>
      </c>
      <c r="R25" s="394">
        <f t="shared" si="2"/>
        <v>626791.06999999995</v>
      </c>
      <c r="S25" s="437">
        <f>+'A) Base RI'!U25</f>
        <v>75.5</v>
      </c>
      <c r="T25" s="394">
        <f t="shared" si="3"/>
        <v>575508.47</v>
      </c>
      <c r="U25" s="394">
        <f t="shared" si="4"/>
        <v>8301.8684768211915</v>
      </c>
      <c r="V25" s="10">
        <f>+'A) Base RI'!O25</f>
        <v>2072.3000000000002</v>
      </c>
      <c r="W25" s="10">
        <f>+'A) Base RI'!P25</f>
        <v>26028.2</v>
      </c>
      <c r="X25" s="10">
        <f>+'A) Base RI'!R25</f>
        <v>3468.45</v>
      </c>
      <c r="Y25" s="394">
        <f t="shared" si="5"/>
        <v>31568.95</v>
      </c>
      <c r="Z25" s="10">
        <f>+'A) Base RI'!N25</f>
        <v>0</v>
      </c>
      <c r="AA25" s="10">
        <f>'A) Base RI'!V25</f>
        <v>308</v>
      </c>
    </row>
    <row r="26" spans="1:27" x14ac:dyDescent="0.25">
      <c r="A26" s="8">
        <f>'A) Base RI'!A26</f>
        <v>5425</v>
      </c>
      <c r="B26" s="32" t="str">
        <f>'A) Base RI'!B26</f>
        <v>Bière</v>
      </c>
      <c r="C26" s="10">
        <f>'A) Base RI'!C26+'A) Base RI'!D26</f>
        <v>2593980.08</v>
      </c>
      <c r="D26" s="10">
        <f>'A) Base RI'!W26</f>
        <v>-174243.94</v>
      </c>
      <c r="E26" s="390">
        <f>'A) Base RI'!X26</f>
        <v>0</v>
      </c>
      <c r="F26" s="390">
        <f>'A) Base RI'!Y26</f>
        <v>-298.74</v>
      </c>
      <c r="G26" s="394">
        <f t="shared" si="0"/>
        <v>2419437.4</v>
      </c>
      <c r="H26" s="10">
        <f>+'A) Base RI'!E26</f>
        <v>0</v>
      </c>
      <c r="I26" s="10">
        <f>+'A) Base RI'!F26</f>
        <v>0</v>
      </c>
      <c r="J26" s="10">
        <f>+'A) Base RI'!G26+'A) Base RI'!H26+'A) Base RI'!S26</f>
        <v>326561.69999999995</v>
      </c>
      <c r="K26" s="10">
        <f>+'A) Base RI'!I26</f>
        <v>0</v>
      </c>
      <c r="L26" s="10">
        <f>+'A) Base RI'!J26</f>
        <v>67129.86</v>
      </c>
      <c r="M26" s="10">
        <f>+'A) Base RI'!K26</f>
        <v>17852.900000000001</v>
      </c>
      <c r="N26" s="10">
        <f>+'A) Base RI'!Q26</f>
        <v>5589.58</v>
      </c>
      <c r="O26" s="10">
        <f t="shared" si="1"/>
        <v>215332.93103448278</v>
      </c>
      <c r="P26" s="10">
        <f>+'A) Base RI'!L26</f>
        <v>124893.1</v>
      </c>
      <c r="Q26" s="402">
        <f>'A) Base RI'!Z26</f>
        <v>0.57999999999999996</v>
      </c>
      <c r="R26" s="394">
        <f t="shared" si="2"/>
        <v>3051904.3710344825</v>
      </c>
      <c r="S26" s="437">
        <f>+'A) Base RI'!U26</f>
        <v>69</v>
      </c>
      <c r="T26" s="394">
        <f t="shared" si="3"/>
        <v>2818718.5399999996</v>
      </c>
      <c r="U26" s="394">
        <f t="shared" si="4"/>
        <v>44230.498130934531</v>
      </c>
      <c r="V26" s="10">
        <f>+'A) Base RI'!O26</f>
        <v>74117.899999999994</v>
      </c>
      <c r="W26" s="10">
        <f>+'A) Base RI'!P26</f>
        <v>108800.15</v>
      </c>
      <c r="X26" s="10">
        <f>+'A) Base RI'!R26</f>
        <v>99329</v>
      </c>
      <c r="Y26" s="394">
        <f t="shared" si="5"/>
        <v>282247.05</v>
      </c>
      <c r="Z26" s="10">
        <f>+'A) Base RI'!N26</f>
        <v>73221.8</v>
      </c>
      <c r="AA26" s="10">
        <f>'A) Base RI'!V26</f>
        <v>1634</v>
      </c>
    </row>
    <row r="27" spans="1:27" x14ac:dyDescent="0.25">
      <c r="A27" s="8">
        <f>'A) Base RI'!A27</f>
        <v>5426</v>
      </c>
      <c r="B27" s="32" t="str">
        <f>'A) Base RI'!B27</f>
        <v>Bougy-Villars</v>
      </c>
      <c r="C27" s="10">
        <f>'A) Base RI'!C27+'A) Base RI'!D27</f>
        <v>2383941.5099999998</v>
      </c>
      <c r="D27" s="10">
        <f>'A) Base RI'!W27</f>
        <v>-9230.2999999999993</v>
      </c>
      <c r="E27" s="390">
        <f>'A) Base RI'!X27</f>
        <v>0</v>
      </c>
      <c r="F27" s="390">
        <f>'A) Base RI'!Y27</f>
        <v>-6365.13</v>
      </c>
      <c r="G27" s="394">
        <f t="shared" si="0"/>
        <v>2368346.08</v>
      </c>
      <c r="H27" s="10">
        <f>+'A) Base RI'!E27</f>
        <v>0</v>
      </c>
      <c r="I27" s="10">
        <f>+'A) Base RI'!F27</f>
        <v>0</v>
      </c>
      <c r="J27" s="10">
        <f>+'A) Base RI'!G27+'A) Base RI'!H27+'A) Base RI'!S27</f>
        <v>7855.46</v>
      </c>
      <c r="K27" s="10">
        <f>+'A) Base RI'!I27</f>
        <v>736141.55</v>
      </c>
      <c r="L27" s="10">
        <f>+'A) Base RI'!J27</f>
        <v>6633.74</v>
      </c>
      <c r="M27" s="10">
        <f>+'A) Base RI'!K27</f>
        <v>4216.3</v>
      </c>
      <c r="N27" s="10">
        <f>+'A) Base RI'!Q27</f>
        <v>0</v>
      </c>
      <c r="O27" s="10">
        <f t="shared" si="1"/>
        <v>298126.70833333331</v>
      </c>
      <c r="P27" s="10">
        <f>+'A) Base RI'!L27</f>
        <v>357752.05</v>
      </c>
      <c r="Q27" s="402">
        <f>'A) Base RI'!Z27</f>
        <v>1.2</v>
      </c>
      <c r="R27" s="394">
        <f t="shared" si="2"/>
        <v>3421319.8383333334</v>
      </c>
      <c r="S27" s="437">
        <f>+'A) Base RI'!U27</f>
        <v>64.5</v>
      </c>
      <c r="T27" s="394">
        <f t="shared" si="3"/>
        <v>3118976.83</v>
      </c>
      <c r="U27" s="394">
        <f t="shared" si="4"/>
        <v>53043.718423772611</v>
      </c>
      <c r="V27" s="10">
        <f>+'A) Base RI'!O27</f>
        <v>1955529</v>
      </c>
      <c r="W27" s="10">
        <f>+'A) Base RI'!P27</f>
        <v>183230.2</v>
      </c>
      <c r="X27" s="10">
        <f>+'A) Base RI'!R27</f>
        <v>69511.05</v>
      </c>
      <c r="Y27" s="394">
        <f t="shared" si="5"/>
        <v>2208270.25</v>
      </c>
      <c r="Z27" s="10">
        <f>+'A) Base RI'!N27</f>
        <v>12144.3</v>
      </c>
      <c r="AA27" s="10">
        <f>'A) Base RI'!V27</f>
        <v>497</v>
      </c>
    </row>
    <row r="28" spans="1:27" x14ac:dyDescent="0.25">
      <c r="A28" s="8">
        <f>'A) Base RI'!A28</f>
        <v>5427</v>
      </c>
      <c r="B28" s="32" t="str">
        <f>'A) Base RI'!B28</f>
        <v>Féchy</v>
      </c>
      <c r="C28" s="10">
        <f>'A) Base RI'!C28+'A) Base RI'!D28</f>
        <v>4356093.55</v>
      </c>
      <c r="D28" s="10">
        <f>'A) Base RI'!W28</f>
        <v>-29525.919999999998</v>
      </c>
      <c r="E28" s="390">
        <f>'A) Base RI'!X28</f>
        <v>0</v>
      </c>
      <c r="F28" s="390">
        <f>'A) Base RI'!Y28</f>
        <v>-1109.8499999999999</v>
      </c>
      <c r="G28" s="394">
        <f t="shared" si="0"/>
        <v>4325457.78</v>
      </c>
      <c r="H28" s="10">
        <f>+'A) Base RI'!E28</f>
        <v>0</v>
      </c>
      <c r="I28" s="10">
        <f>+'A) Base RI'!F28</f>
        <v>0</v>
      </c>
      <c r="J28" s="10">
        <f>+'A) Base RI'!G28+'A) Base RI'!H28+'A) Base RI'!S28</f>
        <v>72564.599999999991</v>
      </c>
      <c r="K28" s="10">
        <f>+'A) Base RI'!I28</f>
        <v>836549.25</v>
      </c>
      <c r="L28" s="10">
        <f>+'A) Base RI'!J28</f>
        <v>48332.75</v>
      </c>
      <c r="M28" s="10">
        <f>+'A) Base RI'!K28</f>
        <v>0</v>
      </c>
      <c r="N28" s="10">
        <f>+'A) Base RI'!Q28</f>
        <v>486.65</v>
      </c>
      <c r="O28" s="10">
        <f t="shared" si="1"/>
        <v>362593.53846153844</v>
      </c>
      <c r="P28" s="10">
        <f>+'A) Base RI'!L28</f>
        <v>471371.6</v>
      </c>
      <c r="Q28" s="402">
        <f>'A) Base RI'!Z28</f>
        <v>1.3</v>
      </c>
      <c r="R28" s="394">
        <f t="shared" si="2"/>
        <v>5645984.5684615383</v>
      </c>
      <c r="S28" s="437">
        <f>+'A) Base RI'!U28</f>
        <v>64</v>
      </c>
      <c r="T28" s="394">
        <f t="shared" si="3"/>
        <v>5283391.03</v>
      </c>
      <c r="U28" s="394">
        <f t="shared" si="4"/>
        <v>88218.508882211536</v>
      </c>
      <c r="V28" s="10">
        <f>+'A) Base RI'!O28</f>
        <v>5395.5</v>
      </c>
      <c r="W28" s="10">
        <f>+'A) Base RI'!P28</f>
        <v>224038.1</v>
      </c>
      <c r="X28" s="10">
        <f>+'A) Base RI'!R28</f>
        <v>196256.7</v>
      </c>
      <c r="Y28" s="394">
        <f t="shared" si="5"/>
        <v>425690.30000000005</v>
      </c>
      <c r="Z28" s="10">
        <f>+'A) Base RI'!N28</f>
        <v>12746.65</v>
      </c>
      <c r="AA28" s="10">
        <f>'A) Base RI'!V28</f>
        <v>893</v>
      </c>
    </row>
    <row r="29" spans="1:27" x14ac:dyDescent="0.25">
      <c r="A29" s="8">
        <f>'A) Base RI'!A29</f>
        <v>5428</v>
      </c>
      <c r="B29" s="32" t="str">
        <f>'A) Base RI'!B29</f>
        <v>Gimel</v>
      </c>
      <c r="C29" s="10">
        <f>'A) Base RI'!C29+'A) Base RI'!D29</f>
        <v>4755982.33</v>
      </c>
      <c r="D29" s="10">
        <f>'A) Base RI'!W29</f>
        <v>-98183.12</v>
      </c>
      <c r="E29" s="390">
        <f>'A) Base RI'!X29</f>
        <v>0</v>
      </c>
      <c r="F29" s="390">
        <f>'A) Base RI'!Y29</f>
        <v>-246.03</v>
      </c>
      <c r="G29" s="394">
        <f t="shared" si="0"/>
        <v>4657553.18</v>
      </c>
      <c r="H29" s="10">
        <f>+'A) Base RI'!E29</f>
        <v>0</v>
      </c>
      <c r="I29" s="10">
        <f>+'A) Base RI'!F29</f>
        <v>0</v>
      </c>
      <c r="J29" s="10">
        <f>+'A) Base RI'!G29+'A) Base RI'!H29+'A) Base RI'!S29</f>
        <v>26068.2</v>
      </c>
      <c r="K29" s="10">
        <f>+'A) Base RI'!I29</f>
        <v>0</v>
      </c>
      <c r="L29" s="10">
        <f>+'A) Base RI'!J29</f>
        <v>132596.54</v>
      </c>
      <c r="M29" s="10">
        <f>+'A) Base RI'!K29</f>
        <v>13774.6</v>
      </c>
      <c r="N29" s="10">
        <f>+'A) Base RI'!Q29</f>
        <v>29101.13</v>
      </c>
      <c r="O29" s="10">
        <f t="shared" si="1"/>
        <v>397529.41666666669</v>
      </c>
      <c r="P29" s="10">
        <f>+'A) Base RI'!L29</f>
        <v>477035.3</v>
      </c>
      <c r="Q29" s="402">
        <f>'A) Base RI'!Z29</f>
        <v>1.2</v>
      </c>
      <c r="R29" s="394">
        <f t="shared" si="2"/>
        <v>5256623.0666666664</v>
      </c>
      <c r="S29" s="437">
        <f>+'A) Base RI'!U29</f>
        <v>74.5</v>
      </c>
      <c r="T29" s="394">
        <f t="shared" si="3"/>
        <v>4845319.05</v>
      </c>
      <c r="U29" s="394">
        <f t="shared" si="4"/>
        <v>70558.698881431759</v>
      </c>
      <c r="V29" s="10">
        <f>+'A) Base RI'!O29</f>
        <v>150717.29999999999</v>
      </c>
      <c r="W29" s="10">
        <f>+'A) Base RI'!P29</f>
        <v>295624.59999999998</v>
      </c>
      <c r="X29" s="10">
        <f>+'A) Base RI'!R29</f>
        <v>242105.65</v>
      </c>
      <c r="Y29" s="394">
        <f t="shared" si="5"/>
        <v>688447.54999999993</v>
      </c>
      <c r="Z29" s="10">
        <f>+'A) Base RI'!N29</f>
        <v>253111.45</v>
      </c>
      <c r="AA29" s="10">
        <f>'A) Base RI'!V29</f>
        <v>2402</v>
      </c>
    </row>
    <row r="30" spans="1:27" x14ac:dyDescent="0.25">
      <c r="A30" s="8">
        <f>'A) Base RI'!A30</f>
        <v>5429</v>
      </c>
      <c r="B30" s="32" t="str">
        <f>'A) Base RI'!B30</f>
        <v>Longirod</v>
      </c>
      <c r="C30" s="10">
        <f>'A) Base RI'!C30+'A) Base RI'!D30</f>
        <v>1293011.19</v>
      </c>
      <c r="D30" s="10">
        <f>'A) Base RI'!W30</f>
        <v>-7283.85</v>
      </c>
      <c r="E30" s="390">
        <f>'A) Base RI'!X30</f>
        <v>0</v>
      </c>
      <c r="F30" s="390">
        <f>'A) Base RI'!Y30</f>
        <v>0</v>
      </c>
      <c r="G30" s="394">
        <f t="shared" si="0"/>
        <v>1285727.3399999999</v>
      </c>
      <c r="H30" s="10">
        <f>+'A) Base RI'!E30</f>
        <v>0</v>
      </c>
      <c r="I30" s="10">
        <f>+'A) Base RI'!F30</f>
        <v>0</v>
      </c>
      <c r="J30" s="10">
        <f>+'A) Base RI'!G30+'A) Base RI'!H30+'A) Base RI'!S30</f>
        <v>13210.749999999998</v>
      </c>
      <c r="K30" s="10">
        <f>+'A) Base RI'!I30</f>
        <v>0</v>
      </c>
      <c r="L30" s="10">
        <f>+'A) Base RI'!J30</f>
        <v>32135.82</v>
      </c>
      <c r="M30" s="10">
        <f>+'A) Base RI'!K30</f>
        <v>1218.25</v>
      </c>
      <c r="N30" s="10">
        <f>+'A) Base RI'!Q30</f>
        <v>0</v>
      </c>
      <c r="O30" s="10">
        <f t="shared" si="1"/>
        <v>107227.9</v>
      </c>
      <c r="P30" s="10">
        <f>+'A) Base RI'!L30</f>
        <v>107227.9</v>
      </c>
      <c r="Q30" s="402">
        <f>'A) Base RI'!Z30</f>
        <v>1</v>
      </c>
      <c r="R30" s="394">
        <f t="shared" si="2"/>
        <v>1439520.0599999998</v>
      </c>
      <c r="S30" s="437">
        <f>+'A) Base RI'!U30</f>
        <v>77.5</v>
      </c>
      <c r="T30" s="394">
        <f t="shared" si="3"/>
        <v>1331073.9099999999</v>
      </c>
      <c r="U30" s="394">
        <f t="shared" si="4"/>
        <v>18574.452387096771</v>
      </c>
      <c r="V30" s="10">
        <f>+'A) Base RI'!O30</f>
        <v>0</v>
      </c>
      <c r="W30" s="10">
        <f>+'A) Base RI'!P30</f>
        <v>103709.6</v>
      </c>
      <c r="X30" s="10">
        <f>+'A) Base RI'!R30</f>
        <v>57181.75</v>
      </c>
      <c r="Y30" s="394">
        <f t="shared" si="5"/>
        <v>160891.35</v>
      </c>
      <c r="Z30" s="10">
        <f>+'A) Base RI'!N30</f>
        <v>2875.4</v>
      </c>
      <c r="AA30" s="10">
        <f>'A) Base RI'!V30</f>
        <v>520</v>
      </c>
    </row>
    <row r="31" spans="1:27" x14ac:dyDescent="0.25">
      <c r="A31" s="8">
        <f>'A) Base RI'!A31</f>
        <v>5430</v>
      </c>
      <c r="B31" s="32" t="str">
        <f>'A) Base RI'!B31</f>
        <v>Marchissy</v>
      </c>
      <c r="C31" s="10">
        <f>'A) Base RI'!C31+'A) Base RI'!D31</f>
        <v>1106345.0900000001</v>
      </c>
      <c r="D31" s="10">
        <f>'A) Base RI'!W31</f>
        <v>-9726.2199999999993</v>
      </c>
      <c r="E31" s="390">
        <f>'A) Base RI'!X31</f>
        <v>0</v>
      </c>
      <c r="F31" s="390">
        <f>'A) Base RI'!Y31</f>
        <v>-198.34</v>
      </c>
      <c r="G31" s="394">
        <f t="shared" si="0"/>
        <v>1096420.53</v>
      </c>
      <c r="H31" s="10">
        <f>+'A) Base RI'!E31</f>
        <v>0</v>
      </c>
      <c r="I31" s="10">
        <f>+'A) Base RI'!F31</f>
        <v>0</v>
      </c>
      <c r="J31" s="10">
        <f>+'A) Base RI'!G31+'A) Base RI'!H31+'A) Base RI'!S31</f>
        <v>9462.06</v>
      </c>
      <c r="K31" s="10">
        <f>+'A) Base RI'!I31</f>
        <v>0</v>
      </c>
      <c r="L31" s="10">
        <f>+'A) Base RI'!J31</f>
        <v>6430.09</v>
      </c>
      <c r="M31" s="10">
        <f>+'A) Base RI'!K31</f>
        <v>1254.3</v>
      </c>
      <c r="N31" s="10">
        <f>+'A) Base RI'!Q31</f>
        <v>17.59</v>
      </c>
      <c r="O31" s="10">
        <f t="shared" si="1"/>
        <v>93941.5</v>
      </c>
      <c r="P31" s="10">
        <f>+'A) Base RI'!L31</f>
        <v>93941.5</v>
      </c>
      <c r="Q31" s="402">
        <f>'A) Base RI'!Z31</f>
        <v>1</v>
      </c>
      <c r="R31" s="394">
        <f t="shared" si="2"/>
        <v>1207526.0700000003</v>
      </c>
      <c r="S31" s="437">
        <f>+'A) Base RI'!U31</f>
        <v>77.5</v>
      </c>
      <c r="T31" s="394">
        <f t="shared" si="3"/>
        <v>1112330.2700000003</v>
      </c>
      <c r="U31" s="394">
        <f t="shared" si="4"/>
        <v>15580.981548387101</v>
      </c>
      <c r="V31" s="10">
        <f>+'A) Base RI'!O31</f>
        <v>1739.6</v>
      </c>
      <c r="W31" s="10">
        <f>+'A) Base RI'!P31</f>
        <v>68959.55</v>
      </c>
      <c r="X31" s="10">
        <f>+'A) Base RI'!R31</f>
        <v>22824.75</v>
      </c>
      <c r="Y31" s="394">
        <f t="shared" si="5"/>
        <v>93523.900000000009</v>
      </c>
      <c r="Z31" s="10">
        <f>+'A) Base RI'!N31</f>
        <v>3411.95</v>
      </c>
      <c r="AA31" s="10">
        <f>'A) Base RI'!V31</f>
        <v>485</v>
      </c>
    </row>
    <row r="32" spans="1:27" x14ac:dyDescent="0.25">
      <c r="A32" s="8">
        <f>'A) Base RI'!A32</f>
        <v>5431</v>
      </c>
      <c r="B32" s="32" t="str">
        <f>'A) Base RI'!B32</f>
        <v>Mollens</v>
      </c>
      <c r="C32" s="10">
        <f>'A) Base RI'!C32+'A) Base RI'!D32</f>
        <v>696785.69000000006</v>
      </c>
      <c r="D32" s="10">
        <f>'A) Base RI'!W32</f>
        <v>-1138.93</v>
      </c>
      <c r="E32" s="390">
        <f>'A) Base RI'!X32</f>
        <v>0</v>
      </c>
      <c r="F32" s="390">
        <f>'A) Base RI'!Y32</f>
        <v>-752.43</v>
      </c>
      <c r="G32" s="394">
        <f t="shared" si="0"/>
        <v>694894.33</v>
      </c>
      <c r="H32" s="10">
        <f>+'A) Base RI'!E32</f>
        <v>0</v>
      </c>
      <c r="I32" s="10">
        <f>+'A) Base RI'!F32</f>
        <v>0</v>
      </c>
      <c r="J32" s="10">
        <f>+'A) Base RI'!G32+'A) Base RI'!H32+'A) Base RI'!S32</f>
        <v>869.40000000000009</v>
      </c>
      <c r="K32" s="10">
        <f>+'A) Base RI'!I32</f>
        <v>0</v>
      </c>
      <c r="L32" s="10">
        <f>+'A) Base RI'!J32</f>
        <v>24529.14</v>
      </c>
      <c r="M32" s="10">
        <f>+'A) Base RI'!K32</f>
        <v>833.85</v>
      </c>
      <c r="N32" s="10">
        <f>+'A) Base RI'!Q32</f>
        <v>0</v>
      </c>
      <c r="O32" s="10">
        <f t="shared" si="1"/>
        <v>53281.25</v>
      </c>
      <c r="P32" s="10">
        <f>+'A) Base RI'!L32</f>
        <v>53281.25</v>
      </c>
      <c r="Q32" s="402">
        <f>'A) Base RI'!Z32</f>
        <v>1</v>
      </c>
      <c r="R32" s="394">
        <f t="shared" si="2"/>
        <v>774407.97</v>
      </c>
      <c r="S32" s="437">
        <f>+'A) Base RI'!U32</f>
        <v>74</v>
      </c>
      <c r="T32" s="394">
        <f t="shared" si="3"/>
        <v>720292.87</v>
      </c>
      <c r="U32" s="394">
        <f t="shared" si="4"/>
        <v>10464.972567567567</v>
      </c>
      <c r="V32" s="10">
        <f>+'A) Base RI'!O32</f>
        <v>0</v>
      </c>
      <c r="W32" s="10">
        <f>+'A) Base RI'!P32</f>
        <v>19687.75</v>
      </c>
      <c r="X32" s="10">
        <f>+'A) Base RI'!R32</f>
        <v>14464.35</v>
      </c>
      <c r="Y32" s="394">
        <f t="shared" si="5"/>
        <v>34152.1</v>
      </c>
      <c r="Z32" s="10">
        <f>+'A) Base RI'!N32</f>
        <v>304.2</v>
      </c>
      <c r="AA32" s="10">
        <f>'A) Base RI'!V32</f>
        <v>319</v>
      </c>
    </row>
    <row r="33" spans="1:27" x14ac:dyDescent="0.25">
      <c r="A33" s="8">
        <f>'A) Base RI'!A33</f>
        <v>5434</v>
      </c>
      <c r="B33" s="32" t="str">
        <f>'A) Base RI'!B33</f>
        <v>Saint-George</v>
      </c>
      <c r="C33" s="10">
        <f>'A) Base RI'!C33+'A) Base RI'!D33</f>
        <v>2712040.59</v>
      </c>
      <c r="D33" s="10">
        <f>'A) Base RI'!W33</f>
        <v>-6435.52</v>
      </c>
      <c r="E33" s="390">
        <f>'A) Base RI'!X33</f>
        <v>0</v>
      </c>
      <c r="F33" s="390">
        <f>'A) Base RI'!Y33</f>
        <v>-577.35</v>
      </c>
      <c r="G33" s="394">
        <f t="shared" si="0"/>
        <v>2705027.7199999997</v>
      </c>
      <c r="H33" s="10">
        <f>+'A) Base RI'!E33</f>
        <v>0</v>
      </c>
      <c r="I33" s="10">
        <f>+'A) Base RI'!F33</f>
        <v>0</v>
      </c>
      <c r="J33" s="10">
        <f>+'A) Base RI'!G33+'A) Base RI'!H33+'A) Base RI'!S33</f>
        <v>18273.469999999998</v>
      </c>
      <c r="K33" s="10">
        <f>+'A) Base RI'!I33</f>
        <v>0</v>
      </c>
      <c r="L33" s="10">
        <f>+'A) Base RI'!J33</f>
        <v>58202.59</v>
      </c>
      <c r="M33" s="10">
        <f>+'A) Base RI'!K33</f>
        <v>3394.7</v>
      </c>
      <c r="N33" s="10">
        <f>+'A) Base RI'!Q33</f>
        <v>0</v>
      </c>
      <c r="O33" s="10">
        <f t="shared" si="1"/>
        <v>241461.54166666666</v>
      </c>
      <c r="P33" s="10">
        <f>+'A) Base RI'!L33</f>
        <v>289753.84999999998</v>
      </c>
      <c r="Q33" s="402">
        <f>'A) Base RI'!Z33</f>
        <v>1.2</v>
      </c>
      <c r="R33" s="394">
        <f t="shared" si="2"/>
        <v>3026360.0216666665</v>
      </c>
      <c r="S33" s="437">
        <f>+'A) Base RI'!U33</f>
        <v>69.5</v>
      </c>
      <c r="T33" s="394">
        <f t="shared" si="3"/>
        <v>2781503.78</v>
      </c>
      <c r="U33" s="394">
        <f t="shared" si="4"/>
        <v>43544.748513189443</v>
      </c>
      <c r="V33" s="10">
        <f>+'A) Base RI'!O33</f>
        <v>20257.900000000001</v>
      </c>
      <c r="W33" s="10">
        <f>+'A) Base RI'!P33</f>
        <v>115133.35</v>
      </c>
      <c r="X33" s="10">
        <f>+'A) Base RI'!R33</f>
        <v>128749.55</v>
      </c>
      <c r="Y33" s="394">
        <f t="shared" si="5"/>
        <v>264140.79999999999</v>
      </c>
      <c r="Z33" s="10">
        <f>+'A) Base RI'!N33</f>
        <v>35327.85</v>
      </c>
      <c r="AA33" s="10">
        <f>'A) Base RI'!V33</f>
        <v>1072</v>
      </c>
    </row>
    <row r="34" spans="1:27" x14ac:dyDescent="0.25">
      <c r="A34" s="8">
        <f>'A) Base RI'!A34</f>
        <v>5435</v>
      </c>
      <c r="B34" s="32" t="str">
        <f>'A) Base RI'!B34</f>
        <v>Saint-Livres</v>
      </c>
      <c r="C34" s="10">
        <f>'A) Base RI'!C34+'A) Base RI'!D34</f>
        <v>1669235.4400000002</v>
      </c>
      <c r="D34" s="10">
        <f>'A) Base RI'!W34</f>
        <v>-41272.65</v>
      </c>
      <c r="E34" s="390">
        <f>'A) Base RI'!X34</f>
        <v>0</v>
      </c>
      <c r="F34" s="390">
        <f>'A) Base RI'!Y34</f>
        <v>-614.47</v>
      </c>
      <c r="G34" s="394">
        <f t="shared" si="0"/>
        <v>1627348.3200000003</v>
      </c>
      <c r="H34" s="10">
        <f>+'A) Base RI'!E34</f>
        <v>0</v>
      </c>
      <c r="I34" s="10">
        <f>+'A) Base RI'!F34</f>
        <v>0</v>
      </c>
      <c r="J34" s="10">
        <f>+'A) Base RI'!G34+'A) Base RI'!H34+'A) Base RI'!S34</f>
        <v>10864.830000000002</v>
      </c>
      <c r="K34" s="10">
        <f>+'A) Base RI'!I34</f>
        <v>0</v>
      </c>
      <c r="L34" s="10">
        <f>+'A) Base RI'!J34</f>
        <v>17216.53</v>
      </c>
      <c r="M34" s="10">
        <f>+'A) Base RI'!K34</f>
        <v>0</v>
      </c>
      <c r="N34" s="10">
        <f>+'A) Base RI'!Q34</f>
        <v>0</v>
      </c>
      <c r="O34" s="10">
        <f t="shared" si="1"/>
        <v>128517.7</v>
      </c>
      <c r="P34" s="10">
        <f>+'A) Base RI'!L34</f>
        <v>128517.7</v>
      </c>
      <c r="Q34" s="402">
        <f>'A) Base RI'!Z34</f>
        <v>1</v>
      </c>
      <c r="R34" s="394">
        <f t="shared" si="2"/>
        <v>1783947.3800000004</v>
      </c>
      <c r="S34" s="437">
        <f>+'A) Base RI'!U34</f>
        <v>69</v>
      </c>
      <c r="T34" s="394">
        <f t="shared" si="3"/>
        <v>1655429.6800000004</v>
      </c>
      <c r="U34" s="394">
        <f t="shared" si="4"/>
        <v>25854.309855072468</v>
      </c>
      <c r="V34" s="10">
        <f>+'A) Base RI'!O34</f>
        <v>5557</v>
      </c>
      <c r="W34" s="10">
        <f>+'A) Base RI'!P34</f>
        <v>135732.4</v>
      </c>
      <c r="X34" s="10">
        <f>+'A) Base RI'!R34</f>
        <v>122333.55</v>
      </c>
      <c r="Y34" s="394">
        <f t="shared" si="5"/>
        <v>263622.95</v>
      </c>
      <c r="Z34" s="10">
        <f>+'A) Base RI'!N34</f>
        <v>17237.5</v>
      </c>
      <c r="AA34" s="10">
        <f>'A) Base RI'!V34</f>
        <v>674</v>
      </c>
    </row>
    <row r="35" spans="1:27" x14ac:dyDescent="0.25">
      <c r="A35" s="8">
        <f>'A) Base RI'!A35</f>
        <v>5436</v>
      </c>
      <c r="B35" s="32" t="str">
        <f>'A) Base RI'!B35</f>
        <v>Saint-Oyens</v>
      </c>
      <c r="C35" s="10">
        <f>'A) Base RI'!C35+'A) Base RI'!D35</f>
        <v>1253807.75</v>
      </c>
      <c r="D35" s="10">
        <f>'A) Base RI'!W35</f>
        <v>-14241.17</v>
      </c>
      <c r="E35" s="390">
        <f>'A) Base RI'!X35</f>
        <v>0</v>
      </c>
      <c r="F35" s="390">
        <f>'A) Base RI'!Y35</f>
        <v>-972.35</v>
      </c>
      <c r="G35" s="394">
        <f t="shared" si="0"/>
        <v>1238594.23</v>
      </c>
      <c r="H35" s="10">
        <f>+'A) Base RI'!E35</f>
        <v>0</v>
      </c>
      <c r="I35" s="10">
        <f>+'A) Base RI'!F35</f>
        <v>0</v>
      </c>
      <c r="J35" s="10">
        <f>+'A) Base RI'!G35+'A) Base RI'!H35+'A) Base RI'!S35</f>
        <v>4847.2</v>
      </c>
      <c r="K35" s="10">
        <f>+'A) Base RI'!I35</f>
        <v>0</v>
      </c>
      <c r="L35" s="10">
        <f>+'A) Base RI'!J35</f>
        <v>32225.58</v>
      </c>
      <c r="M35" s="10">
        <f>+'A) Base RI'!K35</f>
        <v>0</v>
      </c>
      <c r="N35" s="10">
        <f>+'A) Base RI'!Q35</f>
        <v>0</v>
      </c>
      <c r="O35" s="10">
        <f t="shared" si="1"/>
        <v>90668.5</v>
      </c>
      <c r="P35" s="10">
        <f>+'A) Base RI'!L35</f>
        <v>72534.8</v>
      </c>
      <c r="Q35" s="402">
        <f>'A) Base RI'!Z35</f>
        <v>0.8</v>
      </c>
      <c r="R35" s="394">
        <f t="shared" si="2"/>
        <v>1366335.51</v>
      </c>
      <c r="S35" s="437">
        <f>+'A) Base RI'!U35</f>
        <v>81</v>
      </c>
      <c r="T35" s="394">
        <f t="shared" si="3"/>
        <v>1275667.01</v>
      </c>
      <c r="U35" s="394">
        <f t="shared" si="4"/>
        <v>16868.339629629631</v>
      </c>
      <c r="V35" s="10">
        <f>+'A) Base RI'!O35</f>
        <v>69500</v>
      </c>
      <c r="W35" s="10">
        <f>+'A) Base RI'!P35</f>
        <v>40975</v>
      </c>
      <c r="X35" s="10">
        <f>+'A) Base RI'!R35</f>
        <v>41167</v>
      </c>
      <c r="Y35" s="394">
        <f t="shared" si="5"/>
        <v>151642</v>
      </c>
      <c r="Z35" s="10">
        <f>+'A) Base RI'!N35</f>
        <v>0</v>
      </c>
      <c r="AA35" s="10">
        <f>'A) Base RI'!V35</f>
        <v>458</v>
      </c>
    </row>
    <row r="36" spans="1:27" x14ac:dyDescent="0.25">
      <c r="A36" s="8">
        <f>'A) Base RI'!A36</f>
        <v>5437</v>
      </c>
      <c r="B36" s="32" t="str">
        <f>'A) Base RI'!B36</f>
        <v>Saubraz</v>
      </c>
      <c r="C36" s="10">
        <f>'A) Base RI'!C36+'A) Base RI'!D36</f>
        <v>989921.66999999993</v>
      </c>
      <c r="D36" s="10">
        <f>'A) Base RI'!W36</f>
        <v>-6812.87</v>
      </c>
      <c r="E36" s="390">
        <f>'A) Base RI'!X36</f>
        <v>0</v>
      </c>
      <c r="F36" s="390">
        <f>'A) Base RI'!Y36</f>
        <v>-17.79</v>
      </c>
      <c r="G36" s="394">
        <f t="shared" si="0"/>
        <v>983091.00999999989</v>
      </c>
      <c r="H36" s="10">
        <f>+'A) Base RI'!E36</f>
        <v>0</v>
      </c>
      <c r="I36" s="10">
        <f>+'A) Base RI'!F36</f>
        <v>0</v>
      </c>
      <c r="J36" s="10">
        <f>+'A) Base RI'!G36+'A) Base RI'!H36+'A) Base RI'!S36</f>
        <v>16459.14</v>
      </c>
      <c r="K36" s="10">
        <f>+'A) Base RI'!I36</f>
        <v>0</v>
      </c>
      <c r="L36" s="10">
        <f>+'A) Base RI'!J36</f>
        <v>13661.14</v>
      </c>
      <c r="M36" s="10">
        <f>+'A) Base RI'!K36</f>
        <v>791.85</v>
      </c>
      <c r="N36" s="10">
        <f>+'A) Base RI'!Q36</f>
        <v>0</v>
      </c>
      <c r="O36" s="10">
        <f t="shared" si="1"/>
        <v>70137.45</v>
      </c>
      <c r="P36" s="10">
        <f>+'A) Base RI'!L36</f>
        <v>70137.45</v>
      </c>
      <c r="Q36" s="402">
        <f>'A) Base RI'!Z36</f>
        <v>1</v>
      </c>
      <c r="R36" s="394">
        <f t="shared" si="2"/>
        <v>1084140.5899999999</v>
      </c>
      <c r="S36" s="437">
        <f>+'A) Base RI'!U36</f>
        <v>80</v>
      </c>
      <c r="T36" s="394">
        <f t="shared" si="3"/>
        <v>1013211.2899999999</v>
      </c>
      <c r="U36" s="394">
        <f t="shared" si="4"/>
        <v>13551.757374999997</v>
      </c>
      <c r="V36" s="10">
        <f>+'A) Base RI'!O36</f>
        <v>91417.4</v>
      </c>
      <c r="W36" s="10">
        <f>+'A) Base RI'!P36</f>
        <v>156395.45000000001</v>
      </c>
      <c r="X36" s="10">
        <f>+'A) Base RI'!R36</f>
        <v>69247.350000000006</v>
      </c>
      <c r="Y36" s="394">
        <f t="shared" si="5"/>
        <v>317060.2</v>
      </c>
      <c r="Z36" s="10">
        <f>+'A) Base RI'!N36</f>
        <v>0</v>
      </c>
      <c r="AA36" s="10">
        <f>'A) Base RI'!V36</f>
        <v>444</v>
      </c>
    </row>
    <row r="37" spans="1:27" x14ac:dyDescent="0.25">
      <c r="A37" s="8">
        <f>'A) Base RI'!A37</f>
        <v>5451</v>
      </c>
      <c r="B37" s="32" t="str">
        <f>'A) Base RI'!B37</f>
        <v>Avenches</v>
      </c>
      <c r="C37" s="10">
        <f>'A) Base RI'!C37+'A) Base RI'!D37</f>
        <v>5612850.6100000003</v>
      </c>
      <c r="D37" s="10">
        <f>'A) Base RI'!W37</f>
        <v>-321439.74</v>
      </c>
      <c r="E37" s="390">
        <f>'A) Base RI'!X37</f>
        <v>0</v>
      </c>
      <c r="F37" s="390">
        <f>'A) Base RI'!Y37</f>
        <v>-574.02</v>
      </c>
      <c r="G37" s="394">
        <f t="shared" si="0"/>
        <v>5290836.8500000006</v>
      </c>
      <c r="H37" s="10">
        <f>+'A) Base RI'!E37</f>
        <v>0</v>
      </c>
      <c r="I37" s="10">
        <f>+'A) Base RI'!F37</f>
        <v>0</v>
      </c>
      <c r="J37" s="10">
        <f>+'A) Base RI'!G37+'A) Base RI'!H37+'A) Base RI'!S37</f>
        <v>2200471.7999999998</v>
      </c>
      <c r="K37" s="10">
        <f>+'A) Base RI'!I37</f>
        <v>0</v>
      </c>
      <c r="L37" s="10">
        <f>+'A) Base RI'!J37</f>
        <v>436798.86</v>
      </c>
      <c r="M37" s="10">
        <f>+'A) Base RI'!K37</f>
        <v>146076.35</v>
      </c>
      <c r="N37" s="10">
        <f>+'A) Base RI'!Q37</f>
        <v>128391.92</v>
      </c>
      <c r="O37" s="10">
        <f t="shared" si="1"/>
        <v>967165.83333333337</v>
      </c>
      <c r="P37" s="10">
        <f>+'A) Base RI'!L37</f>
        <v>1450748.75</v>
      </c>
      <c r="Q37" s="402">
        <f>'A) Base RI'!Z37</f>
        <v>1.5</v>
      </c>
      <c r="R37" s="394">
        <f t="shared" si="2"/>
        <v>9169741.6133333333</v>
      </c>
      <c r="S37" s="437">
        <f>+'A) Base RI'!U37</f>
        <v>66.5</v>
      </c>
      <c r="T37" s="394">
        <f t="shared" si="3"/>
        <v>8056499.4300000006</v>
      </c>
      <c r="U37" s="394">
        <f t="shared" si="4"/>
        <v>137890.8513283208</v>
      </c>
      <c r="V37" s="10">
        <f>+'A) Base RI'!O37</f>
        <v>21825.5</v>
      </c>
      <c r="W37" s="10">
        <f>+'A) Base RI'!P37</f>
        <v>600691.75</v>
      </c>
      <c r="X37" s="10">
        <f>+'A) Base RI'!R37</f>
        <v>171738.8</v>
      </c>
      <c r="Y37" s="394">
        <f t="shared" si="5"/>
        <v>794256.05</v>
      </c>
      <c r="Z37" s="10">
        <f>+'A) Base RI'!N37</f>
        <v>562337.4</v>
      </c>
      <c r="AA37" s="10">
        <f>'A) Base RI'!V37</f>
        <v>4616</v>
      </c>
    </row>
    <row r="38" spans="1:27" x14ac:dyDescent="0.25">
      <c r="A38" s="8">
        <f>'A) Base RI'!A38</f>
        <v>5456</v>
      </c>
      <c r="B38" s="32" t="str">
        <f>'A) Base RI'!B38</f>
        <v>Cudrefin</v>
      </c>
      <c r="C38" s="10">
        <f>'A) Base RI'!C38+'A) Base RI'!D38</f>
        <v>3347721.73</v>
      </c>
      <c r="D38" s="10">
        <f>'A) Base RI'!W38</f>
        <v>-106547.49</v>
      </c>
      <c r="E38" s="390">
        <f>'A) Base RI'!X38</f>
        <v>0</v>
      </c>
      <c r="F38" s="390">
        <f>'A) Base RI'!Y38</f>
        <v>-506.24</v>
      </c>
      <c r="G38" s="394">
        <f t="shared" si="0"/>
        <v>3240667.9999999995</v>
      </c>
      <c r="H38" s="10">
        <f>+'A) Base RI'!E38</f>
        <v>0</v>
      </c>
      <c r="I38" s="10">
        <f>+'A) Base RI'!F38</f>
        <v>0</v>
      </c>
      <c r="J38" s="10">
        <f>+'A) Base RI'!G38+'A) Base RI'!H38+'A) Base RI'!S38</f>
        <v>46423.87</v>
      </c>
      <c r="K38" s="10">
        <f>+'A) Base RI'!I38</f>
        <v>0</v>
      </c>
      <c r="L38" s="10">
        <f>+'A) Base RI'!J38</f>
        <v>52329.66</v>
      </c>
      <c r="M38" s="10">
        <f>+'A) Base RI'!K38</f>
        <v>10849.65</v>
      </c>
      <c r="N38" s="10">
        <f>+'A) Base RI'!Q38</f>
        <v>80211.77</v>
      </c>
      <c r="O38" s="10">
        <f t="shared" si="1"/>
        <v>354069.2</v>
      </c>
      <c r="P38" s="10">
        <f>+'A) Base RI'!L38</f>
        <v>531103.80000000005</v>
      </c>
      <c r="Q38" s="402">
        <f>'A) Base RI'!Z38</f>
        <v>1.5</v>
      </c>
      <c r="R38" s="394">
        <f t="shared" si="2"/>
        <v>3784552.15</v>
      </c>
      <c r="S38" s="437">
        <f>+'A) Base RI'!U38</f>
        <v>59</v>
      </c>
      <c r="T38" s="394">
        <f t="shared" si="3"/>
        <v>3419633.3</v>
      </c>
      <c r="U38" s="394">
        <f t="shared" si="4"/>
        <v>64144.951694915253</v>
      </c>
      <c r="V38" s="10">
        <f>+'A) Base RI'!O38</f>
        <v>10898.2</v>
      </c>
      <c r="W38" s="10">
        <f>+'A) Base RI'!P38</f>
        <v>195993.75</v>
      </c>
      <c r="X38" s="10">
        <f>+'A) Base RI'!R38</f>
        <v>188890.3</v>
      </c>
      <c r="Y38" s="394">
        <f t="shared" si="5"/>
        <v>395782.25</v>
      </c>
      <c r="Z38" s="10">
        <f>+'A) Base RI'!N38</f>
        <v>5267</v>
      </c>
      <c r="AA38" s="10">
        <f>'A) Base RI'!V38</f>
        <v>1836</v>
      </c>
    </row>
    <row r="39" spans="1:27" x14ac:dyDescent="0.25">
      <c r="A39" s="8">
        <f>'A) Base RI'!A39</f>
        <v>5458</v>
      </c>
      <c r="B39" s="32" t="str">
        <f>'A) Base RI'!B39</f>
        <v>Faoug</v>
      </c>
      <c r="C39" s="10">
        <f>'A) Base RI'!C39+'A) Base RI'!D39</f>
        <v>1965574.1</v>
      </c>
      <c r="D39" s="10">
        <f>'A) Base RI'!W39</f>
        <v>-14228.07</v>
      </c>
      <c r="E39" s="390">
        <f>'A) Base RI'!X39</f>
        <v>0</v>
      </c>
      <c r="F39" s="390">
        <f>'A) Base RI'!Y39</f>
        <v>-151.1</v>
      </c>
      <c r="G39" s="394">
        <f t="shared" si="0"/>
        <v>1951194.93</v>
      </c>
      <c r="H39" s="10">
        <f>+'A) Base RI'!E39</f>
        <v>0</v>
      </c>
      <c r="I39" s="10">
        <f>+'A) Base RI'!F39</f>
        <v>0</v>
      </c>
      <c r="J39" s="10">
        <f>+'A) Base RI'!G39+'A) Base RI'!H39+'A) Base RI'!S39</f>
        <v>28934.959999999999</v>
      </c>
      <c r="K39" s="10">
        <f>+'A) Base RI'!I39</f>
        <v>0</v>
      </c>
      <c r="L39" s="10">
        <f>+'A) Base RI'!J39</f>
        <v>59073.19</v>
      </c>
      <c r="M39" s="10">
        <f>+'A) Base RI'!K39</f>
        <v>12888.25</v>
      </c>
      <c r="N39" s="10">
        <f>+'A) Base RI'!Q39</f>
        <v>14872.5</v>
      </c>
      <c r="O39" s="10">
        <f t="shared" si="1"/>
        <v>189924.1</v>
      </c>
      <c r="P39" s="10">
        <f>+'A) Base RI'!L39</f>
        <v>284886.15000000002</v>
      </c>
      <c r="Q39" s="402">
        <f>'A) Base RI'!Z39</f>
        <v>1.5</v>
      </c>
      <c r="R39" s="394">
        <f t="shared" si="2"/>
        <v>2256887.9299999997</v>
      </c>
      <c r="S39" s="437">
        <f>+'A) Base RI'!U39</f>
        <v>65</v>
      </c>
      <c r="T39" s="394">
        <f t="shared" si="3"/>
        <v>2054075.5799999998</v>
      </c>
      <c r="U39" s="394">
        <f t="shared" si="4"/>
        <v>34721.352769230762</v>
      </c>
      <c r="V39" s="10">
        <f>+'A) Base RI'!O39</f>
        <v>120558.8</v>
      </c>
      <c r="W39" s="10">
        <f>+'A) Base RI'!P39</f>
        <v>55638.45</v>
      </c>
      <c r="X39" s="10">
        <f>+'A) Base RI'!R39</f>
        <v>71087.399999999994</v>
      </c>
      <c r="Y39" s="394">
        <f t="shared" si="5"/>
        <v>247284.65</v>
      </c>
      <c r="Z39" s="10">
        <f>+'A) Base RI'!N39</f>
        <v>1661.35</v>
      </c>
      <c r="AA39" s="10">
        <f>'A) Base RI'!V39</f>
        <v>866</v>
      </c>
    </row>
    <row r="40" spans="1:27" x14ac:dyDescent="0.25">
      <c r="A40" s="8">
        <f>'A) Base RI'!A40</f>
        <v>5464</v>
      </c>
      <c r="B40" s="32" t="str">
        <f>'A) Base RI'!B40</f>
        <v>Vully-les-Lacs</v>
      </c>
      <c r="C40" s="10">
        <f>'A) Base RI'!C40+'A) Base RI'!D40</f>
        <v>7148089.2000000002</v>
      </c>
      <c r="D40" s="10">
        <f>'A) Base RI'!W40</f>
        <v>-98442.41</v>
      </c>
      <c r="E40" s="390">
        <f>'A) Base RI'!X40</f>
        <v>0</v>
      </c>
      <c r="F40" s="390">
        <f>'A) Base RI'!Y40</f>
        <v>-4687.72</v>
      </c>
      <c r="G40" s="394">
        <f t="shared" si="0"/>
        <v>7044959.0700000003</v>
      </c>
      <c r="H40" s="10">
        <f>+'A) Base RI'!E40</f>
        <v>0</v>
      </c>
      <c r="I40" s="10">
        <f>+'A) Base RI'!F40</f>
        <v>0</v>
      </c>
      <c r="J40" s="10">
        <f>+'A) Base RI'!G40+'A) Base RI'!H40+'A) Base RI'!S40</f>
        <v>52799.569999999992</v>
      </c>
      <c r="K40" s="10">
        <f>+'A) Base RI'!I40</f>
        <v>5716.2</v>
      </c>
      <c r="L40" s="10">
        <f>+'A) Base RI'!J40</f>
        <v>132675.49</v>
      </c>
      <c r="M40" s="10">
        <f>+'A) Base RI'!K40</f>
        <v>28110.75</v>
      </c>
      <c r="N40" s="10">
        <f>+'A) Base RI'!Q40</f>
        <v>16393.46</v>
      </c>
      <c r="O40" s="10">
        <f t="shared" si="1"/>
        <v>703689</v>
      </c>
      <c r="P40" s="10">
        <f>+'A) Base RI'!L40</f>
        <v>1055533.5</v>
      </c>
      <c r="Q40" s="402">
        <f>'A) Base RI'!Z40</f>
        <v>1.5</v>
      </c>
      <c r="R40" s="394">
        <f t="shared" si="2"/>
        <v>7984343.540000001</v>
      </c>
      <c r="S40" s="437">
        <f>+'A) Base RI'!U40</f>
        <v>67</v>
      </c>
      <c r="T40" s="394">
        <f t="shared" si="3"/>
        <v>7252543.790000001</v>
      </c>
      <c r="U40" s="394">
        <f t="shared" si="4"/>
        <v>119169.3065671642</v>
      </c>
      <c r="V40" s="10">
        <f>+'A) Base RI'!O40</f>
        <v>166459.1</v>
      </c>
      <c r="W40" s="10">
        <f>+'A) Base RI'!P40</f>
        <v>904420.85</v>
      </c>
      <c r="X40" s="10">
        <f>+'A) Base RI'!R40</f>
        <v>409718.55</v>
      </c>
      <c r="Y40" s="394">
        <f t="shared" si="5"/>
        <v>1480598.5</v>
      </c>
      <c r="Z40" s="10">
        <f>+'A) Base RI'!N40</f>
        <v>340.45</v>
      </c>
      <c r="AA40" s="10">
        <f>'A) Base RI'!V40</f>
        <v>3465</v>
      </c>
    </row>
    <row r="41" spans="1:27" x14ac:dyDescent="0.25">
      <c r="A41" s="8">
        <f>'A) Base RI'!A41</f>
        <v>5471</v>
      </c>
      <c r="B41" s="32" t="str">
        <f>'A) Base RI'!B41</f>
        <v>Bettens</v>
      </c>
      <c r="C41" s="10">
        <f>'A) Base RI'!C41+'A) Base RI'!D41</f>
        <v>1314287.25</v>
      </c>
      <c r="D41" s="10">
        <f>'A) Base RI'!W41</f>
        <v>-9720.76</v>
      </c>
      <c r="E41" s="390">
        <f>'A) Base RI'!X41</f>
        <v>0</v>
      </c>
      <c r="F41" s="390">
        <f>'A) Base RI'!Y41</f>
        <v>-43.82</v>
      </c>
      <c r="G41" s="394">
        <f t="shared" si="0"/>
        <v>1304522.67</v>
      </c>
      <c r="H41" s="10">
        <f>+'A) Base RI'!E41</f>
        <v>0</v>
      </c>
      <c r="I41" s="10">
        <f>+'A) Base RI'!F41</f>
        <v>0</v>
      </c>
      <c r="J41" s="10">
        <f>+'A) Base RI'!G41+'A) Base RI'!H41+'A) Base RI'!S41</f>
        <v>131787.19</v>
      </c>
      <c r="K41" s="10">
        <f>+'A) Base RI'!I41</f>
        <v>0</v>
      </c>
      <c r="L41" s="10">
        <f>+'A) Base RI'!J41</f>
        <v>24741.16</v>
      </c>
      <c r="M41" s="10">
        <f>+'A) Base RI'!K41</f>
        <v>4233.25</v>
      </c>
      <c r="N41" s="10">
        <f>+'A) Base RI'!Q41</f>
        <v>0</v>
      </c>
      <c r="O41" s="10">
        <f t="shared" si="1"/>
        <v>137227.38888888888</v>
      </c>
      <c r="P41" s="10">
        <f>+'A) Base RI'!L41</f>
        <v>123504.65</v>
      </c>
      <c r="Q41" s="402">
        <f>'A) Base RI'!Z41</f>
        <v>0.9</v>
      </c>
      <c r="R41" s="394">
        <f t="shared" si="2"/>
        <v>1602511.6588888885</v>
      </c>
      <c r="S41" s="437">
        <f>+'A) Base RI'!U41</f>
        <v>70</v>
      </c>
      <c r="T41" s="394">
        <f t="shared" si="3"/>
        <v>1461051.0199999998</v>
      </c>
      <c r="U41" s="394">
        <f t="shared" si="4"/>
        <v>22893.023698412693</v>
      </c>
      <c r="V41" s="10">
        <f>+'A) Base RI'!O41</f>
        <v>4295.8</v>
      </c>
      <c r="W41" s="10">
        <f>+'A) Base RI'!P41</f>
        <v>60101.25</v>
      </c>
      <c r="X41" s="10">
        <f>+'A) Base RI'!R41</f>
        <v>10798.85</v>
      </c>
      <c r="Y41" s="394">
        <f t="shared" si="5"/>
        <v>75195.900000000009</v>
      </c>
      <c r="Z41" s="10">
        <f>+'A) Base RI'!N41</f>
        <v>9506.5499999999993</v>
      </c>
      <c r="AA41" s="10">
        <f>'A) Base RI'!V41</f>
        <v>626</v>
      </c>
    </row>
    <row r="42" spans="1:27" x14ac:dyDescent="0.25">
      <c r="A42" s="8">
        <f>'A) Base RI'!A42</f>
        <v>5472</v>
      </c>
      <c r="B42" s="32" t="str">
        <f>'A) Base RI'!B42</f>
        <v>Bournens</v>
      </c>
      <c r="C42" s="10">
        <f>'A) Base RI'!C42+'A) Base RI'!D42</f>
        <v>1396288.79</v>
      </c>
      <c r="D42" s="10">
        <f>'A) Base RI'!W42</f>
        <v>-1565.35</v>
      </c>
      <c r="E42" s="390">
        <f>'A) Base RI'!X42</f>
        <v>0</v>
      </c>
      <c r="F42" s="390">
        <f>'A) Base RI'!Y42</f>
        <v>-457.52</v>
      </c>
      <c r="G42" s="394">
        <f t="shared" si="0"/>
        <v>1394265.92</v>
      </c>
      <c r="H42" s="10">
        <f>+'A) Base RI'!E42</f>
        <v>0</v>
      </c>
      <c r="I42" s="10">
        <f>+'A) Base RI'!F42</f>
        <v>0</v>
      </c>
      <c r="J42" s="10">
        <f>+'A) Base RI'!G42+'A) Base RI'!H42+'A) Base RI'!S42</f>
        <v>68511.539999999994</v>
      </c>
      <c r="K42" s="10">
        <f>+'A) Base RI'!I42</f>
        <v>0</v>
      </c>
      <c r="L42" s="10">
        <f>+'A) Base RI'!J42</f>
        <v>13338.27</v>
      </c>
      <c r="M42" s="10">
        <f>+'A) Base RI'!K42</f>
        <v>1422.55</v>
      </c>
      <c r="N42" s="10">
        <f>+'A) Base RI'!Q42</f>
        <v>7994.49</v>
      </c>
      <c r="O42" s="10">
        <f t="shared" si="1"/>
        <v>111315.05</v>
      </c>
      <c r="P42" s="10">
        <f>+'A) Base RI'!L42</f>
        <v>111315.05</v>
      </c>
      <c r="Q42" s="402">
        <f>'A) Base RI'!Z42</f>
        <v>1</v>
      </c>
      <c r="R42" s="394">
        <f t="shared" si="2"/>
        <v>1596847.82</v>
      </c>
      <c r="S42" s="437">
        <f>+'A) Base RI'!U42</f>
        <v>72</v>
      </c>
      <c r="T42" s="394">
        <f t="shared" si="3"/>
        <v>1484110.22</v>
      </c>
      <c r="U42" s="394">
        <f t="shared" si="4"/>
        <v>22178.441944444447</v>
      </c>
      <c r="V42" s="10">
        <f>+'A) Base RI'!O42</f>
        <v>96601.8</v>
      </c>
      <c r="W42" s="10">
        <f>+'A) Base RI'!P42</f>
        <v>57797.05</v>
      </c>
      <c r="X42" s="10">
        <f>+'A) Base RI'!R42</f>
        <v>42353.45</v>
      </c>
      <c r="Y42" s="394">
        <f t="shared" si="5"/>
        <v>196752.3</v>
      </c>
      <c r="Z42" s="10">
        <f>+'A) Base RI'!N42</f>
        <v>0</v>
      </c>
      <c r="AA42" s="10">
        <f>'A) Base RI'!V42</f>
        <v>507</v>
      </c>
    </row>
    <row r="43" spans="1:27" x14ac:dyDescent="0.25">
      <c r="A43" s="8">
        <f>'A) Base RI'!A43</f>
        <v>5473</v>
      </c>
      <c r="B43" s="32" t="str">
        <f>'A) Base RI'!B43</f>
        <v>Boussens</v>
      </c>
      <c r="C43" s="10">
        <f>'A) Base RI'!C43+'A) Base RI'!D43</f>
        <v>2304900.8200000003</v>
      </c>
      <c r="D43" s="10">
        <f>'A) Base RI'!W43</f>
        <v>-20658.46</v>
      </c>
      <c r="E43" s="390">
        <f>'A) Base RI'!X43</f>
        <v>0</v>
      </c>
      <c r="F43" s="390">
        <f>'A) Base RI'!Y43</f>
        <v>-14.11</v>
      </c>
      <c r="G43" s="394">
        <f t="shared" si="0"/>
        <v>2284228.2500000005</v>
      </c>
      <c r="H43" s="10">
        <f>+'A) Base RI'!E43</f>
        <v>0</v>
      </c>
      <c r="I43" s="10">
        <f>+'A) Base RI'!F43</f>
        <v>0</v>
      </c>
      <c r="J43" s="10">
        <f>+'A) Base RI'!G43+'A) Base RI'!H43+'A) Base RI'!S43</f>
        <v>20174.150000000001</v>
      </c>
      <c r="K43" s="10">
        <f>+'A) Base RI'!I43</f>
        <v>0</v>
      </c>
      <c r="L43" s="10">
        <f>+'A) Base RI'!J43</f>
        <v>-4141.21</v>
      </c>
      <c r="M43" s="10">
        <f>+'A) Base RI'!K43</f>
        <v>8991.2000000000007</v>
      </c>
      <c r="N43" s="10">
        <f>+'A) Base RI'!Q43</f>
        <v>24.58</v>
      </c>
      <c r="O43" s="10">
        <f t="shared" si="1"/>
        <v>192206.4</v>
      </c>
      <c r="P43" s="10">
        <f>+'A) Base RI'!L43</f>
        <v>192206.4</v>
      </c>
      <c r="Q43" s="402">
        <f>'A) Base RI'!Z43</f>
        <v>1</v>
      </c>
      <c r="R43" s="394">
        <f t="shared" si="2"/>
        <v>2501483.3700000006</v>
      </c>
      <c r="S43" s="437">
        <f>+'A) Base RI'!U43</f>
        <v>67.5</v>
      </c>
      <c r="T43" s="394">
        <f t="shared" si="3"/>
        <v>2300285.7700000005</v>
      </c>
      <c r="U43" s="394">
        <f t="shared" si="4"/>
        <v>37059.012888888894</v>
      </c>
      <c r="V43" s="10">
        <f>+'A) Base RI'!O43</f>
        <v>0</v>
      </c>
      <c r="W43" s="10">
        <f>+'A) Base RI'!P43</f>
        <v>133840.70000000001</v>
      </c>
      <c r="X43" s="10">
        <f>+'A) Base RI'!R43</f>
        <v>120047.15</v>
      </c>
      <c r="Y43" s="394">
        <f t="shared" si="5"/>
        <v>253887.85</v>
      </c>
      <c r="Z43" s="10">
        <f>+'A) Base RI'!N43</f>
        <v>4238.3</v>
      </c>
      <c r="AA43" s="10">
        <f>'A) Base RI'!V43</f>
        <v>1001</v>
      </c>
    </row>
    <row r="44" spans="1:27" x14ac:dyDescent="0.25">
      <c r="A44" s="8">
        <f>'A) Base RI'!A44</f>
        <v>5474</v>
      </c>
      <c r="B44" s="32" t="str">
        <f>'A) Base RI'!B44</f>
        <v>La Chaux (Cossonay)</v>
      </c>
      <c r="C44" s="10">
        <f>'A) Base RI'!C44+'A) Base RI'!D44</f>
        <v>928866.3600000001</v>
      </c>
      <c r="D44" s="10">
        <f>'A) Base RI'!W44</f>
        <v>-5446.47</v>
      </c>
      <c r="E44" s="390">
        <f>'A) Base RI'!X44</f>
        <v>0</v>
      </c>
      <c r="F44" s="390">
        <f>'A) Base RI'!Y44</f>
        <v>-270.48</v>
      </c>
      <c r="G44" s="394">
        <f t="shared" si="0"/>
        <v>923149.41000000015</v>
      </c>
      <c r="H44" s="10">
        <f>+'A) Base RI'!E44</f>
        <v>0</v>
      </c>
      <c r="I44" s="10">
        <f>+'A) Base RI'!F44</f>
        <v>0</v>
      </c>
      <c r="J44" s="10">
        <f>+'A) Base RI'!G44+'A) Base RI'!H44+'A) Base RI'!S44</f>
        <v>16020.23</v>
      </c>
      <c r="K44" s="10">
        <f>+'A) Base RI'!I44</f>
        <v>-36561.5</v>
      </c>
      <c r="L44" s="10">
        <f>+'A) Base RI'!J44</f>
        <v>1142.73</v>
      </c>
      <c r="M44" s="10">
        <f>+'A) Base RI'!K44</f>
        <v>369</v>
      </c>
      <c r="N44" s="10">
        <f>+'A) Base RI'!Q44</f>
        <v>2076</v>
      </c>
      <c r="O44" s="10">
        <f t="shared" si="1"/>
        <v>74585.416666666672</v>
      </c>
      <c r="P44" s="10">
        <f>+'A) Base RI'!L44</f>
        <v>89502.5</v>
      </c>
      <c r="Q44" s="402">
        <f>'A) Base RI'!Z44</f>
        <v>1.2</v>
      </c>
      <c r="R44" s="394">
        <f t="shared" si="2"/>
        <v>980781.28666666674</v>
      </c>
      <c r="S44" s="437">
        <f>+'A) Base RI'!U44</f>
        <v>76</v>
      </c>
      <c r="T44" s="394">
        <f t="shared" si="3"/>
        <v>905826.87000000011</v>
      </c>
      <c r="U44" s="394">
        <f t="shared" si="4"/>
        <v>12905.016929824562</v>
      </c>
      <c r="V44" s="10">
        <f>+'A) Base RI'!O44</f>
        <v>248.4</v>
      </c>
      <c r="W44" s="10">
        <f>+'A) Base RI'!P44</f>
        <v>63041</v>
      </c>
      <c r="X44" s="10">
        <f>+'A) Base RI'!R44</f>
        <v>29643.75</v>
      </c>
      <c r="Y44" s="394">
        <f t="shared" si="5"/>
        <v>92933.15</v>
      </c>
      <c r="Z44" s="10">
        <f>+'A) Base RI'!N44</f>
        <v>2826.15</v>
      </c>
      <c r="AA44" s="10">
        <f>'A) Base RI'!V44</f>
        <v>398</v>
      </c>
    </row>
    <row r="45" spans="1:27" x14ac:dyDescent="0.25">
      <c r="A45" s="8">
        <f>'A) Base RI'!A45</f>
        <v>5475</v>
      </c>
      <c r="B45" s="32" t="str">
        <f>'A) Base RI'!B45</f>
        <v>Chavannes-le-Veyron</v>
      </c>
      <c r="C45" s="10">
        <f>'A) Base RI'!C45+'A) Base RI'!D45</f>
        <v>296355.43</v>
      </c>
      <c r="D45" s="10">
        <f>'A) Base RI'!W45</f>
        <v>-2144.58</v>
      </c>
      <c r="E45" s="390">
        <f>'A) Base RI'!X45</f>
        <v>0</v>
      </c>
      <c r="F45" s="390">
        <f>'A) Base RI'!Y45</f>
        <v>0</v>
      </c>
      <c r="G45" s="394">
        <f t="shared" si="0"/>
        <v>294210.84999999998</v>
      </c>
      <c r="H45" s="10">
        <f>+'A) Base RI'!E45</f>
        <v>0</v>
      </c>
      <c r="I45" s="10">
        <f>+'A) Base RI'!F45</f>
        <v>0</v>
      </c>
      <c r="J45" s="10">
        <f>+'A) Base RI'!G45+'A) Base RI'!H45+'A) Base RI'!S45</f>
        <v>385.52</v>
      </c>
      <c r="K45" s="10">
        <f>+'A) Base RI'!I45</f>
        <v>0</v>
      </c>
      <c r="L45" s="10">
        <f>+'A) Base RI'!J45</f>
        <v>738.72</v>
      </c>
      <c r="M45" s="10">
        <f>+'A) Base RI'!K45</f>
        <v>0</v>
      </c>
      <c r="N45" s="10">
        <f>+'A) Base RI'!Q45</f>
        <v>61.03</v>
      </c>
      <c r="O45" s="10">
        <f t="shared" si="1"/>
        <v>25399.3</v>
      </c>
      <c r="P45" s="10">
        <f>+'A) Base RI'!L45</f>
        <v>25399.3</v>
      </c>
      <c r="Q45" s="402">
        <f>'A) Base RI'!Z45</f>
        <v>1</v>
      </c>
      <c r="R45" s="394">
        <f t="shared" si="2"/>
        <v>320795.42</v>
      </c>
      <c r="S45" s="437">
        <f>+'A) Base RI'!U45</f>
        <v>75</v>
      </c>
      <c r="T45" s="394">
        <f t="shared" si="3"/>
        <v>295396.12</v>
      </c>
      <c r="U45" s="394">
        <f t="shared" si="4"/>
        <v>4277.2722666666668</v>
      </c>
      <c r="V45" s="10">
        <f>+'A) Base RI'!O45</f>
        <v>0</v>
      </c>
      <c r="W45" s="10">
        <f>+'A) Base RI'!P45</f>
        <v>910.7</v>
      </c>
      <c r="X45" s="10">
        <f>+'A) Base RI'!R45</f>
        <v>8489.85</v>
      </c>
      <c r="Y45" s="394">
        <f t="shared" si="5"/>
        <v>9400.5500000000011</v>
      </c>
      <c r="Z45" s="10">
        <f>+'A) Base RI'!N45</f>
        <v>0</v>
      </c>
      <c r="AA45" s="10">
        <f>'A) Base RI'!V45</f>
        <v>155</v>
      </c>
    </row>
    <row r="46" spans="1:27" x14ac:dyDescent="0.25">
      <c r="A46" s="8">
        <f>'A) Base RI'!A46</f>
        <v>5476</v>
      </c>
      <c r="B46" s="32" t="str">
        <f>'A) Base RI'!B46</f>
        <v>Chevilly</v>
      </c>
      <c r="C46" s="10">
        <f>'A) Base RI'!C46+'A) Base RI'!D46</f>
        <v>813718.24</v>
      </c>
      <c r="D46" s="10">
        <f>'A) Base RI'!W46</f>
        <v>-3599.73</v>
      </c>
      <c r="E46" s="390">
        <f>'A) Base RI'!X46</f>
        <v>0</v>
      </c>
      <c r="F46" s="390">
        <f>'A) Base RI'!Y46</f>
        <v>-254.69</v>
      </c>
      <c r="G46" s="394">
        <f t="shared" si="0"/>
        <v>809863.82000000007</v>
      </c>
      <c r="H46" s="10">
        <f>+'A) Base RI'!E46</f>
        <v>0</v>
      </c>
      <c r="I46" s="10">
        <f>+'A) Base RI'!F46</f>
        <v>0</v>
      </c>
      <c r="J46" s="10">
        <f>+'A) Base RI'!G46+'A) Base RI'!H46+'A) Base RI'!S46</f>
        <v>-4479.5999999999995</v>
      </c>
      <c r="K46" s="10">
        <f>+'A) Base RI'!I46</f>
        <v>0</v>
      </c>
      <c r="L46" s="10">
        <f>+'A) Base RI'!J46</f>
        <v>8338.2800000000007</v>
      </c>
      <c r="M46" s="10">
        <f>+'A) Base RI'!K46</f>
        <v>0</v>
      </c>
      <c r="N46" s="10">
        <f>+'A) Base RI'!Q46</f>
        <v>0</v>
      </c>
      <c r="O46" s="10">
        <f t="shared" si="1"/>
        <v>61737.3</v>
      </c>
      <c r="P46" s="10">
        <f>+'A) Base RI'!L46</f>
        <v>61737.3</v>
      </c>
      <c r="Q46" s="402">
        <f>'A) Base RI'!Z46</f>
        <v>1</v>
      </c>
      <c r="R46" s="394">
        <f t="shared" si="2"/>
        <v>875459.80000000016</v>
      </c>
      <c r="S46" s="437">
        <f>+'A) Base RI'!U46</f>
        <v>72.5</v>
      </c>
      <c r="T46" s="394">
        <f t="shared" si="3"/>
        <v>813722.50000000012</v>
      </c>
      <c r="U46" s="394">
        <f t="shared" si="4"/>
        <v>12075.307586206898</v>
      </c>
      <c r="V46" s="10">
        <f>+'A) Base RI'!O46</f>
        <v>0</v>
      </c>
      <c r="W46" s="10">
        <f>+'A) Base RI'!P46</f>
        <v>47404.15</v>
      </c>
      <c r="X46" s="10">
        <f>+'A) Base RI'!R46</f>
        <v>41817.9</v>
      </c>
      <c r="Y46" s="394">
        <f t="shared" si="5"/>
        <v>89222.05</v>
      </c>
      <c r="Z46" s="10">
        <f>+'A) Base RI'!N46</f>
        <v>0</v>
      </c>
      <c r="AA46" s="10">
        <f>'A) Base RI'!V46</f>
        <v>322</v>
      </c>
    </row>
    <row r="47" spans="1:27" x14ac:dyDescent="0.25">
      <c r="A47" s="8">
        <f>'A) Base RI'!A47</f>
        <v>5477</v>
      </c>
      <c r="B47" s="32" t="str">
        <f>'A) Base RI'!B47</f>
        <v>Cossonay</v>
      </c>
      <c r="C47" s="10">
        <f>'A) Base RI'!C47+'A) Base RI'!D47</f>
        <v>8769241.5800000001</v>
      </c>
      <c r="D47" s="10">
        <f>'A) Base RI'!W47</f>
        <v>-380726.05</v>
      </c>
      <c r="E47" s="390">
        <f>'A) Base RI'!X47</f>
        <v>0</v>
      </c>
      <c r="F47" s="390">
        <f>'A) Base RI'!Y47</f>
        <v>-1363.04</v>
      </c>
      <c r="G47" s="394">
        <f t="shared" si="0"/>
        <v>8387152.4900000002</v>
      </c>
      <c r="H47" s="10">
        <f>+'A) Base RI'!E47</f>
        <v>0</v>
      </c>
      <c r="I47" s="10">
        <f>+'A) Base RI'!F47</f>
        <v>0</v>
      </c>
      <c r="J47" s="10">
        <f>+'A) Base RI'!G47+'A) Base RI'!H47+'A) Base RI'!S47</f>
        <v>480849.58</v>
      </c>
      <c r="K47" s="10">
        <f>+'A) Base RI'!I47</f>
        <v>0</v>
      </c>
      <c r="L47" s="10">
        <f>+'A) Base RI'!J47</f>
        <v>171591.45</v>
      </c>
      <c r="M47" s="10">
        <f>+'A) Base RI'!K47</f>
        <v>58880.4</v>
      </c>
      <c r="N47" s="10">
        <f>+'A) Base RI'!Q47</f>
        <v>57373.19</v>
      </c>
      <c r="O47" s="10">
        <f t="shared" si="1"/>
        <v>754712.75</v>
      </c>
      <c r="P47" s="10">
        <f>+'A) Base RI'!L47</f>
        <v>754712.75</v>
      </c>
      <c r="Q47" s="402">
        <f>'A) Base RI'!Z47</f>
        <v>1</v>
      </c>
      <c r="R47" s="394">
        <f t="shared" si="2"/>
        <v>9910559.8599999994</v>
      </c>
      <c r="S47" s="437">
        <f>+'A) Base RI'!U47</f>
        <v>69.5</v>
      </c>
      <c r="T47" s="394">
        <f t="shared" si="3"/>
        <v>9096966.709999999</v>
      </c>
      <c r="U47" s="394">
        <f t="shared" si="4"/>
        <v>142597.98359712231</v>
      </c>
      <c r="V47" s="10">
        <f>+'A) Base RI'!O47</f>
        <v>155937.70000000001</v>
      </c>
      <c r="W47" s="10">
        <f>+'A) Base RI'!P47</f>
        <v>425939.65</v>
      </c>
      <c r="X47" s="10">
        <f>+'A) Base RI'!R47</f>
        <v>484737.1</v>
      </c>
      <c r="Y47" s="394">
        <f t="shared" si="5"/>
        <v>1066614.4500000002</v>
      </c>
      <c r="Z47" s="10">
        <f>+'A) Base RI'!N47</f>
        <v>116740.25</v>
      </c>
      <c r="AA47" s="10">
        <f>'A) Base RI'!V47</f>
        <v>4326</v>
      </c>
    </row>
    <row r="48" spans="1:27" x14ac:dyDescent="0.25">
      <c r="A48" s="8">
        <f>'A) Base RI'!A48</f>
        <v>5478</v>
      </c>
      <c r="B48" s="32" t="str">
        <f>'A) Base RI'!B48</f>
        <v>Cottens</v>
      </c>
      <c r="C48" s="10">
        <f>'A) Base RI'!C48+'A) Base RI'!D48</f>
        <v>1060800.51</v>
      </c>
      <c r="D48" s="10">
        <f>'A) Base RI'!W48</f>
        <v>-8027.52</v>
      </c>
      <c r="E48" s="390">
        <f>'A) Base RI'!X48</f>
        <v>0</v>
      </c>
      <c r="F48" s="390">
        <f>'A) Base RI'!Y48</f>
        <v>-143.1</v>
      </c>
      <c r="G48" s="394">
        <f t="shared" si="0"/>
        <v>1052629.8899999999</v>
      </c>
      <c r="H48" s="10">
        <f>+'A) Base RI'!E48</f>
        <v>0</v>
      </c>
      <c r="I48" s="10">
        <f>+'A) Base RI'!F48</f>
        <v>0</v>
      </c>
      <c r="J48" s="10">
        <f>+'A) Base RI'!G48+'A) Base RI'!H48+'A) Base RI'!S48</f>
        <v>4229.51</v>
      </c>
      <c r="K48" s="10">
        <f>+'A) Base RI'!I48</f>
        <v>0</v>
      </c>
      <c r="L48" s="10">
        <f>+'A) Base RI'!J48</f>
        <v>27824.06</v>
      </c>
      <c r="M48" s="10">
        <f>+'A) Base RI'!K48</f>
        <v>250</v>
      </c>
      <c r="N48" s="10">
        <f>+'A) Base RI'!Q48</f>
        <v>0</v>
      </c>
      <c r="O48" s="10">
        <f t="shared" si="1"/>
        <v>79917.5</v>
      </c>
      <c r="P48" s="10">
        <f>+'A) Base RI'!L48</f>
        <v>79917.5</v>
      </c>
      <c r="Q48" s="402">
        <f>'A) Base RI'!Z48</f>
        <v>1</v>
      </c>
      <c r="R48" s="394">
        <f t="shared" si="2"/>
        <v>1164850.96</v>
      </c>
      <c r="S48" s="437">
        <f>+'A) Base RI'!U48</f>
        <v>74</v>
      </c>
      <c r="T48" s="394">
        <f t="shared" si="3"/>
        <v>1084683.46</v>
      </c>
      <c r="U48" s="394">
        <f t="shared" si="4"/>
        <v>15741.229189189189</v>
      </c>
      <c r="V48" s="10">
        <f>+'A) Base RI'!O48</f>
        <v>0</v>
      </c>
      <c r="W48" s="10">
        <f>+'A) Base RI'!P48</f>
        <v>15493.5</v>
      </c>
      <c r="X48" s="10">
        <f>+'A) Base RI'!R48</f>
        <v>35312.5</v>
      </c>
      <c r="Y48" s="394">
        <f t="shared" si="5"/>
        <v>50806</v>
      </c>
      <c r="Z48" s="10">
        <f>+'A) Base RI'!N48</f>
        <v>519.25</v>
      </c>
      <c r="AA48" s="10">
        <f>'A) Base RI'!V48</f>
        <v>484</v>
      </c>
    </row>
    <row r="49" spans="1:27" x14ac:dyDescent="0.25">
      <c r="A49" s="8">
        <f>'A) Base RI'!A49</f>
        <v>5479</v>
      </c>
      <c r="B49" s="32" t="str">
        <f>'A) Base RI'!B49</f>
        <v>Cuarnens</v>
      </c>
      <c r="C49" s="10">
        <f>'A) Base RI'!C49+'A) Base RI'!D49</f>
        <v>1350209.5</v>
      </c>
      <c r="D49" s="10">
        <f>'A) Base RI'!W49</f>
        <v>-57619.12</v>
      </c>
      <c r="E49" s="390">
        <f>'A) Base RI'!X49</f>
        <v>0</v>
      </c>
      <c r="F49" s="390">
        <f>'A) Base RI'!Y49</f>
        <v>0</v>
      </c>
      <c r="G49" s="394">
        <f t="shared" si="0"/>
        <v>1292590.3799999999</v>
      </c>
      <c r="H49" s="10">
        <f>+'A) Base RI'!E49</f>
        <v>0</v>
      </c>
      <c r="I49" s="10">
        <f>+'A) Base RI'!F49</f>
        <v>0</v>
      </c>
      <c r="J49" s="10">
        <f>+'A) Base RI'!G49+'A) Base RI'!H49+'A) Base RI'!S49</f>
        <v>10185.4</v>
      </c>
      <c r="K49" s="10">
        <f>+'A) Base RI'!I49</f>
        <v>-25685.4</v>
      </c>
      <c r="L49" s="10">
        <f>+'A) Base RI'!J49</f>
        <v>15477.41</v>
      </c>
      <c r="M49" s="10">
        <f>+'A) Base RI'!K49</f>
        <v>1464.25</v>
      </c>
      <c r="N49" s="10">
        <f>+'A) Base RI'!Q49</f>
        <v>0</v>
      </c>
      <c r="O49" s="10">
        <f t="shared" si="1"/>
        <v>90803.45</v>
      </c>
      <c r="P49" s="10">
        <f>+'A) Base RI'!L49</f>
        <v>90803.45</v>
      </c>
      <c r="Q49" s="402">
        <f>'A) Base RI'!Z49</f>
        <v>1</v>
      </c>
      <c r="R49" s="394">
        <f t="shared" si="2"/>
        <v>1384835.4899999998</v>
      </c>
      <c r="S49" s="437">
        <f>+'A) Base RI'!U49</f>
        <v>77</v>
      </c>
      <c r="T49" s="394">
        <f t="shared" si="3"/>
        <v>1292567.7899999998</v>
      </c>
      <c r="U49" s="394">
        <f t="shared" si="4"/>
        <v>17984.87649350649</v>
      </c>
      <c r="V49" s="10">
        <f>+'A) Base RI'!O49</f>
        <v>53272.3</v>
      </c>
      <c r="W49" s="10">
        <f>+'A) Base RI'!P49</f>
        <v>46290.75</v>
      </c>
      <c r="X49" s="10">
        <f>+'A) Base RI'!R49</f>
        <v>15856.95</v>
      </c>
      <c r="Y49" s="394">
        <f t="shared" si="5"/>
        <v>115420</v>
      </c>
      <c r="Z49" s="10">
        <f>+'A) Base RI'!N49</f>
        <v>7894.9</v>
      </c>
      <c r="AA49" s="10">
        <f>'A) Base RI'!V49</f>
        <v>531</v>
      </c>
    </row>
    <row r="50" spans="1:27" x14ac:dyDescent="0.25">
      <c r="A50" s="8">
        <f>'A) Base RI'!A50</f>
        <v>5480</v>
      </c>
      <c r="B50" s="32" t="str">
        <f>'A) Base RI'!B50</f>
        <v>Daillens</v>
      </c>
      <c r="C50" s="10">
        <f>'A) Base RI'!C50+'A) Base RI'!D50</f>
        <v>2400639.6500000004</v>
      </c>
      <c r="D50" s="10">
        <f>'A) Base RI'!W50</f>
        <v>-61393.75</v>
      </c>
      <c r="E50" s="390">
        <f>'A) Base RI'!X50</f>
        <v>0</v>
      </c>
      <c r="F50" s="390">
        <f>'A) Base RI'!Y50</f>
        <v>-1047.54</v>
      </c>
      <c r="G50" s="394">
        <f t="shared" si="0"/>
        <v>2338198.3600000003</v>
      </c>
      <c r="H50" s="10">
        <f>+'A) Base RI'!E50</f>
        <v>0</v>
      </c>
      <c r="I50" s="10">
        <f>+'A) Base RI'!F50</f>
        <v>0</v>
      </c>
      <c r="J50" s="10">
        <f>+'A) Base RI'!G50+'A) Base RI'!H50+'A) Base RI'!S50</f>
        <v>-28762.960000000003</v>
      </c>
      <c r="K50" s="10">
        <f>+'A) Base RI'!I50</f>
        <v>0</v>
      </c>
      <c r="L50" s="10">
        <f>+'A) Base RI'!J50</f>
        <v>40898.230000000003</v>
      </c>
      <c r="M50" s="10">
        <f>+'A) Base RI'!K50</f>
        <v>12107.15</v>
      </c>
      <c r="N50" s="10">
        <f>+'A) Base RI'!Q50</f>
        <v>49270.01</v>
      </c>
      <c r="O50" s="10">
        <f t="shared" si="1"/>
        <v>313076.83333333337</v>
      </c>
      <c r="P50" s="10">
        <f>+'A) Base RI'!L50</f>
        <v>375692.2</v>
      </c>
      <c r="Q50" s="402">
        <f>'A) Base RI'!Z50</f>
        <v>1.2</v>
      </c>
      <c r="R50" s="394">
        <f t="shared" si="2"/>
        <v>2724787.6233333335</v>
      </c>
      <c r="S50" s="437">
        <f>+'A) Base RI'!U50</f>
        <v>66</v>
      </c>
      <c r="T50" s="394">
        <f t="shared" si="3"/>
        <v>2399603.64</v>
      </c>
      <c r="U50" s="394">
        <f t="shared" si="4"/>
        <v>41284.66095959596</v>
      </c>
      <c r="V50" s="10">
        <f>+'A) Base RI'!O50</f>
        <v>0</v>
      </c>
      <c r="W50" s="10">
        <f>+'A) Base RI'!P50</f>
        <v>180519.15</v>
      </c>
      <c r="X50" s="10">
        <f>+'A) Base RI'!R50</f>
        <v>118166.55</v>
      </c>
      <c r="Y50" s="394">
        <f t="shared" si="5"/>
        <v>298685.7</v>
      </c>
      <c r="Z50" s="10">
        <f>+'A) Base RI'!N50</f>
        <v>229974.39999999999</v>
      </c>
      <c r="AA50" s="10">
        <f>'A) Base RI'!V50</f>
        <v>1051</v>
      </c>
    </row>
    <row r="51" spans="1:27" x14ac:dyDescent="0.25">
      <c r="A51" s="8">
        <f>'A) Base RI'!A51</f>
        <v>5481</v>
      </c>
      <c r="B51" s="32" t="str">
        <f>'A) Base RI'!B51</f>
        <v>Dizy</v>
      </c>
      <c r="C51" s="10">
        <f>'A) Base RI'!C51+'A) Base RI'!D51</f>
        <v>553475.56000000006</v>
      </c>
      <c r="D51" s="10">
        <f>'A) Base RI'!W51</f>
        <v>-73.41</v>
      </c>
      <c r="E51" s="390">
        <f>'A) Base RI'!X51</f>
        <v>0</v>
      </c>
      <c r="F51" s="390">
        <f>'A) Base RI'!Y51</f>
        <v>0</v>
      </c>
      <c r="G51" s="394">
        <f t="shared" si="0"/>
        <v>553402.15</v>
      </c>
      <c r="H51" s="10">
        <f>+'A) Base RI'!E51</f>
        <v>0</v>
      </c>
      <c r="I51" s="10">
        <f>+'A) Base RI'!F51</f>
        <v>0</v>
      </c>
      <c r="J51" s="10">
        <f>+'A) Base RI'!G51+'A) Base RI'!H51+'A) Base RI'!S51</f>
        <v>15074.519999999999</v>
      </c>
      <c r="K51" s="10">
        <f>+'A) Base RI'!I51</f>
        <v>0</v>
      </c>
      <c r="L51" s="10">
        <f>+'A) Base RI'!J51</f>
        <v>-833.47</v>
      </c>
      <c r="M51" s="10">
        <f>+'A) Base RI'!K51</f>
        <v>0</v>
      </c>
      <c r="N51" s="10">
        <f>+'A) Base RI'!Q51</f>
        <v>0</v>
      </c>
      <c r="O51" s="10">
        <f t="shared" si="1"/>
        <v>41423.35</v>
      </c>
      <c r="P51" s="10">
        <f>+'A) Base RI'!L51</f>
        <v>41423.35</v>
      </c>
      <c r="Q51" s="402">
        <f>'A) Base RI'!Z51</f>
        <v>1</v>
      </c>
      <c r="R51" s="394">
        <f t="shared" si="2"/>
        <v>609066.55000000005</v>
      </c>
      <c r="S51" s="437">
        <f>+'A) Base RI'!U51</f>
        <v>75</v>
      </c>
      <c r="T51" s="394">
        <f t="shared" si="3"/>
        <v>567643.20000000007</v>
      </c>
      <c r="U51" s="394">
        <f t="shared" si="4"/>
        <v>8120.887333333334</v>
      </c>
      <c r="V51" s="10">
        <f>+'A) Base RI'!O51</f>
        <v>0</v>
      </c>
      <c r="W51" s="10">
        <f>+'A) Base RI'!P51</f>
        <v>16085.85</v>
      </c>
      <c r="X51" s="10">
        <f>+'A) Base RI'!R51</f>
        <v>1853.3</v>
      </c>
      <c r="Y51" s="394">
        <f t="shared" si="5"/>
        <v>17939.150000000001</v>
      </c>
      <c r="Z51" s="10">
        <f>+'A) Base RI'!N51</f>
        <v>0</v>
      </c>
      <c r="AA51" s="10">
        <f>'A) Base RI'!V51</f>
        <v>225</v>
      </c>
    </row>
    <row r="52" spans="1:27" x14ac:dyDescent="0.25">
      <c r="A52" s="8">
        <f>'A) Base RI'!A52</f>
        <v>5482</v>
      </c>
      <c r="B52" s="32" t="str">
        <f>'A) Base RI'!B52</f>
        <v>Eclépens</v>
      </c>
      <c r="C52" s="10">
        <f>'A) Base RI'!C52+'A) Base RI'!D52</f>
        <v>1568402.1500000001</v>
      </c>
      <c r="D52" s="10">
        <f>'A) Base RI'!W52</f>
        <v>-24344.36</v>
      </c>
      <c r="E52" s="390">
        <f>'A) Base RI'!X52</f>
        <v>0</v>
      </c>
      <c r="F52" s="390">
        <f>'A) Base RI'!Y52</f>
        <v>-893.6</v>
      </c>
      <c r="G52" s="394">
        <f t="shared" si="0"/>
        <v>1543164.19</v>
      </c>
      <c r="H52" s="10">
        <f>+'A) Base RI'!E52</f>
        <v>0</v>
      </c>
      <c r="I52" s="10">
        <f>+'A) Base RI'!F52</f>
        <v>0</v>
      </c>
      <c r="J52" s="10">
        <f>+'A) Base RI'!G52+'A) Base RI'!H52+'A) Base RI'!S52</f>
        <v>403389.02999999997</v>
      </c>
      <c r="K52" s="10">
        <f>+'A) Base RI'!I52</f>
        <v>0</v>
      </c>
      <c r="L52" s="10">
        <f>+'A) Base RI'!J52</f>
        <v>43014.7</v>
      </c>
      <c r="M52" s="10">
        <f>+'A) Base RI'!K52</f>
        <v>54198.35</v>
      </c>
      <c r="N52" s="10">
        <f>+'A) Base RI'!Q52</f>
        <v>5313.64</v>
      </c>
      <c r="O52" s="10">
        <f t="shared" si="1"/>
        <v>443951.55</v>
      </c>
      <c r="P52" s="10">
        <f>+'A) Base RI'!L52</f>
        <v>443951.55</v>
      </c>
      <c r="Q52" s="402">
        <f>'A) Base RI'!Z52</f>
        <v>1</v>
      </c>
      <c r="R52" s="394">
        <f t="shared" si="2"/>
        <v>2493031.46</v>
      </c>
      <c r="S52" s="437">
        <f>+'A) Base RI'!U52</f>
        <v>46</v>
      </c>
      <c r="T52" s="394">
        <f t="shared" si="3"/>
        <v>1994881.5599999998</v>
      </c>
      <c r="U52" s="394">
        <f t="shared" si="4"/>
        <v>54196.336086956522</v>
      </c>
      <c r="V52" s="10">
        <f>+'A) Base RI'!O52</f>
        <v>29857</v>
      </c>
      <c r="W52" s="10">
        <f>+'A) Base RI'!P52</f>
        <v>149037.35</v>
      </c>
      <c r="X52" s="10">
        <f>+'A) Base RI'!R52</f>
        <v>26578.95</v>
      </c>
      <c r="Y52" s="394">
        <f t="shared" si="5"/>
        <v>205473.30000000002</v>
      </c>
      <c r="Z52" s="10">
        <f>+'A) Base RI'!N52</f>
        <v>311950.55</v>
      </c>
      <c r="AA52" s="10">
        <f>'A) Base RI'!V52</f>
        <v>1198</v>
      </c>
    </row>
    <row r="53" spans="1:27" x14ac:dyDescent="0.25">
      <c r="A53" s="8">
        <f>'A) Base RI'!A53</f>
        <v>5483</v>
      </c>
      <c r="B53" s="32" t="str">
        <f>'A) Base RI'!B53</f>
        <v>Ferreyres</v>
      </c>
      <c r="C53" s="10">
        <f>'A) Base RI'!C53+'A) Base RI'!D53</f>
        <v>749058.51</v>
      </c>
      <c r="D53" s="10">
        <f>'A) Base RI'!W53</f>
        <v>-9810.84</v>
      </c>
      <c r="E53" s="390">
        <f>'A) Base RI'!X53</f>
        <v>0</v>
      </c>
      <c r="F53" s="390">
        <f>'A) Base RI'!Y53</f>
        <v>-850.75</v>
      </c>
      <c r="G53" s="394">
        <f t="shared" si="0"/>
        <v>738396.92</v>
      </c>
      <c r="H53" s="10">
        <f>+'A) Base RI'!E53</f>
        <v>0</v>
      </c>
      <c r="I53" s="10">
        <f>+'A) Base RI'!F53</f>
        <v>0</v>
      </c>
      <c r="J53" s="10">
        <f>+'A) Base RI'!G53+'A) Base RI'!H53+'A) Base RI'!S53</f>
        <v>2684.5199999999995</v>
      </c>
      <c r="K53" s="10">
        <f>+'A) Base RI'!I53</f>
        <v>0</v>
      </c>
      <c r="L53" s="10">
        <f>+'A) Base RI'!J53</f>
        <v>2470.9699999999998</v>
      </c>
      <c r="M53" s="10">
        <f>+'A) Base RI'!K53</f>
        <v>175.5</v>
      </c>
      <c r="N53" s="10">
        <f>+'A) Base RI'!Q53</f>
        <v>0</v>
      </c>
      <c r="O53" s="10">
        <f t="shared" si="1"/>
        <v>57093.4</v>
      </c>
      <c r="P53" s="10">
        <f>+'A) Base RI'!L53</f>
        <v>57093.4</v>
      </c>
      <c r="Q53" s="402">
        <f>'A) Base RI'!Z53</f>
        <v>1</v>
      </c>
      <c r="R53" s="394">
        <f t="shared" si="2"/>
        <v>800821.31</v>
      </c>
      <c r="S53" s="437">
        <f>+'A) Base RI'!U53</f>
        <v>76</v>
      </c>
      <c r="T53" s="394">
        <f t="shared" si="3"/>
        <v>743552.41</v>
      </c>
      <c r="U53" s="394">
        <f t="shared" si="4"/>
        <v>10537.122500000001</v>
      </c>
      <c r="V53" s="10">
        <f>+'A) Base RI'!O53</f>
        <v>0</v>
      </c>
      <c r="W53" s="10">
        <f>+'A) Base RI'!P53</f>
        <v>7370.05</v>
      </c>
      <c r="X53" s="10">
        <f>+'A) Base RI'!R53</f>
        <v>5726.6</v>
      </c>
      <c r="Y53" s="394">
        <f t="shared" si="5"/>
        <v>13096.650000000001</v>
      </c>
      <c r="Z53" s="10">
        <f>+'A) Base RI'!N53</f>
        <v>0</v>
      </c>
      <c r="AA53" s="10">
        <f>'A) Base RI'!V53</f>
        <v>319</v>
      </c>
    </row>
    <row r="54" spans="1:27" x14ac:dyDescent="0.25">
      <c r="A54" s="8">
        <f>'A) Base RI'!A54</f>
        <v>5484</v>
      </c>
      <c r="B54" s="32" t="str">
        <f>'A) Base RI'!B54</f>
        <v>Gollion</v>
      </c>
      <c r="C54" s="10">
        <f>'A) Base RI'!C54+'A) Base RI'!D54</f>
        <v>2384946.7400000002</v>
      </c>
      <c r="D54" s="10">
        <f>'A) Base RI'!W54</f>
        <v>-15238.01</v>
      </c>
      <c r="E54" s="390">
        <f>'A) Base RI'!X54</f>
        <v>0</v>
      </c>
      <c r="F54" s="390">
        <f>'A) Base RI'!Y54</f>
        <v>-32.799999999999997</v>
      </c>
      <c r="G54" s="394">
        <f t="shared" si="0"/>
        <v>2369675.9300000006</v>
      </c>
      <c r="H54" s="10">
        <f>+'A) Base RI'!E54</f>
        <v>0</v>
      </c>
      <c r="I54" s="10">
        <f>+'A) Base RI'!F54</f>
        <v>0</v>
      </c>
      <c r="J54" s="10">
        <f>+'A) Base RI'!G54+'A) Base RI'!H54+'A) Base RI'!S54</f>
        <v>38468.159999999996</v>
      </c>
      <c r="K54" s="10">
        <f>+'A) Base RI'!I54</f>
        <v>0</v>
      </c>
      <c r="L54" s="10">
        <f>+'A) Base RI'!J54</f>
        <v>23138.720000000001</v>
      </c>
      <c r="M54" s="10">
        <f>+'A) Base RI'!K54</f>
        <v>6192.35</v>
      </c>
      <c r="N54" s="10">
        <f>+'A) Base RI'!Q54</f>
        <v>23617.33</v>
      </c>
      <c r="O54" s="10">
        <f t="shared" si="1"/>
        <v>199256.8</v>
      </c>
      <c r="P54" s="10">
        <f>+'A) Base RI'!L54</f>
        <v>199256.8</v>
      </c>
      <c r="Q54" s="402">
        <f>'A) Base RI'!Z54</f>
        <v>1</v>
      </c>
      <c r="R54" s="394">
        <f t="shared" si="2"/>
        <v>2660349.290000001</v>
      </c>
      <c r="S54" s="437">
        <f>+'A) Base RI'!U54</f>
        <v>74</v>
      </c>
      <c r="T54" s="394">
        <f t="shared" si="3"/>
        <v>2454900.1400000011</v>
      </c>
      <c r="U54" s="394">
        <f t="shared" si="4"/>
        <v>35950.666081081094</v>
      </c>
      <c r="V54" s="10">
        <f>+'A) Base RI'!O54</f>
        <v>5997.1</v>
      </c>
      <c r="W54" s="10">
        <f>+'A) Base RI'!P54</f>
        <v>144022.6</v>
      </c>
      <c r="X54" s="10">
        <f>+'A) Base RI'!R54</f>
        <v>88519.15</v>
      </c>
      <c r="Y54" s="394">
        <f t="shared" si="5"/>
        <v>238538.85</v>
      </c>
      <c r="Z54" s="10">
        <f>+'A) Base RI'!N54</f>
        <v>32793.65</v>
      </c>
      <c r="AA54" s="10">
        <f>'A) Base RI'!V54</f>
        <v>1018</v>
      </c>
    </row>
    <row r="55" spans="1:27" x14ac:dyDescent="0.25">
      <c r="A55" s="8">
        <f>'A) Base RI'!A55</f>
        <v>5485</v>
      </c>
      <c r="B55" s="32" t="str">
        <f>'A) Base RI'!B55</f>
        <v>Grancy</v>
      </c>
      <c r="C55" s="10">
        <f>'A) Base RI'!C55+'A) Base RI'!D55</f>
        <v>1598727.6</v>
      </c>
      <c r="D55" s="10">
        <f>'A) Base RI'!W55</f>
        <v>-9064.44</v>
      </c>
      <c r="E55" s="390">
        <f>'A) Base RI'!X55</f>
        <v>0</v>
      </c>
      <c r="F55" s="390">
        <f>'A) Base RI'!Y55</f>
        <v>-268.92</v>
      </c>
      <c r="G55" s="394">
        <f t="shared" si="0"/>
        <v>1589394.2400000002</v>
      </c>
      <c r="H55" s="10">
        <f>+'A) Base RI'!E55</f>
        <v>0</v>
      </c>
      <c r="I55" s="10">
        <f>+'A) Base RI'!F55</f>
        <v>0</v>
      </c>
      <c r="J55" s="10">
        <f>+'A) Base RI'!G55+'A) Base RI'!H55+'A) Base RI'!S55</f>
        <v>43335.01</v>
      </c>
      <c r="K55" s="10">
        <f>+'A) Base RI'!I55</f>
        <v>0</v>
      </c>
      <c r="L55" s="10">
        <f>+'A) Base RI'!J55</f>
        <v>887.65</v>
      </c>
      <c r="M55" s="10">
        <f>+'A) Base RI'!K55</f>
        <v>-244</v>
      </c>
      <c r="N55" s="10">
        <f>+'A) Base RI'!Q55</f>
        <v>1394.72</v>
      </c>
      <c r="O55" s="10">
        <f t="shared" si="1"/>
        <v>79438.55</v>
      </c>
      <c r="P55" s="10">
        <f>+'A) Base RI'!L55</f>
        <v>79438.55</v>
      </c>
      <c r="Q55" s="402">
        <f>'A) Base RI'!Z55</f>
        <v>1</v>
      </c>
      <c r="R55" s="394">
        <f t="shared" si="2"/>
        <v>1714206.1700000002</v>
      </c>
      <c r="S55" s="437">
        <f>+'A) Base RI'!U55</f>
        <v>70</v>
      </c>
      <c r="T55" s="394">
        <f t="shared" si="3"/>
        <v>1635011.62</v>
      </c>
      <c r="U55" s="394">
        <f t="shared" si="4"/>
        <v>24488.659571428572</v>
      </c>
      <c r="V55" s="10">
        <f>+'A) Base RI'!O55</f>
        <v>1.4</v>
      </c>
      <c r="W55" s="10">
        <f>+'A) Base RI'!P55</f>
        <v>85562.8</v>
      </c>
      <c r="X55" s="10">
        <f>+'A) Base RI'!R55</f>
        <v>57300.15</v>
      </c>
      <c r="Y55" s="394">
        <f t="shared" si="5"/>
        <v>142864.35</v>
      </c>
      <c r="Z55" s="10">
        <f>+'A) Base RI'!N55</f>
        <v>12308.85</v>
      </c>
      <c r="AA55" s="10">
        <f>'A) Base RI'!V55</f>
        <v>445</v>
      </c>
    </row>
    <row r="56" spans="1:27" x14ac:dyDescent="0.25">
      <c r="A56" s="8">
        <f>'A) Base RI'!A56</f>
        <v>5486</v>
      </c>
      <c r="B56" s="32" t="str">
        <f>'A) Base RI'!B56</f>
        <v>L'Isle</v>
      </c>
      <c r="C56" s="10">
        <f>'A) Base RI'!C56+'A) Base RI'!D56</f>
        <v>1998582.23</v>
      </c>
      <c r="D56" s="10">
        <f>'A) Base RI'!W56</f>
        <v>-76024.160000000003</v>
      </c>
      <c r="E56" s="390">
        <f>'A) Base RI'!X56</f>
        <v>0</v>
      </c>
      <c r="F56" s="390">
        <f>'A) Base RI'!Y56</f>
        <v>-87.56</v>
      </c>
      <c r="G56" s="394">
        <f t="shared" si="0"/>
        <v>1922470.51</v>
      </c>
      <c r="H56" s="10">
        <f>+'A) Base RI'!E56</f>
        <v>0</v>
      </c>
      <c r="I56" s="10">
        <f>+'A) Base RI'!F56</f>
        <v>0</v>
      </c>
      <c r="J56" s="10">
        <f>+'A) Base RI'!G56+'A) Base RI'!H56+'A) Base RI'!S56</f>
        <v>50303.58</v>
      </c>
      <c r="K56" s="10">
        <f>+'A) Base RI'!I56</f>
        <v>-34441</v>
      </c>
      <c r="L56" s="10">
        <f>+'A) Base RI'!J56</f>
        <v>35680.080000000002</v>
      </c>
      <c r="M56" s="10">
        <f>+'A) Base RI'!K56</f>
        <v>11348.3</v>
      </c>
      <c r="N56" s="10">
        <f>+'A) Base RI'!Q56</f>
        <v>5560.12</v>
      </c>
      <c r="O56" s="10">
        <f t="shared" si="1"/>
        <v>201357.5</v>
      </c>
      <c r="P56" s="10">
        <f>+'A) Base RI'!L56</f>
        <v>201357.5</v>
      </c>
      <c r="Q56" s="402">
        <f>'A) Base RI'!Z56</f>
        <v>1</v>
      </c>
      <c r="R56" s="394">
        <f t="shared" si="2"/>
        <v>2192279.0900000003</v>
      </c>
      <c r="S56" s="437">
        <f>+'A) Base RI'!U56</f>
        <v>75</v>
      </c>
      <c r="T56" s="394">
        <f t="shared" si="3"/>
        <v>1979573.2900000003</v>
      </c>
      <c r="U56" s="394">
        <f t="shared" si="4"/>
        <v>29230.387866666671</v>
      </c>
      <c r="V56" s="10">
        <f>+'A) Base RI'!O56</f>
        <v>31401.5</v>
      </c>
      <c r="W56" s="10">
        <f>+'A) Base RI'!P56</f>
        <v>129063</v>
      </c>
      <c r="X56" s="10">
        <f>+'A) Base RI'!R56</f>
        <v>164204.70000000001</v>
      </c>
      <c r="Y56" s="394">
        <f t="shared" si="5"/>
        <v>324669.2</v>
      </c>
      <c r="Z56" s="10">
        <f>+'A) Base RI'!N56</f>
        <v>49479.55</v>
      </c>
      <c r="AA56" s="10">
        <f>'A) Base RI'!V56</f>
        <v>1079</v>
      </c>
    </row>
    <row r="57" spans="1:27" x14ac:dyDescent="0.25">
      <c r="A57" s="8">
        <f>'A) Base RI'!A57</f>
        <v>5487</v>
      </c>
      <c r="B57" s="32" t="str">
        <f>'A) Base RI'!B57</f>
        <v>Lussery-Villars</v>
      </c>
      <c r="C57" s="10">
        <f>'A) Base RI'!C57+'A) Base RI'!D57</f>
        <v>1164393.8</v>
      </c>
      <c r="D57" s="10">
        <f>'A) Base RI'!W57</f>
        <v>-16121.17</v>
      </c>
      <c r="E57" s="390">
        <f>'A) Base RI'!X57</f>
        <v>0</v>
      </c>
      <c r="F57" s="390">
        <f>'A) Base RI'!Y57</f>
        <v>-1.21</v>
      </c>
      <c r="G57" s="394">
        <f t="shared" si="0"/>
        <v>1148271.4200000002</v>
      </c>
      <c r="H57" s="10">
        <f>+'A) Base RI'!E57</f>
        <v>0</v>
      </c>
      <c r="I57" s="10">
        <f>+'A) Base RI'!F57</f>
        <v>0</v>
      </c>
      <c r="J57" s="10">
        <f>+'A) Base RI'!G57+'A) Base RI'!H57+'A) Base RI'!S57</f>
        <v>6213.9</v>
      </c>
      <c r="K57" s="10">
        <f>+'A) Base RI'!I57</f>
        <v>0</v>
      </c>
      <c r="L57" s="10">
        <f>+'A) Base RI'!J57</f>
        <v>331.33</v>
      </c>
      <c r="M57" s="10">
        <f>+'A) Base RI'!K57</f>
        <v>993.25</v>
      </c>
      <c r="N57" s="10">
        <f>+'A) Base RI'!Q57</f>
        <v>6371.44</v>
      </c>
      <c r="O57" s="10">
        <f t="shared" si="1"/>
        <v>84501.8</v>
      </c>
      <c r="P57" s="10">
        <f>+'A) Base RI'!L57</f>
        <v>84501.8</v>
      </c>
      <c r="Q57" s="402">
        <f>'A) Base RI'!Z57</f>
        <v>1</v>
      </c>
      <c r="R57" s="394">
        <f t="shared" si="2"/>
        <v>1246683.1400000001</v>
      </c>
      <c r="S57" s="437">
        <f>+'A) Base RI'!U57</f>
        <v>75</v>
      </c>
      <c r="T57" s="394">
        <f t="shared" si="3"/>
        <v>1161188.0900000001</v>
      </c>
      <c r="U57" s="394">
        <f t="shared" si="4"/>
        <v>16622.441866666668</v>
      </c>
      <c r="V57" s="10">
        <f>+'A) Base RI'!O57</f>
        <v>1988.2</v>
      </c>
      <c r="W57" s="10">
        <f>+'A) Base RI'!P57</f>
        <v>24475</v>
      </c>
      <c r="X57" s="10">
        <f>+'A) Base RI'!R57</f>
        <v>8625.2999999999993</v>
      </c>
      <c r="Y57" s="394">
        <f t="shared" si="5"/>
        <v>35088.5</v>
      </c>
      <c r="Z57" s="10">
        <f>+'A) Base RI'!N57</f>
        <v>0</v>
      </c>
      <c r="AA57" s="10">
        <f>'A) Base RI'!V57</f>
        <v>475</v>
      </c>
    </row>
    <row r="58" spans="1:27" x14ac:dyDescent="0.25">
      <c r="A58" s="8">
        <f>'A) Base RI'!A58</f>
        <v>5488</v>
      </c>
      <c r="B58" s="32" t="str">
        <f>'A) Base RI'!B58</f>
        <v>Mauraz</v>
      </c>
      <c r="C58" s="10">
        <f>'A) Base RI'!C58+'A) Base RI'!D58</f>
        <v>125981.14</v>
      </c>
      <c r="D58" s="10">
        <f>'A) Base RI'!W58</f>
        <v>-12.59</v>
      </c>
      <c r="E58" s="390">
        <f>'A) Base RI'!X58</f>
        <v>0</v>
      </c>
      <c r="F58" s="390">
        <f>'A) Base RI'!Y58</f>
        <v>-17.96</v>
      </c>
      <c r="G58" s="394">
        <f t="shared" si="0"/>
        <v>125950.59</v>
      </c>
      <c r="H58" s="10">
        <f>+'A) Base RI'!E58</f>
        <v>0</v>
      </c>
      <c r="I58" s="10">
        <f>+'A) Base RI'!F58</f>
        <v>0</v>
      </c>
      <c r="J58" s="10">
        <f>+'A) Base RI'!G58+'A) Base RI'!H58+'A) Base RI'!S58</f>
        <v>690.39</v>
      </c>
      <c r="K58" s="10">
        <f>+'A) Base RI'!I58</f>
        <v>0</v>
      </c>
      <c r="L58" s="10">
        <f>+'A) Base RI'!J58</f>
        <v>-2075.6799999999998</v>
      </c>
      <c r="M58" s="10">
        <f>+'A) Base RI'!K58</f>
        <v>0</v>
      </c>
      <c r="N58" s="10">
        <f>+'A) Base RI'!Q58</f>
        <v>0</v>
      </c>
      <c r="O58" s="10">
        <f t="shared" si="1"/>
        <v>8582</v>
      </c>
      <c r="P58" s="10">
        <f>+'A) Base RI'!L58</f>
        <v>8582</v>
      </c>
      <c r="Q58" s="402">
        <f>'A) Base RI'!Z58</f>
        <v>1</v>
      </c>
      <c r="R58" s="394">
        <f t="shared" si="2"/>
        <v>133147.29999999999</v>
      </c>
      <c r="S58" s="437">
        <f>+'A) Base RI'!U58</f>
        <v>77</v>
      </c>
      <c r="T58" s="394">
        <f t="shared" si="3"/>
        <v>124565.3</v>
      </c>
      <c r="U58" s="394">
        <f t="shared" si="4"/>
        <v>1729.1857142857141</v>
      </c>
      <c r="V58" s="10">
        <f>+'A) Base RI'!O58</f>
        <v>0</v>
      </c>
      <c r="W58" s="10">
        <f>+'A) Base RI'!P58</f>
        <v>0</v>
      </c>
      <c r="X58" s="10">
        <f>+'A) Base RI'!R58</f>
        <v>0</v>
      </c>
      <c r="Y58" s="394">
        <f t="shared" si="5"/>
        <v>0</v>
      </c>
      <c r="Z58" s="10">
        <f>+'A) Base RI'!N58</f>
        <v>0</v>
      </c>
      <c r="AA58" s="10">
        <f>'A) Base RI'!V58</f>
        <v>60</v>
      </c>
    </row>
    <row r="59" spans="1:27" x14ac:dyDescent="0.25">
      <c r="A59" s="8">
        <f>'A) Base RI'!A59</f>
        <v>5489</v>
      </c>
      <c r="B59" s="32" t="str">
        <f>'A) Base RI'!B59</f>
        <v>Mex</v>
      </c>
      <c r="C59" s="10">
        <f>'A) Base RI'!C59+'A) Base RI'!D59</f>
        <v>2440532.5499999998</v>
      </c>
      <c r="D59" s="10">
        <f>'A) Base RI'!W59</f>
        <v>-23124.43</v>
      </c>
      <c r="E59" s="390">
        <f>'A) Base RI'!X59</f>
        <v>0</v>
      </c>
      <c r="F59" s="390">
        <f>'A) Base RI'!Y59</f>
        <v>-49027.49</v>
      </c>
      <c r="G59" s="394">
        <f t="shared" si="0"/>
        <v>2368380.6299999994</v>
      </c>
      <c r="H59" s="10">
        <f>+'A) Base RI'!E59</f>
        <v>0</v>
      </c>
      <c r="I59" s="10">
        <f>+'A) Base RI'!F59</f>
        <v>0</v>
      </c>
      <c r="J59" s="10">
        <f>+'A) Base RI'!G59+'A) Base RI'!H59+'A) Base RI'!S59</f>
        <v>261307.15000000002</v>
      </c>
      <c r="K59" s="10">
        <f>+'A) Base RI'!I59</f>
        <v>0</v>
      </c>
      <c r="L59" s="10">
        <f>+'A) Base RI'!J59</f>
        <v>80272.08</v>
      </c>
      <c r="M59" s="10">
        <f>+'A) Base RI'!K59</f>
        <v>6591.5</v>
      </c>
      <c r="N59" s="10">
        <f>+'A) Base RI'!Q59</f>
        <v>11010.02</v>
      </c>
      <c r="O59" s="10">
        <f t="shared" si="1"/>
        <v>299794.45</v>
      </c>
      <c r="P59" s="10">
        <f>+'A) Base RI'!L59</f>
        <v>299794.45</v>
      </c>
      <c r="Q59" s="402">
        <f>'A) Base RI'!Z59</f>
        <v>1</v>
      </c>
      <c r="R59" s="394">
        <f t="shared" si="2"/>
        <v>3027355.8299999996</v>
      </c>
      <c r="S59" s="437">
        <f>+'A) Base RI'!U59</f>
        <v>59.5</v>
      </c>
      <c r="T59" s="394">
        <f t="shared" si="3"/>
        <v>2720969.8799999994</v>
      </c>
      <c r="U59" s="394">
        <f t="shared" si="4"/>
        <v>50879.929915966379</v>
      </c>
      <c r="V59" s="10">
        <f>+'A) Base RI'!O59</f>
        <v>0</v>
      </c>
      <c r="W59" s="10">
        <f>+'A) Base RI'!P59</f>
        <v>165655.6</v>
      </c>
      <c r="X59" s="10">
        <f>+'A) Base RI'!R59</f>
        <v>118495.25</v>
      </c>
      <c r="Y59" s="394">
        <f t="shared" si="5"/>
        <v>284150.84999999998</v>
      </c>
      <c r="Z59" s="10">
        <f>+'A) Base RI'!N59</f>
        <v>165302.79999999999</v>
      </c>
      <c r="AA59" s="10">
        <f>'A) Base RI'!V59</f>
        <v>795</v>
      </c>
    </row>
    <row r="60" spans="1:27" x14ac:dyDescent="0.25">
      <c r="A60" s="8">
        <f>'A) Base RI'!A60</f>
        <v>5490</v>
      </c>
      <c r="B60" s="32" t="str">
        <f>'A) Base RI'!B60</f>
        <v>Moiry</v>
      </c>
      <c r="C60" s="10">
        <f>'A) Base RI'!C60+'A) Base RI'!D60</f>
        <v>662108.59</v>
      </c>
      <c r="D60" s="10">
        <f>'A) Base RI'!W60</f>
        <v>-13441.41</v>
      </c>
      <c r="E60" s="390">
        <f>'A) Base RI'!X60</f>
        <v>0</v>
      </c>
      <c r="F60" s="390">
        <f>'A) Base RI'!Y60</f>
        <v>-368</v>
      </c>
      <c r="G60" s="394">
        <f t="shared" si="0"/>
        <v>648299.17999999993</v>
      </c>
      <c r="H60" s="10">
        <f>+'A) Base RI'!E60</f>
        <v>0</v>
      </c>
      <c r="I60" s="10">
        <f>+'A) Base RI'!F60</f>
        <v>0</v>
      </c>
      <c r="J60" s="10">
        <f>+'A) Base RI'!G60+'A) Base RI'!H60+'A) Base RI'!S60</f>
        <v>4141.3899999999994</v>
      </c>
      <c r="K60" s="10">
        <f>+'A) Base RI'!I60</f>
        <v>0</v>
      </c>
      <c r="L60" s="10">
        <f>+'A) Base RI'!J60</f>
        <v>2071.5300000000002</v>
      </c>
      <c r="M60" s="10">
        <f>+'A) Base RI'!K60</f>
        <v>0</v>
      </c>
      <c r="N60" s="10">
        <f>+'A) Base RI'!Q60</f>
        <v>0</v>
      </c>
      <c r="O60" s="10">
        <f t="shared" si="1"/>
        <v>47397.65</v>
      </c>
      <c r="P60" s="10">
        <f>+'A) Base RI'!L60</f>
        <v>47397.65</v>
      </c>
      <c r="Q60" s="402">
        <f>'A) Base RI'!Z60</f>
        <v>1</v>
      </c>
      <c r="R60" s="394">
        <f t="shared" si="2"/>
        <v>701909.75</v>
      </c>
      <c r="S60" s="437">
        <f>+'A) Base RI'!U60</f>
        <v>77.5</v>
      </c>
      <c r="T60" s="394">
        <f t="shared" si="3"/>
        <v>654512.1</v>
      </c>
      <c r="U60" s="394">
        <f t="shared" si="4"/>
        <v>9056.9</v>
      </c>
      <c r="V60" s="10">
        <f>+'A) Base RI'!O60</f>
        <v>0</v>
      </c>
      <c r="W60" s="10">
        <f>+'A) Base RI'!P60</f>
        <v>11853.3</v>
      </c>
      <c r="X60" s="10">
        <f>+'A) Base RI'!R60</f>
        <v>26881</v>
      </c>
      <c r="Y60" s="394">
        <f t="shared" si="5"/>
        <v>38734.300000000003</v>
      </c>
      <c r="Z60" s="10">
        <f>+'A) Base RI'!N60</f>
        <v>0</v>
      </c>
      <c r="AA60" s="10">
        <f>'A) Base RI'!V60</f>
        <v>301</v>
      </c>
    </row>
    <row r="61" spans="1:27" x14ac:dyDescent="0.25">
      <c r="A61" s="8">
        <f>'A) Base RI'!A61</f>
        <v>5491</v>
      </c>
      <c r="B61" s="32" t="str">
        <f>'A) Base RI'!B61</f>
        <v>Mont-la-Ville</v>
      </c>
      <c r="C61" s="10">
        <f>'A) Base RI'!C61+'A) Base RI'!D61</f>
        <v>928692</v>
      </c>
      <c r="D61" s="10">
        <f>'A) Base RI'!W61</f>
        <v>-5240.1099999999997</v>
      </c>
      <c r="E61" s="390">
        <f>'A) Base RI'!X61</f>
        <v>0</v>
      </c>
      <c r="F61" s="390">
        <f>'A) Base RI'!Y61</f>
        <v>-212.45</v>
      </c>
      <c r="G61" s="394">
        <f t="shared" si="0"/>
        <v>923239.44000000006</v>
      </c>
      <c r="H61" s="10">
        <f>+'A) Base RI'!E61</f>
        <v>0</v>
      </c>
      <c r="I61" s="10">
        <f>+'A) Base RI'!F61</f>
        <v>2640</v>
      </c>
      <c r="J61" s="10">
        <f>+'A) Base RI'!G61+'A) Base RI'!H61+'A) Base RI'!S61</f>
        <v>6373.65</v>
      </c>
      <c r="K61" s="10">
        <f>+'A) Base RI'!I61</f>
        <v>0</v>
      </c>
      <c r="L61" s="10">
        <f>+'A) Base RI'!J61</f>
        <v>14479.83</v>
      </c>
      <c r="M61" s="10">
        <f>+'A) Base RI'!K61</f>
        <v>-1278.5</v>
      </c>
      <c r="N61" s="10">
        <f>+'A) Base RI'!Q61</f>
        <v>1150.07</v>
      </c>
      <c r="O61" s="10">
        <f t="shared" si="1"/>
        <v>90714.25</v>
      </c>
      <c r="P61" s="10">
        <f>+'A) Base RI'!L61</f>
        <v>90714.25</v>
      </c>
      <c r="Q61" s="402">
        <f>'A) Base RI'!Z61</f>
        <v>1</v>
      </c>
      <c r="R61" s="394">
        <f t="shared" si="2"/>
        <v>1037318.74</v>
      </c>
      <c r="S61" s="437">
        <f>+'A) Base RI'!U61</f>
        <v>76</v>
      </c>
      <c r="T61" s="394">
        <f t="shared" si="3"/>
        <v>945242.99</v>
      </c>
      <c r="U61" s="394">
        <f t="shared" si="4"/>
        <v>13648.930789473685</v>
      </c>
      <c r="V61" s="10">
        <f>+'A) Base RI'!O61</f>
        <v>0</v>
      </c>
      <c r="W61" s="10">
        <f>+'A) Base RI'!P61</f>
        <v>38874</v>
      </c>
      <c r="X61" s="10">
        <f>+'A) Base RI'!R61</f>
        <v>6422.8</v>
      </c>
      <c r="Y61" s="394">
        <f t="shared" si="5"/>
        <v>45296.800000000003</v>
      </c>
      <c r="Z61" s="10">
        <f>+'A) Base RI'!N61</f>
        <v>3858.55</v>
      </c>
      <c r="AA61" s="10">
        <f>'A) Base RI'!V61</f>
        <v>508</v>
      </c>
    </row>
    <row r="62" spans="1:27" x14ac:dyDescent="0.25">
      <c r="A62" s="8">
        <f>'A) Base RI'!A62</f>
        <v>5492</v>
      </c>
      <c r="B62" s="32" t="str">
        <f>'A) Base RI'!B62</f>
        <v>Montricher</v>
      </c>
      <c r="C62" s="10">
        <f>'A) Base RI'!C62+'A) Base RI'!D62</f>
        <v>10797532.710000001</v>
      </c>
      <c r="D62" s="10">
        <f>'A) Base RI'!W62</f>
        <v>-11961.08</v>
      </c>
      <c r="E62" s="390">
        <f>'A) Base RI'!X62</f>
        <v>0</v>
      </c>
      <c r="F62" s="390">
        <f>'A) Base RI'!Y62</f>
        <v>-3713.94</v>
      </c>
      <c r="G62" s="394">
        <f t="shared" si="0"/>
        <v>10781857.690000001</v>
      </c>
      <c r="H62" s="10">
        <f>+'A) Base RI'!E62</f>
        <v>0</v>
      </c>
      <c r="I62" s="10">
        <f>+'A) Base RI'!F62</f>
        <v>0</v>
      </c>
      <c r="J62" s="10">
        <f>+'A) Base RI'!G62+'A) Base RI'!H62+'A) Base RI'!S62</f>
        <v>68546.33</v>
      </c>
      <c r="K62" s="10">
        <f>+'A) Base RI'!I62</f>
        <v>0</v>
      </c>
      <c r="L62" s="10">
        <f>+'A) Base RI'!J62</f>
        <v>111168.97</v>
      </c>
      <c r="M62" s="10">
        <f>+'A) Base RI'!K62</f>
        <v>3090.45</v>
      </c>
      <c r="N62" s="10">
        <f>+'A) Base RI'!Q62</f>
        <v>2782.2</v>
      </c>
      <c r="O62" s="10">
        <f t="shared" si="1"/>
        <v>249735.5</v>
      </c>
      <c r="P62" s="10">
        <f>+'A) Base RI'!L62</f>
        <v>74920.649999999994</v>
      </c>
      <c r="Q62" s="402">
        <f>'A) Base RI'!Z62</f>
        <v>0.3</v>
      </c>
      <c r="R62" s="394">
        <f t="shared" si="2"/>
        <v>11217181.140000001</v>
      </c>
      <c r="S62" s="437">
        <f>+'A) Base RI'!U62</f>
        <v>64</v>
      </c>
      <c r="T62" s="394">
        <f t="shared" si="3"/>
        <v>10964355.190000001</v>
      </c>
      <c r="U62" s="394">
        <f t="shared" si="4"/>
        <v>175268.45531250001</v>
      </c>
      <c r="V62" s="10">
        <f>+'A) Base RI'!O62</f>
        <v>206723</v>
      </c>
      <c r="W62" s="10">
        <f>+'A) Base RI'!P62</f>
        <v>102410.35</v>
      </c>
      <c r="X62" s="10">
        <f>+'A) Base RI'!R62</f>
        <v>111182.9</v>
      </c>
      <c r="Y62" s="394">
        <f t="shared" si="5"/>
        <v>420316.25</v>
      </c>
      <c r="Z62" s="10">
        <f>+'A) Base RI'!N62</f>
        <v>5465.05</v>
      </c>
      <c r="AA62" s="10">
        <f>'A) Base RI'!V62</f>
        <v>981</v>
      </c>
    </row>
    <row r="63" spans="1:27" x14ac:dyDescent="0.25">
      <c r="A63" s="8">
        <f>'A) Base RI'!A63</f>
        <v>5493</v>
      </c>
      <c r="B63" s="32" t="str">
        <f>'A) Base RI'!B63</f>
        <v>Orny</v>
      </c>
      <c r="C63" s="10">
        <f>'A) Base RI'!C63+'A) Base RI'!D63</f>
        <v>894149.1</v>
      </c>
      <c r="D63" s="10">
        <f>'A) Base RI'!W63</f>
        <v>-9727.34</v>
      </c>
      <c r="E63" s="390">
        <f>'A) Base RI'!X63</f>
        <v>0</v>
      </c>
      <c r="F63" s="390">
        <f>'A) Base RI'!Y63</f>
        <v>-296.35000000000002</v>
      </c>
      <c r="G63" s="394">
        <f t="shared" si="0"/>
        <v>884125.41</v>
      </c>
      <c r="H63" s="10">
        <f>+'A) Base RI'!E63</f>
        <v>0</v>
      </c>
      <c r="I63" s="10">
        <f>+'A) Base RI'!F63</f>
        <v>0</v>
      </c>
      <c r="J63" s="10">
        <f>+'A) Base RI'!G63+'A) Base RI'!H63+'A) Base RI'!S63</f>
        <v>7127.83</v>
      </c>
      <c r="K63" s="10">
        <f>+'A) Base RI'!I63</f>
        <v>0</v>
      </c>
      <c r="L63" s="10">
        <f>+'A) Base RI'!J63</f>
        <v>6486.06</v>
      </c>
      <c r="M63" s="10">
        <f>+'A) Base RI'!K63</f>
        <v>3388.55</v>
      </c>
      <c r="N63" s="10">
        <f>+'A) Base RI'!Q63</f>
        <v>2314.0100000000002</v>
      </c>
      <c r="O63" s="10">
        <f t="shared" si="1"/>
        <v>81324.230769230766</v>
      </c>
      <c r="P63" s="10">
        <f>+'A) Base RI'!L63</f>
        <v>52860.75</v>
      </c>
      <c r="Q63" s="402">
        <f>'A) Base RI'!Z63</f>
        <v>0.65</v>
      </c>
      <c r="R63" s="394">
        <f t="shared" si="2"/>
        <v>984766.09076923085</v>
      </c>
      <c r="S63" s="437">
        <f>+'A) Base RI'!U63</f>
        <v>73</v>
      </c>
      <c r="T63" s="394">
        <f t="shared" si="3"/>
        <v>900053.31</v>
      </c>
      <c r="U63" s="394">
        <f t="shared" si="4"/>
        <v>13489.946448893574</v>
      </c>
      <c r="V63" s="10">
        <f>+'A) Base RI'!O63</f>
        <v>43775.5</v>
      </c>
      <c r="W63" s="10">
        <f>+'A) Base RI'!P63</f>
        <v>29890.05</v>
      </c>
      <c r="X63" s="10">
        <f>+'A) Base RI'!R63</f>
        <v>80673.899999999994</v>
      </c>
      <c r="Y63" s="394">
        <f t="shared" si="5"/>
        <v>154339.45000000001</v>
      </c>
      <c r="Z63" s="10">
        <f>+'A) Base RI'!N63</f>
        <v>62150.05</v>
      </c>
      <c r="AA63" s="10">
        <f>'A) Base RI'!V63</f>
        <v>480</v>
      </c>
    </row>
    <row r="64" spans="1:27" x14ac:dyDescent="0.25">
      <c r="A64" s="8">
        <f>'A) Base RI'!A64</f>
        <v>5494</v>
      </c>
      <c r="B64" s="32" t="str">
        <f>'A) Base RI'!B64</f>
        <v>Pampigny</v>
      </c>
      <c r="C64" s="10">
        <f>'A) Base RI'!C64+'A) Base RI'!D64</f>
        <v>2845869.58</v>
      </c>
      <c r="D64" s="10">
        <f>'A) Base RI'!W64</f>
        <v>-38686.959999999999</v>
      </c>
      <c r="E64" s="390">
        <f>'A) Base RI'!X64</f>
        <v>0</v>
      </c>
      <c r="F64" s="390">
        <f>'A) Base RI'!Y64</f>
        <v>-1118.1500000000001</v>
      </c>
      <c r="G64" s="394">
        <f t="shared" si="0"/>
        <v>2806064.47</v>
      </c>
      <c r="H64" s="10">
        <f>+'A) Base RI'!E64</f>
        <v>0</v>
      </c>
      <c r="I64" s="10">
        <f>+'A) Base RI'!F64</f>
        <v>0</v>
      </c>
      <c r="J64" s="10">
        <f>+'A) Base RI'!G64+'A) Base RI'!H64+'A) Base RI'!S64</f>
        <v>62534.44</v>
      </c>
      <c r="K64" s="10">
        <f>+'A) Base RI'!I64</f>
        <v>0</v>
      </c>
      <c r="L64" s="10">
        <f>+'A) Base RI'!J64</f>
        <v>46314.76</v>
      </c>
      <c r="M64" s="10">
        <f>+'A) Base RI'!K64</f>
        <v>2634.4</v>
      </c>
      <c r="N64" s="10">
        <f>+'A) Base RI'!Q64</f>
        <v>4712.0200000000004</v>
      </c>
      <c r="O64" s="10">
        <f t="shared" si="1"/>
        <v>232110.71428571429</v>
      </c>
      <c r="P64" s="10">
        <f>+'A) Base RI'!L64</f>
        <v>243716.25</v>
      </c>
      <c r="Q64" s="402">
        <f>'A) Base RI'!Z64</f>
        <v>1.05</v>
      </c>
      <c r="R64" s="394">
        <f t="shared" si="2"/>
        <v>3154370.8042857139</v>
      </c>
      <c r="S64" s="437">
        <f>+'A) Base RI'!U64</f>
        <v>73</v>
      </c>
      <c r="T64" s="394">
        <f t="shared" si="3"/>
        <v>2919625.69</v>
      </c>
      <c r="U64" s="394">
        <f t="shared" si="4"/>
        <v>43210.558962818002</v>
      </c>
      <c r="V64" s="10">
        <f>+'A) Base RI'!O64</f>
        <v>0</v>
      </c>
      <c r="W64" s="10">
        <f>+'A) Base RI'!P64</f>
        <v>412908.65</v>
      </c>
      <c r="X64" s="10">
        <f>+'A) Base RI'!R64</f>
        <v>83414.5</v>
      </c>
      <c r="Y64" s="394">
        <f t="shared" si="5"/>
        <v>496323.15</v>
      </c>
      <c r="Z64" s="10">
        <f>+'A) Base RI'!N64</f>
        <v>12887.05</v>
      </c>
      <c r="AA64" s="10">
        <f>'A) Base RI'!V64</f>
        <v>1185</v>
      </c>
    </row>
    <row r="65" spans="1:27" x14ac:dyDescent="0.25">
      <c r="A65" s="8">
        <f>'A) Base RI'!A65</f>
        <v>5495</v>
      </c>
      <c r="B65" s="32" t="str">
        <f>'A) Base RI'!B65</f>
        <v>Penthalaz</v>
      </c>
      <c r="C65" s="10">
        <f>'A) Base RI'!C65+'A) Base RI'!D65</f>
        <v>6200907.3499999996</v>
      </c>
      <c r="D65" s="10">
        <f>'A) Base RI'!W65</f>
        <v>-132239.49</v>
      </c>
      <c r="E65" s="390">
        <f>'A) Base RI'!X65</f>
        <v>0</v>
      </c>
      <c r="F65" s="390">
        <f>'A) Base RI'!Y65</f>
        <v>-1652.23</v>
      </c>
      <c r="G65" s="394">
        <f t="shared" si="0"/>
        <v>6067015.629999999</v>
      </c>
      <c r="H65" s="10">
        <f>+'A) Base RI'!E65</f>
        <v>0</v>
      </c>
      <c r="I65" s="10">
        <f>+'A) Base RI'!F65</f>
        <v>0</v>
      </c>
      <c r="J65" s="10">
        <f>+'A) Base RI'!G65+'A) Base RI'!H65+'A) Base RI'!S65</f>
        <v>158636.9</v>
      </c>
      <c r="K65" s="10">
        <f>+'A) Base RI'!I65</f>
        <v>76501.600000000006</v>
      </c>
      <c r="L65" s="10">
        <f>+'A) Base RI'!J65</f>
        <v>145240.63</v>
      </c>
      <c r="M65" s="10">
        <f>+'A) Base RI'!K65</f>
        <v>82139.850000000006</v>
      </c>
      <c r="N65" s="10">
        <f>+'A) Base RI'!Q65</f>
        <v>26975.93</v>
      </c>
      <c r="O65" s="10">
        <f t="shared" si="1"/>
        <v>496763.95</v>
      </c>
      <c r="P65" s="10">
        <f>+'A) Base RI'!L65</f>
        <v>496763.95</v>
      </c>
      <c r="Q65" s="402">
        <f>'A) Base RI'!Z65</f>
        <v>1</v>
      </c>
      <c r="R65" s="394">
        <f t="shared" si="2"/>
        <v>7053274.4899999984</v>
      </c>
      <c r="S65" s="437">
        <f>+'A) Base RI'!U65</f>
        <v>74</v>
      </c>
      <c r="T65" s="394">
        <f t="shared" si="3"/>
        <v>6474370.6899999985</v>
      </c>
      <c r="U65" s="394">
        <f t="shared" si="4"/>
        <v>95314.520135135113</v>
      </c>
      <c r="V65" s="10">
        <f>+'A) Base RI'!O65</f>
        <v>15468.7</v>
      </c>
      <c r="W65" s="10">
        <f>+'A) Base RI'!P65</f>
        <v>258107.75</v>
      </c>
      <c r="X65" s="10">
        <f>+'A) Base RI'!R65</f>
        <v>230226.7</v>
      </c>
      <c r="Y65" s="394">
        <f t="shared" si="5"/>
        <v>503803.15</v>
      </c>
      <c r="Z65" s="10">
        <f>+'A) Base RI'!N65</f>
        <v>268180.65000000002</v>
      </c>
      <c r="AA65" s="10">
        <f>'A) Base RI'!V65</f>
        <v>3210</v>
      </c>
    </row>
    <row r="66" spans="1:27" x14ac:dyDescent="0.25">
      <c r="A66" s="8">
        <f>'A) Base RI'!A66</f>
        <v>5496</v>
      </c>
      <c r="B66" s="32" t="str">
        <f>'A) Base RI'!B66</f>
        <v>Penthaz</v>
      </c>
      <c r="C66" s="10">
        <f>'A) Base RI'!C66+'A) Base RI'!D66</f>
        <v>3681922.24</v>
      </c>
      <c r="D66" s="10">
        <f>'A) Base RI'!W66</f>
        <v>-766849.75</v>
      </c>
      <c r="E66" s="390">
        <f>'A) Base RI'!X66</f>
        <v>0</v>
      </c>
      <c r="F66" s="390">
        <f>'A) Base RI'!Y66</f>
        <v>-170.96</v>
      </c>
      <c r="G66" s="394">
        <f t="shared" si="0"/>
        <v>2914901.5300000003</v>
      </c>
      <c r="H66" s="10">
        <f>+'A) Base RI'!E66</f>
        <v>0</v>
      </c>
      <c r="I66" s="10">
        <f>+'A) Base RI'!F66</f>
        <v>0</v>
      </c>
      <c r="J66" s="10">
        <f>+'A) Base RI'!G66+'A) Base RI'!H66+'A) Base RI'!S66</f>
        <v>124341.08</v>
      </c>
      <c r="K66" s="10">
        <f>+'A) Base RI'!I66</f>
        <v>0</v>
      </c>
      <c r="L66" s="10">
        <f>+'A) Base RI'!J66</f>
        <v>38286.129999999997</v>
      </c>
      <c r="M66" s="10">
        <f>+'A) Base RI'!K66</f>
        <v>18148.95</v>
      </c>
      <c r="N66" s="10">
        <f>+'A) Base RI'!Q66</f>
        <v>465517.47</v>
      </c>
      <c r="O66" s="10">
        <f t="shared" si="1"/>
        <v>349424.7</v>
      </c>
      <c r="P66" s="10">
        <f>+'A) Base RI'!L66</f>
        <v>349424.7</v>
      </c>
      <c r="Q66" s="402">
        <f>'A) Base RI'!Z66</f>
        <v>1</v>
      </c>
      <c r="R66" s="394">
        <f t="shared" si="2"/>
        <v>3910619.8600000003</v>
      </c>
      <c r="S66" s="437">
        <f>+'A) Base RI'!U66</f>
        <v>69.5</v>
      </c>
      <c r="T66" s="394">
        <f t="shared" si="3"/>
        <v>3543046.21</v>
      </c>
      <c r="U66" s="394">
        <f t="shared" si="4"/>
        <v>56267.911654676267</v>
      </c>
      <c r="V66" s="10">
        <f>+'A) Base RI'!O66</f>
        <v>28508.799999999999</v>
      </c>
      <c r="W66" s="10">
        <f>+'A) Base RI'!P66</f>
        <v>197617.55</v>
      </c>
      <c r="X66" s="10">
        <f>+'A) Base RI'!R66</f>
        <v>201141.7</v>
      </c>
      <c r="Y66" s="394">
        <f t="shared" si="5"/>
        <v>427268.05</v>
      </c>
      <c r="Z66" s="10">
        <f>+'A) Base RI'!N66</f>
        <v>104386.05</v>
      </c>
      <c r="AA66" s="10">
        <f>'A) Base RI'!V66</f>
        <v>1890</v>
      </c>
    </row>
    <row r="67" spans="1:27" x14ac:dyDescent="0.25">
      <c r="A67" s="8">
        <f>'A) Base RI'!A67</f>
        <v>5497</v>
      </c>
      <c r="B67" s="32" t="str">
        <f>'A) Base RI'!B67</f>
        <v>Pompaples</v>
      </c>
      <c r="C67" s="10">
        <f>'A) Base RI'!C67+'A) Base RI'!D67</f>
        <v>1293920.31</v>
      </c>
      <c r="D67" s="10">
        <f>'A) Base RI'!W67</f>
        <v>-23118.81</v>
      </c>
      <c r="E67" s="390">
        <f>'A) Base RI'!X67</f>
        <v>0</v>
      </c>
      <c r="F67" s="390">
        <f>'A) Base RI'!Y67</f>
        <v>-122.15</v>
      </c>
      <c r="G67" s="394">
        <f t="shared" si="0"/>
        <v>1270679.3500000001</v>
      </c>
      <c r="H67" s="10">
        <f>+'A) Base RI'!E67</f>
        <v>0</v>
      </c>
      <c r="I67" s="10">
        <f>+'A) Base RI'!F67</f>
        <v>0</v>
      </c>
      <c r="J67" s="10">
        <f>+'A) Base RI'!G67+'A) Base RI'!H67+'A) Base RI'!S67</f>
        <v>6008.44</v>
      </c>
      <c r="K67" s="10">
        <f>+'A) Base RI'!I67</f>
        <v>0</v>
      </c>
      <c r="L67" s="10">
        <f>+'A) Base RI'!J67</f>
        <v>46697.02</v>
      </c>
      <c r="M67" s="10">
        <f>+'A) Base RI'!K67</f>
        <v>3863.6</v>
      </c>
      <c r="N67" s="10">
        <f>+'A) Base RI'!Q67</f>
        <v>8088.05</v>
      </c>
      <c r="O67" s="10">
        <f t="shared" si="1"/>
        <v>133394.5</v>
      </c>
      <c r="P67" s="10">
        <f>+'A) Base RI'!L67</f>
        <v>133394.5</v>
      </c>
      <c r="Q67" s="402">
        <f>'A) Base RI'!Z67</f>
        <v>1</v>
      </c>
      <c r="R67" s="394">
        <f t="shared" si="2"/>
        <v>1468730.9600000002</v>
      </c>
      <c r="S67" s="437">
        <f>+'A) Base RI'!U67</f>
        <v>66</v>
      </c>
      <c r="T67" s="394">
        <f t="shared" si="3"/>
        <v>1331472.8600000001</v>
      </c>
      <c r="U67" s="394">
        <f t="shared" si="4"/>
        <v>22253.499393939397</v>
      </c>
      <c r="V67" s="10">
        <f>+'A) Base RI'!O67</f>
        <v>371.8</v>
      </c>
      <c r="W67" s="10">
        <f>+'A) Base RI'!P67</f>
        <v>27720</v>
      </c>
      <c r="X67" s="10">
        <f>+'A) Base RI'!R67</f>
        <v>18644.8</v>
      </c>
      <c r="Y67" s="394">
        <f t="shared" si="5"/>
        <v>46736.6</v>
      </c>
      <c r="Z67" s="10">
        <f>+'A) Base RI'!N67</f>
        <v>218566.05</v>
      </c>
      <c r="AA67" s="10">
        <f>'A) Base RI'!V67</f>
        <v>849</v>
      </c>
    </row>
    <row r="68" spans="1:27" x14ac:dyDescent="0.25">
      <c r="A68" s="8">
        <f>'A) Base RI'!A68</f>
        <v>5498</v>
      </c>
      <c r="B68" s="32" t="str">
        <f>'A) Base RI'!B68</f>
        <v>La Sarraz</v>
      </c>
      <c r="C68" s="10">
        <f>'A) Base RI'!C68+'A) Base RI'!D68</f>
        <v>4309360.63</v>
      </c>
      <c r="D68" s="10">
        <f>'A) Base RI'!W68</f>
        <v>-94105.54</v>
      </c>
      <c r="E68" s="390">
        <f>'A) Base RI'!X68</f>
        <v>0</v>
      </c>
      <c r="F68" s="390">
        <f>'A) Base RI'!Y68</f>
        <v>-534.58000000000004</v>
      </c>
      <c r="G68" s="394">
        <f t="shared" si="0"/>
        <v>4214720.51</v>
      </c>
      <c r="H68" s="10">
        <f>+'A) Base RI'!E68</f>
        <v>0</v>
      </c>
      <c r="I68" s="10">
        <f>+'A) Base RI'!F68</f>
        <v>0</v>
      </c>
      <c r="J68" s="10">
        <f>+'A) Base RI'!G68+'A) Base RI'!H68+'A) Base RI'!S68</f>
        <v>116045.61</v>
      </c>
      <c r="K68" s="10">
        <f>+'A) Base RI'!I68</f>
        <v>0</v>
      </c>
      <c r="L68" s="10">
        <f>+'A) Base RI'!J68</f>
        <v>130280.65</v>
      </c>
      <c r="M68" s="10">
        <f>+'A) Base RI'!K68</f>
        <v>36142.65</v>
      </c>
      <c r="N68" s="10">
        <f>+'A) Base RI'!Q68</f>
        <v>19513.57</v>
      </c>
      <c r="O68" s="10">
        <f t="shared" si="1"/>
        <v>412318.85</v>
      </c>
      <c r="P68" s="10">
        <f>+'A) Base RI'!L68</f>
        <v>412318.85</v>
      </c>
      <c r="Q68" s="402">
        <f>'A) Base RI'!Z68</f>
        <v>1</v>
      </c>
      <c r="R68" s="394">
        <f t="shared" si="2"/>
        <v>4929021.8400000008</v>
      </c>
      <c r="S68" s="437">
        <f>+'A) Base RI'!U68</f>
        <v>66</v>
      </c>
      <c r="T68" s="394">
        <f t="shared" si="3"/>
        <v>4480560.3400000008</v>
      </c>
      <c r="U68" s="394">
        <f t="shared" si="4"/>
        <v>74682.149090909108</v>
      </c>
      <c r="V68" s="10">
        <f>+'A) Base RI'!O68</f>
        <v>0</v>
      </c>
      <c r="W68" s="10">
        <f>+'A) Base RI'!P68</f>
        <v>189677.9</v>
      </c>
      <c r="X68" s="10">
        <f>+'A) Base RI'!R68</f>
        <v>61249.3</v>
      </c>
      <c r="Y68" s="394">
        <f t="shared" si="5"/>
        <v>250927.2</v>
      </c>
      <c r="Z68" s="10">
        <f>+'A) Base RI'!N68</f>
        <v>71417.3</v>
      </c>
      <c r="AA68" s="10">
        <f>'A) Base RI'!V68</f>
        <v>2620</v>
      </c>
    </row>
    <row r="69" spans="1:27" x14ac:dyDescent="0.25">
      <c r="A69" s="8">
        <f>'A) Base RI'!A69</f>
        <v>5499</v>
      </c>
      <c r="B69" s="32" t="str">
        <f>'A) Base RI'!B69</f>
        <v>Senarclens</v>
      </c>
      <c r="C69" s="10">
        <f>'A) Base RI'!C69+'A) Base RI'!D69</f>
        <v>1103088.92</v>
      </c>
      <c r="D69" s="10">
        <f>'A) Base RI'!W69</f>
        <v>-4300.05</v>
      </c>
      <c r="E69" s="390">
        <f>'A) Base RI'!X69</f>
        <v>0</v>
      </c>
      <c r="F69" s="390">
        <f>'A) Base RI'!Y69</f>
        <v>-795.02</v>
      </c>
      <c r="G69" s="394">
        <f t="shared" si="0"/>
        <v>1097993.8499999999</v>
      </c>
      <c r="H69" s="10">
        <f>+'A) Base RI'!E69</f>
        <v>0</v>
      </c>
      <c r="I69" s="10">
        <f>+'A) Base RI'!F69</f>
        <v>0</v>
      </c>
      <c r="J69" s="10">
        <f>+'A) Base RI'!G69+'A) Base RI'!H69+'A) Base RI'!S69</f>
        <v>31321.3</v>
      </c>
      <c r="K69" s="10">
        <f>+'A) Base RI'!I69</f>
        <v>0</v>
      </c>
      <c r="L69" s="10">
        <f>+'A) Base RI'!J69</f>
        <v>18119.009999999998</v>
      </c>
      <c r="M69" s="10">
        <f>+'A) Base RI'!K69</f>
        <v>0</v>
      </c>
      <c r="N69" s="10">
        <f>+'A) Base RI'!Q69</f>
        <v>3622.18</v>
      </c>
      <c r="O69" s="10">
        <f t="shared" si="1"/>
        <v>98308.6</v>
      </c>
      <c r="P69" s="10">
        <f>+'A) Base RI'!L69</f>
        <v>98308.6</v>
      </c>
      <c r="Q69" s="402">
        <f>'A) Base RI'!Z69</f>
        <v>1</v>
      </c>
      <c r="R69" s="394">
        <f t="shared" si="2"/>
        <v>1249364.94</v>
      </c>
      <c r="S69" s="437">
        <f>+'A) Base RI'!U69</f>
        <v>68.5</v>
      </c>
      <c r="T69" s="394">
        <f t="shared" si="3"/>
        <v>1151056.3399999999</v>
      </c>
      <c r="U69" s="394">
        <f t="shared" si="4"/>
        <v>18238.904233576643</v>
      </c>
      <c r="V69" s="10">
        <f>+'A) Base RI'!O69</f>
        <v>162468</v>
      </c>
      <c r="W69" s="10">
        <f>+'A) Base RI'!P69</f>
        <v>153674.4</v>
      </c>
      <c r="X69" s="10">
        <f>+'A) Base RI'!R69</f>
        <v>122420.65</v>
      </c>
      <c r="Y69" s="394">
        <f t="shared" si="5"/>
        <v>438563.05000000005</v>
      </c>
      <c r="Z69" s="10">
        <f>+'A) Base RI'!N69</f>
        <v>17980.25</v>
      </c>
      <c r="AA69" s="10">
        <f>'A) Base RI'!V69</f>
        <v>491</v>
      </c>
    </row>
    <row r="70" spans="1:27" x14ac:dyDescent="0.25">
      <c r="A70" s="8">
        <f>'A) Base RI'!A70</f>
        <v>5500</v>
      </c>
      <c r="B70" s="32" t="str">
        <f>'A) Base RI'!B70</f>
        <v>Sévery</v>
      </c>
      <c r="C70" s="10">
        <f>'A) Base RI'!C70+'A) Base RI'!D70</f>
        <v>486843.77</v>
      </c>
      <c r="D70" s="10">
        <f>'A) Base RI'!W70</f>
        <v>-9410.67</v>
      </c>
      <c r="E70" s="390">
        <f>'A) Base RI'!X70</f>
        <v>0</v>
      </c>
      <c r="F70" s="390">
        <f>'A) Base RI'!Y70</f>
        <v>-94.4</v>
      </c>
      <c r="G70" s="394">
        <f t="shared" si="0"/>
        <v>477338.7</v>
      </c>
      <c r="H70" s="10">
        <f>+'A) Base RI'!E70</f>
        <v>0</v>
      </c>
      <c r="I70" s="10">
        <f>+'A) Base RI'!F70</f>
        <v>0</v>
      </c>
      <c r="J70" s="10">
        <f>+'A) Base RI'!G70+'A) Base RI'!H70+'A) Base RI'!S70</f>
        <v>1861.21</v>
      </c>
      <c r="K70" s="10">
        <f>+'A) Base RI'!I70</f>
        <v>0</v>
      </c>
      <c r="L70" s="10">
        <f>+'A) Base RI'!J70</f>
        <v>5385.62</v>
      </c>
      <c r="M70" s="10">
        <f>+'A) Base RI'!K70</f>
        <v>469.95</v>
      </c>
      <c r="N70" s="10">
        <f>+'A) Base RI'!Q70</f>
        <v>540.62</v>
      </c>
      <c r="O70" s="10">
        <f t="shared" si="1"/>
        <v>42220.416666666672</v>
      </c>
      <c r="P70" s="10">
        <f>+'A) Base RI'!L70</f>
        <v>50664.5</v>
      </c>
      <c r="Q70" s="402">
        <f>'A) Base RI'!Z70</f>
        <v>1.2</v>
      </c>
      <c r="R70" s="394">
        <f t="shared" si="2"/>
        <v>527816.51666666672</v>
      </c>
      <c r="S70" s="437">
        <f>+'A) Base RI'!U70</f>
        <v>73</v>
      </c>
      <c r="T70" s="394">
        <f t="shared" si="3"/>
        <v>485126.15</v>
      </c>
      <c r="U70" s="394">
        <f t="shared" si="4"/>
        <v>7230.3632420091335</v>
      </c>
      <c r="V70" s="10">
        <f>+'A) Base RI'!O70</f>
        <v>2968</v>
      </c>
      <c r="W70" s="10">
        <f>+'A) Base RI'!P70</f>
        <v>58152.6</v>
      </c>
      <c r="X70" s="10">
        <f>+'A) Base RI'!R70</f>
        <v>47094.400000000001</v>
      </c>
      <c r="Y70" s="394">
        <f t="shared" si="5"/>
        <v>108215</v>
      </c>
      <c r="Z70" s="10">
        <f>+'A) Base RI'!N70</f>
        <v>497.35</v>
      </c>
      <c r="AA70" s="10">
        <f>'A) Base RI'!V70</f>
        <v>220</v>
      </c>
    </row>
    <row r="71" spans="1:27" x14ac:dyDescent="0.25">
      <c r="A71" s="8">
        <f>'A) Base RI'!A71</f>
        <v>5501</v>
      </c>
      <c r="B71" s="32" t="str">
        <f>'A) Base RI'!B71</f>
        <v>Sullens</v>
      </c>
      <c r="C71" s="10">
        <f>'A) Base RI'!C71+'A) Base RI'!D71</f>
        <v>2638989.94</v>
      </c>
      <c r="D71" s="10">
        <f>'A) Base RI'!W71</f>
        <v>-18807.830000000002</v>
      </c>
      <c r="E71" s="390">
        <f>'A) Base RI'!X71</f>
        <v>0</v>
      </c>
      <c r="F71" s="390">
        <f>'A) Base RI'!Y71</f>
        <v>-6767.46</v>
      </c>
      <c r="G71" s="394">
        <f t="shared" ref="G71:G134" si="6">SUM(C71:F71)</f>
        <v>2613414.65</v>
      </c>
      <c r="H71" s="10">
        <f>+'A) Base RI'!E71</f>
        <v>0</v>
      </c>
      <c r="I71" s="10">
        <f>+'A) Base RI'!F71</f>
        <v>0</v>
      </c>
      <c r="J71" s="10">
        <f>+'A) Base RI'!G71+'A) Base RI'!H71+'A) Base RI'!S71</f>
        <v>126247.1</v>
      </c>
      <c r="K71" s="10">
        <f>+'A) Base RI'!I71</f>
        <v>0</v>
      </c>
      <c r="L71" s="10">
        <f>+'A) Base RI'!J71</f>
        <v>-15312.01</v>
      </c>
      <c r="M71" s="10">
        <f>+'A) Base RI'!K71</f>
        <v>0</v>
      </c>
      <c r="N71" s="10">
        <f>+'A) Base RI'!Q71</f>
        <v>149.38999999999999</v>
      </c>
      <c r="O71" s="10">
        <f t="shared" ref="O71:O134" si="7">(P71/Q71)*1</f>
        <v>234399.4</v>
      </c>
      <c r="P71" s="10">
        <f>+'A) Base RI'!L71</f>
        <v>234399.4</v>
      </c>
      <c r="Q71" s="402">
        <f>'A) Base RI'!Z71</f>
        <v>1</v>
      </c>
      <c r="R71" s="394">
        <f t="shared" ref="R71:R134" si="8">SUM(G71:O71)</f>
        <v>2958898.5300000003</v>
      </c>
      <c r="S71" s="437">
        <f>+'A) Base RI'!U71</f>
        <v>68.5</v>
      </c>
      <c r="T71" s="394">
        <f t="shared" ref="T71:T134" si="9">(G71+H71+J71+K71+L71+N71)</f>
        <v>2724499.1300000004</v>
      </c>
      <c r="U71" s="394">
        <f t="shared" ref="U71:U134" si="10">R71/S71</f>
        <v>43195.598978102193</v>
      </c>
      <c r="V71" s="10">
        <f>+'A) Base RI'!O71</f>
        <v>-3286130</v>
      </c>
      <c r="W71" s="10">
        <f>+'A) Base RI'!P71</f>
        <v>348297.95</v>
      </c>
      <c r="X71" s="10">
        <f>+'A) Base RI'!R71</f>
        <v>258377.25</v>
      </c>
      <c r="Y71" s="394">
        <f t="shared" ref="Y71:Y134" si="11">SUM(V71:X71)</f>
        <v>-2679454.7999999998</v>
      </c>
      <c r="Z71" s="10">
        <f>+'A) Base RI'!N71</f>
        <v>11593.6</v>
      </c>
      <c r="AA71" s="10">
        <f>'A) Base RI'!V71</f>
        <v>1143</v>
      </c>
    </row>
    <row r="72" spans="1:27" x14ac:dyDescent="0.25">
      <c r="A72" s="8">
        <f>'A) Base RI'!A72</f>
        <v>5503</v>
      </c>
      <c r="B72" s="32" t="str">
        <f>'A) Base RI'!B72</f>
        <v>Vufflens-la-Ville</v>
      </c>
      <c r="C72" s="10">
        <f>'A) Base RI'!C72+'A) Base RI'!D72</f>
        <v>4416780.83</v>
      </c>
      <c r="D72" s="10">
        <f>'A) Base RI'!W72</f>
        <v>-47973.53</v>
      </c>
      <c r="E72" s="390">
        <f>'A) Base RI'!X72</f>
        <v>0</v>
      </c>
      <c r="F72" s="390">
        <f>'A) Base RI'!Y72</f>
        <v>-24815.29</v>
      </c>
      <c r="G72" s="394">
        <f t="shared" si="6"/>
        <v>4343992.01</v>
      </c>
      <c r="H72" s="10">
        <f>+'A) Base RI'!E72</f>
        <v>0</v>
      </c>
      <c r="I72" s="10">
        <f>+'A) Base RI'!F72</f>
        <v>0</v>
      </c>
      <c r="J72" s="10">
        <f>+'A) Base RI'!G72+'A) Base RI'!H72+'A) Base RI'!S72</f>
        <v>345765.3</v>
      </c>
      <c r="K72" s="10">
        <f>+'A) Base RI'!I72</f>
        <v>0</v>
      </c>
      <c r="L72" s="10">
        <f>+'A) Base RI'!J72</f>
        <v>104703.15</v>
      </c>
      <c r="M72" s="10">
        <f>+'A) Base RI'!K72</f>
        <v>79251.8</v>
      </c>
      <c r="N72" s="10">
        <f>+'A) Base RI'!Q72</f>
        <v>1765.97</v>
      </c>
      <c r="O72" s="10">
        <f t="shared" si="7"/>
        <v>419512.66666666669</v>
      </c>
      <c r="P72" s="10">
        <f>+'A) Base RI'!L72</f>
        <v>503415.2</v>
      </c>
      <c r="Q72" s="402">
        <f>'A) Base RI'!Z72</f>
        <v>1.2</v>
      </c>
      <c r="R72" s="394">
        <f t="shared" si="8"/>
        <v>5294990.8966666665</v>
      </c>
      <c r="S72" s="437">
        <f>+'A) Base RI'!U72</f>
        <v>67</v>
      </c>
      <c r="T72" s="394">
        <f t="shared" si="9"/>
        <v>4796226.43</v>
      </c>
      <c r="U72" s="394">
        <f t="shared" si="10"/>
        <v>79029.714875621881</v>
      </c>
      <c r="V72" s="10">
        <f>+'A) Base RI'!O72</f>
        <v>33790</v>
      </c>
      <c r="W72" s="10">
        <f>+'A) Base RI'!P72</f>
        <v>156817.79999999999</v>
      </c>
      <c r="X72" s="10">
        <f>+'A) Base RI'!R72</f>
        <v>132941.5</v>
      </c>
      <c r="Y72" s="394">
        <f t="shared" si="11"/>
        <v>323549.3</v>
      </c>
      <c r="Z72" s="10">
        <f>+'A) Base RI'!N72</f>
        <v>157043</v>
      </c>
      <c r="AA72" s="10">
        <f>'A) Base RI'!V72</f>
        <v>1346</v>
      </c>
    </row>
    <row r="73" spans="1:27" x14ac:dyDescent="0.25">
      <c r="A73" s="8">
        <f>'A) Base RI'!A73</f>
        <v>5511</v>
      </c>
      <c r="B73" s="32" t="str">
        <f>'A) Base RI'!B73</f>
        <v>Assens</v>
      </c>
      <c r="C73" s="10">
        <f>'A) Base RI'!C73+'A) Base RI'!D73</f>
        <v>3082367.92</v>
      </c>
      <c r="D73" s="10">
        <f>'A) Base RI'!W73</f>
        <v>-30678.3</v>
      </c>
      <c r="E73" s="390">
        <f>'A) Base RI'!X73</f>
        <v>0</v>
      </c>
      <c r="F73" s="390">
        <f>'A) Base RI'!Y73</f>
        <v>-233304.33</v>
      </c>
      <c r="G73" s="394">
        <f t="shared" si="6"/>
        <v>2818385.29</v>
      </c>
      <c r="H73" s="10">
        <f>+'A) Base RI'!E73</f>
        <v>0</v>
      </c>
      <c r="I73" s="10">
        <f>+'A) Base RI'!F73</f>
        <v>0</v>
      </c>
      <c r="J73" s="10">
        <f>+'A) Base RI'!G73+'A) Base RI'!H73+'A) Base RI'!S73</f>
        <v>163003.84</v>
      </c>
      <c r="K73" s="10">
        <f>+'A) Base RI'!I73</f>
        <v>0</v>
      </c>
      <c r="L73" s="10">
        <f>+'A) Base RI'!J73</f>
        <v>53827.93</v>
      </c>
      <c r="M73" s="10">
        <f>+'A) Base RI'!K73</f>
        <v>10548.55</v>
      </c>
      <c r="N73" s="10">
        <f>+'A) Base RI'!Q73</f>
        <v>1630.35</v>
      </c>
      <c r="O73" s="10">
        <f t="shared" si="7"/>
        <v>265945.90000000002</v>
      </c>
      <c r="P73" s="10">
        <f>+'A) Base RI'!L73</f>
        <v>265945.90000000002</v>
      </c>
      <c r="Q73" s="402">
        <f>'A) Base RI'!Z73</f>
        <v>1</v>
      </c>
      <c r="R73" s="394">
        <f t="shared" si="8"/>
        <v>3313341.86</v>
      </c>
      <c r="S73" s="437">
        <f>+'A) Base RI'!U73</f>
        <v>70</v>
      </c>
      <c r="T73" s="394">
        <f t="shared" si="9"/>
        <v>3036847.41</v>
      </c>
      <c r="U73" s="394">
        <f t="shared" si="10"/>
        <v>47333.455142857143</v>
      </c>
      <c r="V73" s="10">
        <f>+'A) Base RI'!O73</f>
        <v>611650</v>
      </c>
      <c r="W73" s="10">
        <f>+'A) Base RI'!P73</f>
        <v>129605.2</v>
      </c>
      <c r="X73" s="10">
        <f>+'A) Base RI'!R73</f>
        <v>129303.7</v>
      </c>
      <c r="Y73" s="394">
        <f t="shared" si="11"/>
        <v>870558.89999999991</v>
      </c>
      <c r="Z73" s="10">
        <f>+'A) Base RI'!N73</f>
        <v>33270.85</v>
      </c>
      <c r="AA73" s="10">
        <f>'A) Base RI'!V73</f>
        <v>1151</v>
      </c>
    </row>
    <row r="74" spans="1:27" x14ac:dyDescent="0.25">
      <c r="A74" s="8">
        <f>'A) Base RI'!A74</f>
        <v>5512</v>
      </c>
      <c r="B74" s="32" t="str">
        <f>'A) Base RI'!B74</f>
        <v>Bercher</v>
      </c>
      <c r="C74" s="10">
        <f>'A) Base RI'!C74+'A) Base RI'!D74</f>
        <v>2842158.5199999996</v>
      </c>
      <c r="D74" s="10">
        <f>'A) Base RI'!W74</f>
        <v>-59212.84</v>
      </c>
      <c r="E74" s="390">
        <f>'A) Base RI'!X74</f>
        <v>0</v>
      </c>
      <c r="F74" s="390">
        <f>'A) Base RI'!Y74</f>
        <v>-491.2</v>
      </c>
      <c r="G74" s="394">
        <f t="shared" si="6"/>
        <v>2782454.4799999995</v>
      </c>
      <c r="H74" s="10">
        <f>+'A) Base RI'!E74</f>
        <v>0</v>
      </c>
      <c r="I74" s="10">
        <f>+'A) Base RI'!F74</f>
        <v>0</v>
      </c>
      <c r="J74" s="10">
        <f>+'A) Base RI'!G74+'A) Base RI'!H74+'A) Base RI'!S74</f>
        <v>87198.650000000009</v>
      </c>
      <c r="K74" s="10">
        <f>+'A) Base RI'!I74</f>
        <v>0</v>
      </c>
      <c r="L74" s="10">
        <f>+'A) Base RI'!J74</f>
        <v>56775.6</v>
      </c>
      <c r="M74" s="10">
        <f>+'A) Base RI'!K74</f>
        <v>10795.6</v>
      </c>
      <c r="N74" s="10">
        <f>+'A) Base RI'!Q74</f>
        <v>16132.58</v>
      </c>
      <c r="O74" s="10">
        <f t="shared" si="7"/>
        <v>267009</v>
      </c>
      <c r="P74" s="10">
        <f>+'A) Base RI'!L74</f>
        <v>267009</v>
      </c>
      <c r="Q74" s="402">
        <f>'A) Base RI'!Z74</f>
        <v>1</v>
      </c>
      <c r="R74" s="394">
        <f t="shared" si="8"/>
        <v>3220365.9099999997</v>
      </c>
      <c r="S74" s="437">
        <f>+'A) Base RI'!U74</f>
        <v>79</v>
      </c>
      <c r="T74" s="394">
        <f t="shared" si="9"/>
        <v>2942561.3099999996</v>
      </c>
      <c r="U74" s="394">
        <f t="shared" si="10"/>
        <v>40764.12544303797</v>
      </c>
      <c r="V74" s="10">
        <f>+'A) Base RI'!O74</f>
        <v>34040.199999999997</v>
      </c>
      <c r="W74" s="10">
        <f>+'A) Base RI'!P74</f>
        <v>222641.65</v>
      </c>
      <c r="X74" s="10">
        <f>+'A) Base RI'!R74</f>
        <v>144724.5</v>
      </c>
      <c r="Y74" s="394">
        <f t="shared" si="11"/>
        <v>401406.35</v>
      </c>
      <c r="Z74" s="10">
        <f>+'A) Base RI'!N74</f>
        <v>87440.85</v>
      </c>
      <c r="AA74" s="10">
        <f>'A) Base RI'!V74</f>
        <v>1320</v>
      </c>
    </row>
    <row r="75" spans="1:27" x14ac:dyDescent="0.25">
      <c r="A75" s="8">
        <f>'A) Base RI'!A75</f>
        <v>5513</v>
      </c>
      <c r="B75" s="32" t="str">
        <f>'A) Base RI'!B75</f>
        <v>Bioley-Orjulaz</v>
      </c>
      <c r="C75" s="10">
        <f>'A) Base RI'!C75+'A) Base RI'!D75</f>
        <v>1120526.03</v>
      </c>
      <c r="D75" s="10">
        <f>'A) Base RI'!W75</f>
        <v>-6952.18</v>
      </c>
      <c r="E75" s="390">
        <f>'A) Base RI'!X75</f>
        <v>0</v>
      </c>
      <c r="F75" s="390">
        <f>'A) Base RI'!Y75</f>
        <v>-0.04</v>
      </c>
      <c r="G75" s="394">
        <f t="shared" si="6"/>
        <v>1113573.81</v>
      </c>
      <c r="H75" s="10">
        <f>+'A) Base RI'!E75</f>
        <v>0</v>
      </c>
      <c r="I75" s="10">
        <f>+'A) Base RI'!F75</f>
        <v>0</v>
      </c>
      <c r="J75" s="10">
        <f>+'A) Base RI'!G75+'A) Base RI'!H75+'A) Base RI'!S75</f>
        <v>271662.68</v>
      </c>
      <c r="K75" s="10">
        <f>+'A) Base RI'!I75</f>
        <v>0</v>
      </c>
      <c r="L75" s="10">
        <f>+'A) Base RI'!J75</f>
        <v>22477.66</v>
      </c>
      <c r="M75" s="10">
        <f>+'A) Base RI'!K75</f>
        <v>9832.25</v>
      </c>
      <c r="N75" s="10">
        <f>+'A) Base RI'!Q75</f>
        <v>6816.54</v>
      </c>
      <c r="O75" s="10">
        <f t="shared" si="7"/>
        <v>121890.6</v>
      </c>
      <c r="P75" s="10">
        <f>+'A) Base RI'!L75</f>
        <v>60945.3</v>
      </c>
      <c r="Q75" s="402">
        <f>'A) Base RI'!Z75</f>
        <v>0.5</v>
      </c>
      <c r="R75" s="394">
        <f t="shared" si="8"/>
        <v>1546253.54</v>
      </c>
      <c r="S75" s="437">
        <f>+'A) Base RI'!U75</f>
        <v>68</v>
      </c>
      <c r="T75" s="394">
        <f t="shared" si="9"/>
        <v>1414530.69</v>
      </c>
      <c r="U75" s="394">
        <f t="shared" si="10"/>
        <v>22739.022647058824</v>
      </c>
      <c r="V75" s="10">
        <f>+'A) Base RI'!O75</f>
        <v>17286.599999999999</v>
      </c>
      <c r="W75" s="10">
        <f>+'A) Base RI'!P75</f>
        <v>49485.15</v>
      </c>
      <c r="X75" s="10">
        <f>+'A) Base RI'!R75</f>
        <v>43304.800000000003</v>
      </c>
      <c r="Y75" s="394">
        <f t="shared" si="11"/>
        <v>110076.55</v>
      </c>
      <c r="Z75" s="10">
        <f>+'A) Base RI'!N75</f>
        <v>303896.84999999998</v>
      </c>
      <c r="AA75" s="10">
        <f>'A) Base RI'!V75</f>
        <v>518</v>
      </c>
    </row>
    <row r="76" spans="1:27" x14ac:dyDescent="0.25">
      <c r="A76" s="8">
        <f>'A) Base RI'!A76</f>
        <v>5514</v>
      </c>
      <c r="B76" s="32" t="str">
        <f>'A) Base RI'!B76</f>
        <v>Bottens</v>
      </c>
      <c r="C76" s="10">
        <f>'A) Base RI'!C76+'A) Base RI'!D76</f>
        <v>2873494.97</v>
      </c>
      <c r="D76" s="10">
        <f>'A) Base RI'!W76</f>
        <v>-23602.05</v>
      </c>
      <c r="E76" s="390">
        <f>'A) Base RI'!X76</f>
        <v>0</v>
      </c>
      <c r="F76" s="390">
        <f>'A) Base RI'!Y76</f>
        <v>-75.77</v>
      </c>
      <c r="G76" s="394">
        <f t="shared" si="6"/>
        <v>2849817.1500000004</v>
      </c>
      <c r="H76" s="10">
        <f>+'A) Base RI'!E76</f>
        <v>0</v>
      </c>
      <c r="I76" s="10">
        <f>+'A) Base RI'!F76</f>
        <v>0</v>
      </c>
      <c r="J76" s="10">
        <f>+'A) Base RI'!G76+'A) Base RI'!H76+'A) Base RI'!S76</f>
        <v>11200.03</v>
      </c>
      <c r="K76" s="10">
        <f>+'A) Base RI'!I76</f>
        <v>41017.800000000003</v>
      </c>
      <c r="L76" s="10">
        <f>+'A) Base RI'!J76</f>
        <v>50858.18</v>
      </c>
      <c r="M76" s="10">
        <f>+'A) Base RI'!K76</f>
        <v>11340</v>
      </c>
      <c r="N76" s="10">
        <f>+'A) Base RI'!Q76</f>
        <v>1638.86</v>
      </c>
      <c r="O76" s="10">
        <f t="shared" si="7"/>
        <v>240325.6</v>
      </c>
      <c r="P76" s="10">
        <f>+'A) Base RI'!L76</f>
        <v>240325.6</v>
      </c>
      <c r="Q76" s="402">
        <f>'A) Base RI'!Z76</f>
        <v>1</v>
      </c>
      <c r="R76" s="394">
        <f t="shared" si="8"/>
        <v>3206197.62</v>
      </c>
      <c r="S76" s="437">
        <f>+'A) Base RI'!U76</f>
        <v>72.5</v>
      </c>
      <c r="T76" s="394">
        <f t="shared" si="9"/>
        <v>2954532.02</v>
      </c>
      <c r="U76" s="394">
        <f t="shared" si="10"/>
        <v>44223.41544827586</v>
      </c>
      <c r="V76" s="10">
        <f>+'A) Base RI'!O76</f>
        <v>37827</v>
      </c>
      <c r="W76" s="10">
        <f>+'A) Base RI'!P76</f>
        <v>69041.7</v>
      </c>
      <c r="X76" s="10">
        <f>+'A) Base RI'!R76</f>
        <v>53017.4</v>
      </c>
      <c r="Y76" s="394">
        <f t="shared" si="11"/>
        <v>159886.1</v>
      </c>
      <c r="Z76" s="10">
        <f>+'A) Base RI'!N76</f>
        <v>499.65</v>
      </c>
      <c r="AA76" s="10">
        <f>'A) Base RI'!V76</f>
        <v>1357</v>
      </c>
    </row>
    <row r="77" spans="1:27" x14ac:dyDescent="0.25">
      <c r="A77" s="8">
        <f>'A) Base RI'!A77</f>
        <v>5515</v>
      </c>
      <c r="B77" s="32" t="str">
        <f>'A) Base RI'!B77</f>
        <v>Bretigny-sur-Morrens</v>
      </c>
      <c r="C77" s="10">
        <f>'A) Base RI'!C77+'A) Base RI'!D77</f>
        <v>2296329.58</v>
      </c>
      <c r="D77" s="10">
        <f>'A) Base RI'!W77</f>
        <v>-22673.65</v>
      </c>
      <c r="E77" s="390">
        <f>'A) Base RI'!X77</f>
        <v>0</v>
      </c>
      <c r="F77" s="390">
        <f>'A) Base RI'!Y77</f>
        <v>-48.95</v>
      </c>
      <c r="G77" s="394">
        <f t="shared" si="6"/>
        <v>2273606.98</v>
      </c>
      <c r="H77" s="10">
        <f>+'A) Base RI'!E77</f>
        <v>0</v>
      </c>
      <c r="I77" s="10">
        <f>+'A) Base RI'!F77</f>
        <v>0</v>
      </c>
      <c r="J77" s="10">
        <f>+'A) Base RI'!G77+'A) Base RI'!H77+'A) Base RI'!S77</f>
        <v>26020</v>
      </c>
      <c r="K77" s="10">
        <f>+'A) Base RI'!I77</f>
        <v>0</v>
      </c>
      <c r="L77" s="10">
        <f>+'A) Base RI'!J77</f>
        <v>32009.33</v>
      </c>
      <c r="M77" s="10">
        <f>+'A) Base RI'!K77</f>
        <v>12821.05</v>
      </c>
      <c r="N77" s="10">
        <f>+'A) Base RI'!Q77</f>
        <v>509.96</v>
      </c>
      <c r="O77" s="10">
        <f t="shared" si="7"/>
        <v>178237.15</v>
      </c>
      <c r="P77" s="10">
        <f>+'A) Base RI'!L77</f>
        <v>178237.15</v>
      </c>
      <c r="Q77" s="402">
        <f>'A) Base RI'!Z77</f>
        <v>1</v>
      </c>
      <c r="R77" s="394">
        <f t="shared" si="8"/>
        <v>2523204.4699999997</v>
      </c>
      <c r="S77" s="437">
        <f>+'A) Base RI'!U77</f>
        <v>78</v>
      </c>
      <c r="T77" s="394">
        <f t="shared" si="9"/>
        <v>2332146.27</v>
      </c>
      <c r="U77" s="394">
        <f t="shared" si="10"/>
        <v>32348.775256410252</v>
      </c>
      <c r="V77" s="10">
        <f>+'A) Base RI'!O77</f>
        <v>0</v>
      </c>
      <c r="W77" s="10">
        <f>+'A) Base RI'!P77</f>
        <v>131282.75</v>
      </c>
      <c r="X77" s="10">
        <f>+'A) Base RI'!R77</f>
        <v>67945.399999999994</v>
      </c>
      <c r="Y77" s="394">
        <f t="shared" si="11"/>
        <v>199228.15</v>
      </c>
      <c r="Z77" s="10">
        <f>+'A) Base RI'!N77</f>
        <v>9701.7999999999993</v>
      </c>
      <c r="AA77" s="10">
        <f>'A) Base RI'!V77</f>
        <v>882</v>
      </c>
    </row>
    <row r="78" spans="1:27" x14ac:dyDescent="0.25">
      <c r="A78" s="8">
        <f>'A) Base RI'!A78</f>
        <v>5516</v>
      </c>
      <c r="B78" s="32" t="str">
        <f>'A) Base RI'!B78</f>
        <v>Cugy</v>
      </c>
      <c r="C78" s="10">
        <f>'A) Base RI'!C78+'A) Base RI'!D78</f>
        <v>7749736.7199999997</v>
      </c>
      <c r="D78" s="10">
        <f>'A) Base RI'!W78</f>
        <v>-83943.7</v>
      </c>
      <c r="E78" s="390">
        <f>'A) Base RI'!X78</f>
        <v>0</v>
      </c>
      <c r="F78" s="390">
        <f>'A) Base RI'!Y78</f>
        <v>-2859.82</v>
      </c>
      <c r="G78" s="394">
        <f t="shared" si="6"/>
        <v>7662933.1999999993</v>
      </c>
      <c r="H78" s="10">
        <f>+'A) Base RI'!E78</f>
        <v>0</v>
      </c>
      <c r="I78" s="10">
        <f>+'A) Base RI'!F78</f>
        <v>0</v>
      </c>
      <c r="J78" s="10">
        <f>+'A) Base RI'!G78+'A) Base RI'!H78+'A) Base RI'!S78</f>
        <v>223115.32</v>
      </c>
      <c r="K78" s="10">
        <f>+'A) Base RI'!I78</f>
        <v>82048.100000000006</v>
      </c>
      <c r="L78" s="10">
        <f>+'A) Base RI'!J78</f>
        <v>103872.75</v>
      </c>
      <c r="M78" s="10">
        <f>+'A) Base RI'!K78</f>
        <v>26325.5</v>
      </c>
      <c r="N78" s="10">
        <f>+'A) Base RI'!Q78</f>
        <v>9516.2199999999993</v>
      </c>
      <c r="O78" s="10">
        <f t="shared" si="7"/>
        <v>597372.375</v>
      </c>
      <c r="P78" s="10">
        <f>+'A) Base RI'!L78</f>
        <v>716846.85</v>
      </c>
      <c r="Q78" s="402">
        <f>'A) Base RI'!Z78</f>
        <v>1.2</v>
      </c>
      <c r="R78" s="394">
        <f t="shared" si="8"/>
        <v>8705183.4649999999</v>
      </c>
      <c r="S78" s="437">
        <f>+'A) Base RI'!U78</f>
        <v>78</v>
      </c>
      <c r="T78" s="394">
        <f t="shared" si="9"/>
        <v>8081485.5899999989</v>
      </c>
      <c r="U78" s="394">
        <f t="shared" si="10"/>
        <v>111604.91621794872</v>
      </c>
      <c r="V78" s="10">
        <f>+'A) Base RI'!O78</f>
        <v>6004.1</v>
      </c>
      <c r="W78" s="10">
        <f>+'A) Base RI'!P78</f>
        <v>295046.84999999998</v>
      </c>
      <c r="X78" s="10">
        <f>+'A) Base RI'!R78</f>
        <v>269483</v>
      </c>
      <c r="Y78" s="394">
        <f t="shared" si="11"/>
        <v>570533.94999999995</v>
      </c>
      <c r="Z78" s="10">
        <f>+'A) Base RI'!N78</f>
        <v>98315.199999999997</v>
      </c>
      <c r="AA78" s="10">
        <f>'A) Base RI'!V78</f>
        <v>2733</v>
      </c>
    </row>
    <row r="79" spans="1:27" x14ac:dyDescent="0.25">
      <c r="A79" s="8">
        <f>'A) Base RI'!A79</f>
        <v>5518</v>
      </c>
      <c r="B79" s="32" t="str">
        <f>'A) Base RI'!B79</f>
        <v>Echallens</v>
      </c>
      <c r="C79" s="10">
        <f>'A) Base RI'!C79+'A) Base RI'!D79</f>
        <v>11551913.399999999</v>
      </c>
      <c r="D79" s="10">
        <f>'A) Base RI'!W79</f>
        <v>-144405.91</v>
      </c>
      <c r="E79" s="390">
        <f>'A) Base RI'!X79</f>
        <v>0</v>
      </c>
      <c r="F79" s="390">
        <f>'A) Base RI'!Y79</f>
        <v>-4657.82</v>
      </c>
      <c r="G79" s="394">
        <f t="shared" si="6"/>
        <v>11402849.669999998</v>
      </c>
      <c r="H79" s="10">
        <f>+'A) Base RI'!E79</f>
        <v>0</v>
      </c>
      <c r="I79" s="10">
        <f>+'A) Base RI'!F79</f>
        <v>0</v>
      </c>
      <c r="J79" s="10">
        <f>+'A) Base RI'!G79+'A) Base RI'!H79+'A) Base RI'!S79</f>
        <v>508666.05000000005</v>
      </c>
      <c r="K79" s="10">
        <f>+'A) Base RI'!I79</f>
        <v>0</v>
      </c>
      <c r="L79" s="10">
        <f>+'A) Base RI'!J79</f>
        <v>149018.43</v>
      </c>
      <c r="M79" s="10">
        <f>+'A) Base RI'!K79</f>
        <v>70964.3</v>
      </c>
      <c r="N79" s="10">
        <f>+'A) Base RI'!Q79</f>
        <v>36285.79</v>
      </c>
      <c r="O79" s="10">
        <f t="shared" si="7"/>
        <v>1101927.8500000001</v>
      </c>
      <c r="P79" s="10">
        <f>+'A) Base RI'!L79</f>
        <v>1101927.8500000001</v>
      </c>
      <c r="Q79" s="402">
        <f>'A) Base RI'!Z79</f>
        <v>1</v>
      </c>
      <c r="R79" s="394">
        <f t="shared" si="8"/>
        <v>13269712.089999998</v>
      </c>
      <c r="S79" s="437">
        <f>+'A) Base RI'!U79</f>
        <v>72.5</v>
      </c>
      <c r="T79" s="394">
        <f t="shared" si="9"/>
        <v>12096819.939999998</v>
      </c>
      <c r="U79" s="394">
        <f t="shared" si="10"/>
        <v>183030.51158620688</v>
      </c>
      <c r="V79" s="10">
        <f>+'A) Base RI'!O79</f>
        <v>49670.5</v>
      </c>
      <c r="W79" s="10">
        <f>+'A) Base RI'!P79</f>
        <v>467731</v>
      </c>
      <c r="X79" s="10">
        <f>+'A) Base RI'!R79</f>
        <v>433182.65</v>
      </c>
      <c r="Y79" s="394">
        <f t="shared" si="11"/>
        <v>950584.15</v>
      </c>
      <c r="Z79" s="10">
        <f>+'A) Base RI'!N79</f>
        <v>227029.45</v>
      </c>
      <c r="AA79" s="10">
        <f>'A) Base RI'!V79</f>
        <v>5739</v>
      </c>
    </row>
    <row r="80" spans="1:27" x14ac:dyDescent="0.25">
      <c r="A80" s="8">
        <f>'A) Base RI'!A80</f>
        <v>5520</v>
      </c>
      <c r="B80" s="32" t="str">
        <f>'A) Base RI'!B80</f>
        <v>Essertines-sur-Yverdon</v>
      </c>
      <c r="C80" s="10">
        <f>'A) Base RI'!C80+'A) Base RI'!D80</f>
        <v>2081625.6300000001</v>
      </c>
      <c r="D80" s="10">
        <f>'A) Base RI'!W80</f>
        <v>-50287.94</v>
      </c>
      <c r="E80" s="390">
        <f>'A) Base RI'!X80</f>
        <v>0</v>
      </c>
      <c r="F80" s="390">
        <f>'A) Base RI'!Y80</f>
        <v>-147.56</v>
      </c>
      <c r="G80" s="394">
        <f t="shared" si="6"/>
        <v>2031190.1300000001</v>
      </c>
      <c r="H80" s="10">
        <f>+'A) Base RI'!E80</f>
        <v>0</v>
      </c>
      <c r="I80" s="10">
        <f>+'A) Base RI'!F80</f>
        <v>0</v>
      </c>
      <c r="J80" s="10">
        <f>+'A) Base RI'!G80+'A) Base RI'!H80+'A) Base RI'!S80</f>
        <v>30216.05</v>
      </c>
      <c r="K80" s="10">
        <f>+'A) Base RI'!I80</f>
        <v>0</v>
      </c>
      <c r="L80" s="10">
        <f>+'A) Base RI'!J80</f>
        <v>24016.799999999999</v>
      </c>
      <c r="M80" s="10">
        <f>+'A) Base RI'!K80</f>
        <v>5999.75</v>
      </c>
      <c r="N80" s="10">
        <f>+'A) Base RI'!Q80</f>
        <v>26731.01</v>
      </c>
      <c r="O80" s="10">
        <f t="shared" si="7"/>
        <v>195705.3</v>
      </c>
      <c r="P80" s="10">
        <f>+'A) Base RI'!L80</f>
        <v>195705.3</v>
      </c>
      <c r="Q80" s="402">
        <f>'A) Base RI'!Z80</f>
        <v>1</v>
      </c>
      <c r="R80" s="394">
        <f t="shared" si="8"/>
        <v>2313859.04</v>
      </c>
      <c r="S80" s="437">
        <f>+'A) Base RI'!U80</f>
        <v>73</v>
      </c>
      <c r="T80" s="394">
        <f t="shared" si="9"/>
        <v>2112153.9900000002</v>
      </c>
      <c r="U80" s="394">
        <f t="shared" si="10"/>
        <v>31696.699178082192</v>
      </c>
      <c r="V80" s="10">
        <f>+'A) Base RI'!O80</f>
        <v>0</v>
      </c>
      <c r="W80" s="10">
        <f>+'A) Base RI'!P80</f>
        <v>75823.5</v>
      </c>
      <c r="X80" s="10">
        <f>+'A) Base RI'!R80</f>
        <v>33582.449999999997</v>
      </c>
      <c r="Y80" s="394">
        <f t="shared" si="11"/>
        <v>109405.95</v>
      </c>
      <c r="Z80" s="10">
        <f>+'A) Base RI'!N80</f>
        <v>11223.55</v>
      </c>
      <c r="AA80" s="10">
        <f>'A) Base RI'!V80</f>
        <v>1059</v>
      </c>
    </row>
    <row r="81" spans="1:27" x14ac:dyDescent="0.25">
      <c r="A81" s="8">
        <f>'A) Base RI'!A81</f>
        <v>5521</v>
      </c>
      <c r="B81" s="32" t="str">
        <f>'A) Base RI'!B81</f>
        <v>Etagnières</v>
      </c>
      <c r="C81" s="10">
        <f>'A) Base RI'!C81+'A) Base RI'!D81</f>
        <v>2600178.6999999997</v>
      </c>
      <c r="D81" s="10">
        <f>'A) Base RI'!W81</f>
        <v>-48097.07</v>
      </c>
      <c r="E81" s="390">
        <f>'A) Base RI'!X81</f>
        <v>0</v>
      </c>
      <c r="F81" s="390">
        <f>'A) Base RI'!Y81</f>
        <v>-1329.45</v>
      </c>
      <c r="G81" s="394">
        <f t="shared" si="6"/>
        <v>2550752.1799999997</v>
      </c>
      <c r="H81" s="10">
        <f>+'A) Base RI'!E81</f>
        <v>0</v>
      </c>
      <c r="I81" s="10">
        <f>+'A) Base RI'!F81</f>
        <v>0</v>
      </c>
      <c r="J81" s="10">
        <f>+'A) Base RI'!G81+'A) Base RI'!H81+'A) Base RI'!S81</f>
        <v>189646.43</v>
      </c>
      <c r="K81" s="10">
        <f>+'A) Base RI'!I81</f>
        <v>0</v>
      </c>
      <c r="L81" s="10">
        <f>+'A) Base RI'!J81</f>
        <v>64995.76</v>
      </c>
      <c r="M81" s="10">
        <f>+'A) Base RI'!K81</f>
        <v>17341.25</v>
      </c>
      <c r="N81" s="10">
        <f>+'A) Base RI'!Q81</f>
        <v>25334.83</v>
      </c>
      <c r="O81" s="10">
        <f t="shared" si="7"/>
        <v>265040.45</v>
      </c>
      <c r="P81" s="10">
        <f>+'A) Base RI'!L81</f>
        <v>265040.45</v>
      </c>
      <c r="Q81" s="402">
        <f>'A) Base RI'!Z81</f>
        <v>1</v>
      </c>
      <c r="R81" s="394">
        <f t="shared" si="8"/>
        <v>3113110.9</v>
      </c>
      <c r="S81" s="437">
        <f>+'A) Base RI'!U81</f>
        <v>73</v>
      </c>
      <c r="T81" s="394">
        <f t="shared" si="9"/>
        <v>2830729.1999999997</v>
      </c>
      <c r="U81" s="394">
        <f t="shared" si="10"/>
        <v>42645.35479452055</v>
      </c>
      <c r="V81" s="10">
        <f>+'A) Base RI'!O81</f>
        <v>0</v>
      </c>
      <c r="W81" s="10">
        <f>+'A) Base RI'!P81</f>
        <v>55425.75</v>
      </c>
      <c r="X81" s="10">
        <f>+'A) Base RI'!R81</f>
        <v>177250.5</v>
      </c>
      <c r="Y81" s="394">
        <f t="shared" si="11"/>
        <v>232676.25</v>
      </c>
      <c r="Z81" s="10">
        <f>+'A) Base RI'!N81</f>
        <v>29998</v>
      </c>
      <c r="AA81" s="10">
        <f>'A) Base RI'!V81</f>
        <v>1148</v>
      </c>
    </row>
    <row r="82" spans="1:27" x14ac:dyDescent="0.25">
      <c r="A82" s="8">
        <f>'A) Base RI'!A82</f>
        <v>5522</v>
      </c>
      <c r="B82" s="32" t="str">
        <f>'A) Base RI'!B82</f>
        <v>Fey</v>
      </c>
      <c r="C82" s="10">
        <f>'A) Base RI'!C82+'A) Base RI'!D82</f>
        <v>1603806.68</v>
      </c>
      <c r="D82" s="10">
        <f>'A) Base RI'!W82</f>
        <v>-4006.55</v>
      </c>
      <c r="E82" s="390">
        <f>'A) Base RI'!X82</f>
        <v>0</v>
      </c>
      <c r="F82" s="390">
        <f>'A) Base RI'!Y82</f>
        <v>-45.25</v>
      </c>
      <c r="G82" s="394">
        <f t="shared" si="6"/>
        <v>1599754.88</v>
      </c>
      <c r="H82" s="10">
        <f>+'A) Base RI'!E82</f>
        <v>0</v>
      </c>
      <c r="I82" s="10">
        <f>+'A) Base RI'!F82</f>
        <v>0</v>
      </c>
      <c r="J82" s="10">
        <f>+'A) Base RI'!G82+'A) Base RI'!H82+'A) Base RI'!S82</f>
        <v>21554.030000000002</v>
      </c>
      <c r="K82" s="10">
        <f>+'A) Base RI'!I82</f>
        <v>0</v>
      </c>
      <c r="L82" s="10">
        <f>+'A) Base RI'!J82</f>
        <v>9160.84</v>
      </c>
      <c r="M82" s="10">
        <f>+'A) Base RI'!K82</f>
        <v>4017.55</v>
      </c>
      <c r="N82" s="10">
        <f>+'A) Base RI'!Q82</f>
        <v>15815.26</v>
      </c>
      <c r="O82" s="10">
        <f t="shared" si="7"/>
        <v>144022.39999999999</v>
      </c>
      <c r="P82" s="10">
        <f>+'A) Base RI'!L82</f>
        <v>144022.39999999999</v>
      </c>
      <c r="Q82" s="402">
        <f>'A) Base RI'!Z82</f>
        <v>1</v>
      </c>
      <c r="R82" s="394">
        <f t="shared" si="8"/>
        <v>1794324.96</v>
      </c>
      <c r="S82" s="437">
        <f>+'A) Base RI'!U82</f>
        <v>75</v>
      </c>
      <c r="T82" s="394">
        <f t="shared" si="9"/>
        <v>1646285.01</v>
      </c>
      <c r="U82" s="394">
        <f t="shared" si="10"/>
        <v>23924.3328</v>
      </c>
      <c r="V82" s="10">
        <f>+'A) Base RI'!O82</f>
        <v>234.4</v>
      </c>
      <c r="W82" s="10">
        <f>+'A) Base RI'!P82</f>
        <v>31147.5</v>
      </c>
      <c r="X82" s="10">
        <f>+'A) Base RI'!R82</f>
        <v>37571.1</v>
      </c>
      <c r="Y82" s="394">
        <f t="shared" si="11"/>
        <v>68953</v>
      </c>
      <c r="Z82" s="10">
        <f>+'A) Base RI'!N82</f>
        <v>26174.95</v>
      </c>
      <c r="AA82" s="10">
        <f>'A) Base RI'!V82</f>
        <v>754</v>
      </c>
    </row>
    <row r="83" spans="1:27" x14ac:dyDescent="0.25">
      <c r="A83" s="8">
        <f>'A) Base RI'!A83</f>
        <v>5523</v>
      </c>
      <c r="B83" s="32" t="str">
        <f>'A) Base RI'!B83</f>
        <v>Froideville</v>
      </c>
      <c r="C83" s="10">
        <f>'A) Base RI'!C83+'A) Base RI'!D83</f>
        <v>6024252.0999999996</v>
      </c>
      <c r="D83" s="10">
        <f>'A) Base RI'!W83</f>
        <v>-63743.97</v>
      </c>
      <c r="E83" s="390">
        <f>'A) Base RI'!X83</f>
        <v>0</v>
      </c>
      <c r="F83" s="390">
        <f>'A) Base RI'!Y83</f>
        <v>-1275.46</v>
      </c>
      <c r="G83" s="394">
        <f t="shared" si="6"/>
        <v>5959232.6699999999</v>
      </c>
      <c r="H83" s="10">
        <f>+'A) Base RI'!E83</f>
        <v>0</v>
      </c>
      <c r="I83" s="10">
        <f>+'A) Base RI'!F83</f>
        <v>0</v>
      </c>
      <c r="J83" s="10">
        <f>+'A) Base RI'!G83+'A) Base RI'!H83+'A) Base RI'!S83</f>
        <v>123288.27</v>
      </c>
      <c r="K83" s="10">
        <f>+'A) Base RI'!I83</f>
        <v>0</v>
      </c>
      <c r="L83" s="10">
        <f>+'A) Base RI'!J83</f>
        <v>78967.53</v>
      </c>
      <c r="M83" s="10">
        <f>+'A) Base RI'!K83</f>
        <v>29608.05</v>
      </c>
      <c r="N83" s="10">
        <f>+'A) Base RI'!Q83</f>
        <v>11243</v>
      </c>
      <c r="O83" s="10">
        <f t="shared" si="7"/>
        <v>531378.64</v>
      </c>
      <c r="P83" s="10">
        <f>+'A) Base RI'!L83</f>
        <v>664223.30000000005</v>
      </c>
      <c r="Q83" s="402">
        <f>'A) Base RI'!Z83</f>
        <v>1.25</v>
      </c>
      <c r="R83" s="394">
        <f t="shared" si="8"/>
        <v>6733718.1599999992</v>
      </c>
      <c r="S83" s="437">
        <f>+'A) Base RI'!U83</f>
        <v>72</v>
      </c>
      <c r="T83" s="394">
        <f t="shared" si="9"/>
        <v>6172731.4699999997</v>
      </c>
      <c r="U83" s="394">
        <f t="shared" si="10"/>
        <v>93523.863333333327</v>
      </c>
      <c r="V83" s="10">
        <f>+'A) Base RI'!O83</f>
        <v>0</v>
      </c>
      <c r="W83" s="10">
        <f>+'A) Base RI'!P83</f>
        <v>0</v>
      </c>
      <c r="X83" s="10">
        <f>+'A) Base RI'!R83</f>
        <v>826824.4</v>
      </c>
      <c r="Y83" s="394">
        <f t="shared" si="11"/>
        <v>826824.4</v>
      </c>
      <c r="Z83" s="10">
        <f>+'A) Base RI'!N83</f>
        <v>6648.85</v>
      </c>
      <c r="AA83" s="10">
        <f>'A) Base RI'!V83</f>
        <v>2673</v>
      </c>
    </row>
    <row r="84" spans="1:27" x14ac:dyDescent="0.25">
      <c r="A84" s="8">
        <f>'A) Base RI'!A84</f>
        <v>5527</v>
      </c>
      <c r="B84" s="32" t="str">
        <f>'A) Base RI'!B84</f>
        <v>Morrens</v>
      </c>
      <c r="C84" s="10">
        <f>'A) Base RI'!C84+'A) Base RI'!D84</f>
        <v>2656696.2199999997</v>
      </c>
      <c r="D84" s="10">
        <f>'A) Base RI'!W84</f>
        <v>-29012.71</v>
      </c>
      <c r="E84" s="390">
        <f>'A) Base RI'!X84</f>
        <v>0</v>
      </c>
      <c r="F84" s="390">
        <f>'A) Base RI'!Y84</f>
        <v>-111</v>
      </c>
      <c r="G84" s="394">
        <f t="shared" si="6"/>
        <v>2627572.5099999998</v>
      </c>
      <c r="H84" s="10">
        <f>+'A) Base RI'!E84</f>
        <v>0</v>
      </c>
      <c r="I84" s="10">
        <f>+'A) Base RI'!F84</f>
        <v>0</v>
      </c>
      <c r="J84" s="10">
        <f>+'A) Base RI'!G84+'A) Base RI'!H84+'A) Base RI'!S84</f>
        <v>6432.93</v>
      </c>
      <c r="K84" s="10">
        <f>+'A) Base RI'!I84</f>
        <v>0</v>
      </c>
      <c r="L84" s="10">
        <f>+'A) Base RI'!J84</f>
        <v>33555.919999999998</v>
      </c>
      <c r="M84" s="10">
        <f>+'A) Base RI'!K84</f>
        <v>-2491.75</v>
      </c>
      <c r="N84" s="10">
        <f>+'A) Base RI'!Q84</f>
        <v>432.99</v>
      </c>
      <c r="O84" s="10">
        <f t="shared" si="7"/>
        <v>243459.75</v>
      </c>
      <c r="P84" s="10">
        <f>+'A) Base RI'!L84</f>
        <v>243459.75</v>
      </c>
      <c r="Q84" s="402">
        <f>'A) Base RI'!Z84</f>
        <v>1</v>
      </c>
      <c r="R84" s="394">
        <f t="shared" si="8"/>
        <v>2908962.35</v>
      </c>
      <c r="S84" s="437">
        <f>+'A) Base RI'!U84</f>
        <v>74</v>
      </c>
      <c r="T84" s="394">
        <f t="shared" si="9"/>
        <v>2667994.35</v>
      </c>
      <c r="U84" s="394">
        <f t="shared" si="10"/>
        <v>39310.302027027028</v>
      </c>
      <c r="V84" s="10">
        <f>+'A) Base RI'!O84</f>
        <v>0</v>
      </c>
      <c r="W84" s="10">
        <f>+'A) Base RI'!P84</f>
        <v>141512.70000000001</v>
      </c>
      <c r="X84" s="10">
        <f>+'A) Base RI'!R84</f>
        <v>117659.35</v>
      </c>
      <c r="Y84" s="394">
        <f t="shared" si="11"/>
        <v>259172.05000000002</v>
      </c>
      <c r="Z84" s="10">
        <f>+'A) Base RI'!N84</f>
        <v>10850.5</v>
      </c>
      <c r="AA84" s="10">
        <f>'A) Base RI'!V84</f>
        <v>1156</v>
      </c>
    </row>
    <row r="85" spans="1:27" x14ac:dyDescent="0.25">
      <c r="A85" s="8">
        <f>'A) Base RI'!A85</f>
        <v>5529</v>
      </c>
      <c r="B85" s="32" t="str">
        <f>'A) Base RI'!B85</f>
        <v>Oulens-sous-Echallens</v>
      </c>
      <c r="C85" s="10">
        <f>'A) Base RI'!C85+'A) Base RI'!D85</f>
        <v>1344002.45</v>
      </c>
      <c r="D85" s="10">
        <f>'A) Base RI'!W85</f>
        <v>-17823.47</v>
      </c>
      <c r="E85" s="390">
        <f>'A) Base RI'!X85</f>
        <v>0</v>
      </c>
      <c r="F85" s="390">
        <f>'A) Base RI'!Y85</f>
        <v>-28.32</v>
      </c>
      <c r="G85" s="394">
        <f t="shared" si="6"/>
        <v>1326150.6599999999</v>
      </c>
      <c r="H85" s="10">
        <f>+'A) Base RI'!E85</f>
        <v>0</v>
      </c>
      <c r="I85" s="10">
        <f>+'A) Base RI'!F85</f>
        <v>0</v>
      </c>
      <c r="J85" s="10">
        <f>+'A) Base RI'!G85+'A) Base RI'!H85+'A) Base RI'!S85</f>
        <v>3596.39</v>
      </c>
      <c r="K85" s="10">
        <f>+'A) Base RI'!I85</f>
        <v>0</v>
      </c>
      <c r="L85" s="10">
        <f>+'A) Base RI'!J85</f>
        <v>20148.03</v>
      </c>
      <c r="M85" s="10">
        <f>+'A) Base RI'!K85</f>
        <v>3248.55</v>
      </c>
      <c r="N85" s="10">
        <f>+'A) Base RI'!Q85</f>
        <v>0</v>
      </c>
      <c r="O85" s="10">
        <f t="shared" si="7"/>
        <v>128212.6</v>
      </c>
      <c r="P85" s="10">
        <f>+'A) Base RI'!L85</f>
        <v>128212.6</v>
      </c>
      <c r="Q85" s="402">
        <f>'A) Base RI'!Z85</f>
        <v>1</v>
      </c>
      <c r="R85" s="394">
        <f t="shared" si="8"/>
        <v>1481356.23</v>
      </c>
      <c r="S85" s="437">
        <f>+'A) Base RI'!U85</f>
        <v>70</v>
      </c>
      <c r="T85" s="394">
        <f t="shared" si="9"/>
        <v>1349895.0799999998</v>
      </c>
      <c r="U85" s="394">
        <f t="shared" si="10"/>
        <v>21162.231857142859</v>
      </c>
      <c r="V85" s="10">
        <f>+'A) Base RI'!O85</f>
        <v>0</v>
      </c>
      <c r="W85" s="10">
        <f>+'A) Base RI'!P85</f>
        <v>95966.45</v>
      </c>
      <c r="X85" s="10">
        <f>+'A) Base RI'!R85</f>
        <v>189871.3</v>
      </c>
      <c r="Y85" s="394">
        <f t="shared" si="11"/>
        <v>285837.75</v>
      </c>
      <c r="Z85" s="10">
        <f>+'A) Base RI'!N85</f>
        <v>0</v>
      </c>
      <c r="AA85" s="10">
        <f>'A) Base RI'!V85</f>
        <v>619</v>
      </c>
    </row>
    <row r="86" spans="1:27" x14ac:dyDescent="0.25">
      <c r="A86" s="8">
        <f>'A) Base RI'!A86</f>
        <v>5530</v>
      </c>
      <c r="B86" s="32" t="str">
        <f>'A) Base RI'!B86</f>
        <v>Pailly</v>
      </c>
      <c r="C86" s="10">
        <f>'A) Base RI'!C86+'A) Base RI'!D86</f>
        <v>1361314.42</v>
      </c>
      <c r="D86" s="10">
        <f>'A) Base RI'!W86</f>
        <v>-16302.61</v>
      </c>
      <c r="E86" s="390">
        <f>'A) Base RI'!X86</f>
        <v>0</v>
      </c>
      <c r="F86" s="390">
        <f>'A) Base RI'!Y86</f>
        <v>-90.34</v>
      </c>
      <c r="G86" s="394">
        <f t="shared" si="6"/>
        <v>1344921.4699999997</v>
      </c>
      <c r="H86" s="10">
        <f>+'A) Base RI'!E86</f>
        <v>0</v>
      </c>
      <c r="I86" s="10">
        <f>+'A) Base RI'!F86</f>
        <v>0</v>
      </c>
      <c r="J86" s="10">
        <f>+'A) Base RI'!G86+'A) Base RI'!H86+'A) Base RI'!S86</f>
        <v>-1871.5600000000002</v>
      </c>
      <c r="K86" s="10">
        <f>+'A) Base RI'!I86</f>
        <v>0</v>
      </c>
      <c r="L86" s="10">
        <f>+'A) Base RI'!J86</f>
        <v>12489.9</v>
      </c>
      <c r="M86" s="10">
        <f>+'A) Base RI'!K86</f>
        <v>847.5</v>
      </c>
      <c r="N86" s="10">
        <f>+'A) Base RI'!Q86</f>
        <v>0</v>
      </c>
      <c r="O86" s="10">
        <f t="shared" si="7"/>
        <v>92381.7</v>
      </c>
      <c r="P86" s="10">
        <f>+'A) Base RI'!L86</f>
        <v>110858.04</v>
      </c>
      <c r="Q86" s="402">
        <f>'A) Base RI'!Z86</f>
        <v>1.2</v>
      </c>
      <c r="R86" s="394">
        <f t="shared" si="8"/>
        <v>1448769.0099999995</v>
      </c>
      <c r="S86" s="437">
        <f>+'A) Base RI'!U86</f>
        <v>76</v>
      </c>
      <c r="T86" s="394">
        <f t="shared" si="9"/>
        <v>1355539.8099999996</v>
      </c>
      <c r="U86" s="394">
        <f t="shared" si="10"/>
        <v>19062.750131578941</v>
      </c>
      <c r="V86" s="10">
        <f>+'A) Base RI'!O86</f>
        <v>75442.5</v>
      </c>
      <c r="W86" s="10">
        <f>+'A) Base RI'!P86</f>
        <v>33943.35</v>
      </c>
      <c r="X86" s="10">
        <f>+'A) Base RI'!R86</f>
        <v>3231.1</v>
      </c>
      <c r="Y86" s="394">
        <f t="shared" si="11"/>
        <v>112616.95000000001</v>
      </c>
      <c r="Z86" s="10">
        <f>+'A) Base RI'!N86</f>
        <v>19384.099999999999</v>
      </c>
      <c r="AA86" s="10">
        <f>'A) Base RI'!V86</f>
        <v>575</v>
      </c>
    </row>
    <row r="87" spans="1:27" x14ac:dyDescent="0.25">
      <c r="A87" s="8">
        <f>'A) Base RI'!A87</f>
        <v>5531</v>
      </c>
      <c r="B87" s="32" t="str">
        <f>'A) Base RI'!B87</f>
        <v>Penthéréaz</v>
      </c>
      <c r="C87" s="10">
        <f>'A) Base RI'!C87+'A) Base RI'!D87</f>
        <v>951279.59</v>
      </c>
      <c r="D87" s="10">
        <f>'A) Base RI'!W87</f>
        <v>-984.26</v>
      </c>
      <c r="E87" s="390">
        <f>'A) Base RI'!X87</f>
        <v>0</v>
      </c>
      <c r="F87" s="390">
        <f>'A) Base RI'!Y87</f>
        <v>-118.71</v>
      </c>
      <c r="G87" s="394">
        <f t="shared" si="6"/>
        <v>950176.62</v>
      </c>
      <c r="H87" s="10">
        <f>+'A) Base RI'!E87</f>
        <v>0</v>
      </c>
      <c r="I87" s="10">
        <f>+'A) Base RI'!F87</f>
        <v>0</v>
      </c>
      <c r="J87" s="10">
        <f>+'A) Base RI'!G87+'A) Base RI'!H87+'A) Base RI'!S87</f>
        <v>7121.48</v>
      </c>
      <c r="K87" s="10">
        <f>+'A) Base RI'!I87</f>
        <v>0</v>
      </c>
      <c r="L87" s="10">
        <f>+'A) Base RI'!J87</f>
        <v>16344.72</v>
      </c>
      <c r="M87" s="10">
        <f>+'A) Base RI'!K87</f>
        <v>1130.3</v>
      </c>
      <c r="N87" s="10">
        <f>+'A) Base RI'!Q87</f>
        <v>469.37</v>
      </c>
      <c r="O87" s="10">
        <f t="shared" si="7"/>
        <v>83018</v>
      </c>
      <c r="P87" s="10">
        <f>+'A) Base RI'!L87</f>
        <v>83018</v>
      </c>
      <c r="Q87" s="402">
        <f>'A) Base RI'!Z87</f>
        <v>1</v>
      </c>
      <c r="R87" s="394">
        <f t="shared" si="8"/>
        <v>1058260.49</v>
      </c>
      <c r="S87" s="437">
        <f>+'A) Base RI'!U87</f>
        <v>74</v>
      </c>
      <c r="T87" s="394">
        <f t="shared" si="9"/>
        <v>974112.19</v>
      </c>
      <c r="U87" s="394">
        <f t="shared" si="10"/>
        <v>14300.817432432432</v>
      </c>
      <c r="V87" s="10">
        <f>+'A) Base RI'!O87</f>
        <v>0</v>
      </c>
      <c r="W87" s="10">
        <f>+'A) Base RI'!P87</f>
        <v>74749.649999999994</v>
      </c>
      <c r="X87" s="10">
        <f>+'A) Base RI'!R87</f>
        <v>35131.75</v>
      </c>
      <c r="Y87" s="394">
        <f t="shared" si="11"/>
        <v>109881.4</v>
      </c>
      <c r="Z87" s="10">
        <f>+'A) Base RI'!N87</f>
        <v>23410.5</v>
      </c>
      <c r="AA87" s="10">
        <f>'A) Base RI'!V87</f>
        <v>417</v>
      </c>
    </row>
    <row r="88" spans="1:27" x14ac:dyDescent="0.25">
      <c r="A88" s="8">
        <f>'A) Base RI'!A88</f>
        <v>5533</v>
      </c>
      <c r="B88" s="32" t="str">
        <f>'A) Base RI'!B88</f>
        <v>Poliez-Pittet</v>
      </c>
      <c r="C88" s="10">
        <f>'A) Base RI'!C88+'A) Base RI'!D88</f>
        <v>1728508.7</v>
      </c>
      <c r="D88" s="10">
        <f>'A) Base RI'!W88</f>
        <v>-30247.360000000001</v>
      </c>
      <c r="E88" s="390">
        <f>'A) Base RI'!X88</f>
        <v>0</v>
      </c>
      <c r="F88" s="390">
        <f>'A) Base RI'!Y88</f>
        <v>-170.62</v>
      </c>
      <c r="G88" s="394">
        <f t="shared" si="6"/>
        <v>1698090.7199999997</v>
      </c>
      <c r="H88" s="10">
        <f>+'A) Base RI'!E88</f>
        <v>0</v>
      </c>
      <c r="I88" s="10">
        <f>+'A) Base RI'!F88</f>
        <v>0</v>
      </c>
      <c r="J88" s="10">
        <f>+'A) Base RI'!G88+'A) Base RI'!H88+'A) Base RI'!S88</f>
        <v>149117.22999999998</v>
      </c>
      <c r="K88" s="10">
        <f>+'A) Base RI'!I88</f>
        <v>0</v>
      </c>
      <c r="L88" s="10">
        <f>+'A) Base RI'!J88</f>
        <v>2679.43</v>
      </c>
      <c r="M88" s="10">
        <f>+'A) Base RI'!K88</f>
        <v>10363.25</v>
      </c>
      <c r="N88" s="10">
        <f>+'A) Base RI'!Q88</f>
        <v>1153.5</v>
      </c>
      <c r="O88" s="10">
        <f t="shared" si="7"/>
        <v>146244.20000000001</v>
      </c>
      <c r="P88" s="10">
        <f>+'A) Base RI'!L88</f>
        <v>146244.20000000001</v>
      </c>
      <c r="Q88" s="402">
        <f>'A) Base RI'!Z88</f>
        <v>1</v>
      </c>
      <c r="R88" s="394">
        <f t="shared" si="8"/>
        <v>2007648.3299999996</v>
      </c>
      <c r="S88" s="437">
        <f>+'A) Base RI'!U88</f>
        <v>73</v>
      </c>
      <c r="T88" s="394">
        <f t="shared" si="9"/>
        <v>1851040.8799999997</v>
      </c>
      <c r="U88" s="394">
        <f t="shared" si="10"/>
        <v>27502.031917808214</v>
      </c>
      <c r="V88" s="10">
        <f>+'A) Base RI'!O88</f>
        <v>12776.7</v>
      </c>
      <c r="W88" s="10">
        <f>+'A) Base RI'!P88</f>
        <v>11264</v>
      </c>
      <c r="X88" s="10">
        <f>+'A) Base RI'!R88</f>
        <v>6227.8</v>
      </c>
      <c r="Y88" s="394">
        <f t="shared" si="11"/>
        <v>30268.5</v>
      </c>
      <c r="Z88" s="10">
        <f>+'A) Base RI'!N88</f>
        <v>4072.25</v>
      </c>
      <c r="AA88" s="10">
        <f>'A) Base RI'!V88</f>
        <v>833</v>
      </c>
    </row>
    <row r="89" spans="1:27" x14ac:dyDescent="0.25">
      <c r="A89" s="8">
        <f>'A) Base RI'!A89</f>
        <v>5534</v>
      </c>
      <c r="B89" s="32" t="str">
        <f>'A) Base RI'!B89</f>
        <v>Rueyres</v>
      </c>
      <c r="C89" s="10">
        <f>'A) Base RI'!C89+'A) Base RI'!D89</f>
        <v>676081.73</v>
      </c>
      <c r="D89" s="10">
        <f>'A) Base RI'!W89</f>
        <v>-9983.39</v>
      </c>
      <c r="E89" s="390">
        <f>'A) Base RI'!X89</f>
        <v>0</v>
      </c>
      <c r="F89" s="390">
        <f>'A) Base RI'!Y89</f>
        <v>-7.73</v>
      </c>
      <c r="G89" s="394">
        <f t="shared" si="6"/>
        <v>666090.61</v>
      </c>
      <c r="H89" s="10">
        <f>+'A) Base RI'!E89</f>
        <v>0</v>
      </c>
      <c r="I89" s="10">
        <f>+'A) Base RI'!F89</f>
        <v>0</v>
      </c>
      <c r="J89" s="10">
        <f>+'A) Base RI'!G89+'A) Base RI'!H89+'A) Base RI'!S89</f>
        <v>189602.12</v>
      </c>
      <c r="K89" s="10">
        <f>+'A) Base RI'!I89</f>
        <v>0</v>
      </c>
      <c r="L89" s="10">
        <f>+'A) Base RI'!J89</f>
        <v>16118.93</v>
      </c>
      <c r="M89" s="10">
        <f>+'A) Base RI'!K89</f>
        <v>907</v>
      </c>
      <c r="N89" s="10">
        <f>+'A) Base RI'!Q89</f>
        <v>3702.83</v>
      </c>
      <c r="O89" s="10">
        <f t="shared" si="7"/>
        <v>80388.916666666672</v>
      </c>
      <c r="P89" s="10">
        <f>+'A) Base RI'!L89</f>
        <v>96466.7</v>
      </c>
      <c r="Q89" s="402">
        <f>'A) Base RI'!Z89</f>
        <v>1.2</v>
      </c>
      <c r="R89" s="394">
        <f t="shared" si="8"/>
        <v>956810.40666666662</v>
      </c>
      <c r="S89" s="437">
        <f>+'A) Base RI'!U89</f>
        <v>73</v>
      </c>
      <c r="T89" s="394">
        <f t="shared" si="9"/>
        <v>875514.49</v>
      </c>
      <c r="U89" s="394">
        <f t="shared" si="10"/>
        <v>13106.991872146118</v>
      </c>
      <c r="V89" s="10">
        <f>+'A) Base RI'!O89</f>
        <v>1502.5</v>
      </c>
      <c r="W89" s="10">
        <f>+'A) Base RI'!P89</f>
        <v>56309.15</v>
      </c>
      <c r="X89" s="10">
        <f>+'A) Base RI'!R89</f>
        <v>46442</v>
      </c>
      <c r="Y89" s="394">
        <f t="shared" si="11"/>
        <v>104253.65</v>
      </c>
      <c r="Z89" s="10">
        <f>+'A) Base RI'!N89</f>
        <v>30156.05</v>
      </c>
      <c r="AA89" s="10">
        <f>'A) Base RI'!V89</f>
        <v>304</v>
      </c>
    </row>
    <row r="90" spans="1:27" x14ac:dyDescent="0.25">
      <c r="A90" s="8">
        <f>'A) Base RI'!A90</f>
        <v>5535</v>
      </c>
      <c r="B90" s="32" t="str">
        <f>'A) Base RI'!B90</f>
        <v>Saint-Barthélemy</v>
      </c>
      <c r="C90" s="10">
        <f>'A) Base RI'!C90+'A) Base RI'!D90</f>
        <v>1707805.1099999999</v>
      </c>
      <c r="D90" s="10">
        <f>'A) Base RI'!W90</f>
        <v>-16801.96</v>
      </c>
      <c r="E90" s="390">
        <f>'A) Base RI'!X90</f>
        <v>0</v>
      </c>
      <c r="F90" s="390">
        <f>'A) Base RI'!Y90</f>
        <v>-48.07</v>
      </c>
      <c r="G90" s="394">
        <f t="shared" si="6"/>
        <v>1690955.0799999998</v>
      </c>
      <c r="H90" s="10">
        <f>+'A) Base RI'!E90</f>
        <v>0</v>
      </c>
      <c r="I90" s="10">
        <f>+'A) Base RI'!F90</f>
        <v>0</v>
      </c>
      <c r="J90" s="10">
        <f>+'A) Base RI'!G90+'A) Base RI'!H90+'A) Base RI'!S90</f>
        <v>6831.0299999999988</v>
      </c>
      <c r="K90" s="10">
        <f>+'A) Base RI'!I90</f>
        <v>0</v>
      </c>
      <c r="L90" s="10">
        <f>+'A) Base RI'!J90</f>
        <v>24603.42</v>
      </c>
      <c r="M90" s="10">
        <f>+'A) Base RI'!K90</f>
        <v>1575.8</v>
      </c>
      <c r="N90" s="10">
        <f>+'A) Base RI'!Q90</f>
        <v>8960.16</v>
      </c>
      <c r="O90" s="10">
        <f t="shared" si="7"/>
        <v>148098.4</v>
      </c>
      <c r="P90" s="10">
        <f>+'A) Base RI'!L90</f>
        <v>148098.4</v>
      </c>
      <c r="Q90" s="402">
        <f>'A) Base RI'!Z90</f>
        <v>1</v>
      </c>
      <c r="R90" s="394">
        <f t="shared" si="8"/>
        <v>1881023.8899999997</v>
      </c>
      <c r="S90" s="437">
        <f>+'A) Base RI'!U90</f>
        <v>75</v>
      </c>
      <c r="T90" s="394">
        <f t="shared" si="9"/>
        <v>1731349.6899999997</v>
      </c>
      <c r="U90" s="394">
        <f t="shared" si="10"/>
        <v>25080.318533333328</v>
      </c>
      <c r="V90" s="10">
        <f>+'A) Base RI'!O90</f>
        <v>502.9</v>
      </c>
      <c r="W90" s="10">
        <f>+'A) Base RI'!P90</f>
        <v>32904.15</v>
      </c>
      <c r="X90" s="10">
        <f>+'A) Base RI'!R90</f>
        <v>62868.1</v>
      </c>
      <c r="Y90" s="394">
        <f t="shared" si="11"/>
        <v>96275.15</v>
      </c>
      <c r="Z90" s="10">
        <f>+'A) Base RI'!N90</f>
        <v>43807.25</v>
      </c>
      <c r="AA90" s="10">
        <f>'A) Base RI'!V90</f>
        <v>809</v>
      </c>
    </row>
    <row r="91" spans="1:27" x14ac:dyDescent="0.25">
      <c r="A91" s="8">
        <f>'A) Base RI'!A91</f>
        <v>5537</v>
      </c>
      <c r="B91" s="32" t="str">
        <f>'A) Base RI'!B91</f>
        <v>Villars-le-Terroir</v>
      </c>
      <c r="C91" s="10">
        <f>'A) Base RI'!C91+'A) Base RI'!D91</f>
        <v>3026329.73</v>
      </c>
      <c r="D91" s="10">
        <f>'A) Base RI'!W91</f>
        <v>-64205.39</v>
      </c>
      <c r="E91" s="390">
        <f>'A) Base RI'!X91</f>
        <v>0</v>
      </c>
      <c r="F91" s="390">
        <f>'A) Base RI'!Y91</f>
        <v>-100.48</v>
      </c>
      <c r="G91" s="394">
        <f t="shared" si="6"/>
        <v>2962023.86</v>
      </c>
      <c r="H91" s="10">
        <f>+'A) Base RI'!E91</f>
        <v>0</v>
      </c>
      <c r="I91" s="10">
        <f>+'A) Base RI'!F91</f>
        <v>7390</v>
      </c>
      <c r="J91" s="10">
        <f>+'A) Base RI'!G91+'A) Base RI'!H91+'A) Base RI'!S91</f>
        <v>17383.14</v>
      </c>
      <c r="K91" s="10">
        <f>+'A) Base RI'!I91</f>
        <v>0</v>
      </c>
      <c r="L91" s="10">
        <f>+'A) Base RI'!J91</f>
        <v>20564.37</v>
      </c>
      <c r="M91" s="10">
        <f>+'A) Base RI'!K91</f>
        <v>3191.5</v>
      </c>
      <c r="N91" s="10">
        <f>+'A) Base RI'!Q91</f>
        <v>9549.9500000000007</v>
      </c>
      <c r="O91" s="10">
        <f t="shared" si="7"/>
        <v>241651.20000000001</v>
      </c>
      <c r="P91" s="10">
        <f>+'A) Base RI'!L91</f>
        <v>241651.20000000001</v>
      </c>
      <c r="Q91" s="402">
        <f>'A) Base RI'!Z91</f>
        <v>1</v>
      </c>
      <c r="R91" s="394">
        <f t="shared" si="8"/>
        <v>3261754.0200000005</v>
      </c>
      <c r="S91" s="437">
        <f>+'A) Base RI'!U91</f>
        <v>76</v>
      </c>
      <c r="T91" s="394">
        <f t="shared" si="9"/>
        <v>3009521.3200000003</v>
      </c>
      <c r="U91" s="394">
        <f t="shared" si="10"/>
        <v>42917.816052631584</v>
      </c>
      <c r="V91" s="10">
        <f>+'A) Base RI'!O91</f>
        <v>9485.5</v>
      </c>
      <c r="W91" s="10">
        <f>+'A) Base RI'!P91</f>
        <v>72160</v>
      </c>
      <c r="X91" s="10">
        <f>+'A) Base RI'!R91</f>
        <v>31601.7</v>
      </c>
      <c r="Y91" s="394">
        <f t="shared" si="11"/>
        <v>113247.2</v>
      </c>
      <c r="Z91" s="10">
        <f>+'A) Base RI'!N91</f>
        <v>2823.5</v>
      </c>
      <c r="AA91" s="10">
        <f>'A) Base RI'!V91</f>
        <v>1316</v>
      </c>
    </row>
    <row r="92" spans="1:27" x14ac:dyDescent="0.25">
      <c r="A92" s="8">
        <f>'A) Base RI'!A92</f>
        <v>5539</v>
      </c>
      <c r="B92" s="32" t="str">
        <f>'A) Base RI'!B92</f>
        <v>Vuarrens</v>
      </c>
      <c r="C92" s="10">
        <f>'A) Base RI'!C92+'A) Base RI'!D92</f>
        <v>2253974.0499999998</v>
      </c>
      <c r="D92" s="10">
        <f>'A) Base RI'!W92</f>
        <v>-30262.43</v>
      </c>
      <c r="E92" s="390">
        <f>'A) Base RI'!X92</f>
        <v>0</v>
      </c>
      <c r="F92" s="390">
        <f>'A) Base RI'!Y92</f>
        <v>-64.599999999999994</v>
      </c>
      <c r="G92" s="394">
        <f t="shared" si="6"/>
        <v>2223647.0199999996</v>
      </c>
      <c r="H92" s="10">
        <f>+'A) Base RI'!E92</f>
        <v>0</v>
      </c>
      <c r="I92" s="10">
        <f>+'A) Base RI'!F92</f>
        <v>0</v>
      </c>
      <c r="J92" s="10">
        <f>+'A) Base RI'!G92+'A) Base RI'!H92+'A) Base RI'!S92</f>
        <v>28879.300000000003</v>
      </c>
      <c r="K92" s="10">
        <f>+'A) Base RI'!I92</f>
        <v>0</v>
      </c>
      <c r="L92" s="10">
        <f>+'A) Base RI'!J92</f>
        <v>29378.59</v>
      </c>
      <c r="M92" s="10">
        <f>+'A) Base RI'!K92</f>
        <v>4278.3</v>
      </c>
      <c r="N92" s="10">
        <f>+'A) Base RI'!Q92</f>
        <v>58365.03</v>
      </c>
      <c r="O92" s="10">
        <f t="shared" si="7"/>
        <v>195468.25</v>
      </c>
      <c r="P92" s="10">
        <f>+'A) Base RI'!L92</f>
        <v>156374.6</v>
      </c>
      <c r="Q92" s="402">
        <f>'A) Base RI'!Z92</f>
        <v>0.8</v>
      </c>
      <c r="R92" s="394">
        <f t="shared" si="8"/>
        <v>2540016.4899999988</v>
      </c>
      <c r="S92" s="437">
        <f>+'A) Base RI'!U92</f>
        <v>73.5</v>
      </c>
      <c r="T92" s="394">
        <f t="shared" si="9"/>
        <v>2340269.939999999</v>
      </c>
      <c r="U92" s="394">
        <f t="shared" si="10"/>
        <v>34558.047482993185</v>
      </c>
      <c r="V92" s="10">
        <f>+'A) Base RI'!O92</f>
        <v>151480</v>
      </c>
      <c r="W92" s="10">
        <f>+'A) Base RI'!P92</f>
        <v>54638.65</v>
      </c>
      <c r="X92" s="10">
        <f>+'A) Base RI'!R92</f>
        <v>33777.300000000003</v>
      </c>
      <c r="Y92" s="394">
        <f t="shared" si="11"/>
        <v>239895.95</v>
      </c>
      <c r="Z92" s="10">
        <f>+'A) Base RI'!N92</f>
        <v>17971.5</v>
      </c>
      <c r="AA92" s="10">
        <f>'A) Base RI'!V92</f>
        <v>1097</v>
      </c>
    </row>
    <row r="93" spans="1:27" x14ac:dyDescent="0.25">
      <c r="A93" s="8">
        <f>'A) Base RI'!A93</f>
        <v>5540</v>
      </c>
      <c r="B93" s="32" t="str">
        <f>'A) Base RI'!B93</f>
        <v>Montilliez</v>
      </c>
      <c r="C93" s="10">
        <f>'A) Base RI'!C93+'A) Base RI'!D93</f>
        <v>4058277.16</v>
      </c>
      <c r="D93" s="10">
        <f>'A) Base RI'!W93</f>
        <v>-37361.97</v>
      </c>
      <c r="E93" s="390">
        <f>'A) Base RI'!X93</f>
        <v>0</v>
      </c>
      <c r="F93" s="390">
        <f>'A) Base RI'!Y93</f>
        <v>-404.05</v>
      </c>
      <c r="G93" s="394">
        <f t="shared" si="6"/>
        <v>4020511.14</v>
      </c>
      <c r="H93" s="10">
        <f>+'A) Base RI'!E93</f>
        <v>0</v>
      </c>
      <c r="I93" s="10">
        <f>+'A) Base RI'!F93</f>
        <v>0</v>
      </c>
      <c r="J93" s="10">
        <f>+'A) Base RI'!G93+'A) Base RI'!H93+'A) Base RI'!S93</f>
        <v>153810.18999999997</v>
      </c>
      <c r="K93" s="10">
        <f>+'A) Base RI'!I93</f>
        <v>0</v>
      </c>
      <c r="L93" s="10">
        <f>+'A) Base RI'!J93</f>
        <v>46256.83</v>
      </c>
      <c r="M93" s="10">
        <f>+'A) Base RI'!K93</f>
        <v>12051.5</v>
      </c>
      <c r="N93" s="10">
        <f>+'A) Base RI'!Q93</f>
        <v>5243.6</v>
      </c>
      <c r="O93" s="10">
        <f t="shared" si="7"/>
        <v>352536.06249999994</v>
      </c>
      <c r="P93" s="10">
        <f>+'A) Base RI'!L93</f>
        <v>282028.84999999998</v>
      </c>
      <c r="Q93" s="402">
        <f>'A) Base RI'!Z93</f>
        <v>0.8</v>
      </c>
      <c r="R93" s="394">
        <f t="shared" si="8"/>
        <v>4590409.3224999998</v>
      </c>
      <c r="S93" s="437">
        <f>+'A) Base RI'!U93</f>
        <v>72.5</v>
      </c>
      <c r="T93" s="394">
        <f t="shared" si="9"/>
        <v>4225821.76</v>
      </c>
      <c r="U93" s="394">
        <f t="shared" si="10"/>
        <v>63315.990655172413</v>
      </c>
      <c r="V93" s="10">
        <f>+'A) Base RI'!O93</f>
        <v>4751.8999999999996</v>
      </c>
      <c r="W93" s="10">
        <f>+'A) Base RI'!P93</f>
        <v>166342.45000000001</v>
      </c>
      <c r="X93" s="10">
        <f>+'A) Base RI'!R93</f>
        <v>125721.55</v>
      </c>
      <c r="Y93" s="394">
        <f t="shared" si="11"/>
        <v>296815.90000000002</v>
      </c>
      <c r="Z93" s="10">
        <f>+'A) Base RI'!N93</f>
        <v>1152.4000000000001</v>
      </c>
      <c r="AA93" s="10">
        <f>'A) Base RI'!V93</f>
        <v>1883</v>
      </c>
    </row>
    <row r="94" spans="1:27" x14ac:dyDescent="0.25">
      <c r="A94" s="8">
        <f>'A) Base RI'!A94</f>
        <v>5541</v>
      </c>
      <c r="B94" s="32" t="str">
        <f>'A) Base RI'!B94</f>
        <v>Goumoëns</v>
      </c>
      <c r="C94" s="10">
        <f>'A) Base RI'!C94+'A) Base RI'!D94</f>
        <v>2811224.79</v>
      </c>
      <c r="D94" s="10">
        <f>'A) Base RI'!W94</f>
        <v>-15345.72</v>
      </c>
      <c r="E94" s="390">
        <f>'A) Base RI'!X94</f>
        <v>0</v>
      </c>
      <c r="F94" s="390">
        <f>'A) Base RI'!Y94</f>
        <v>-208.48</v>
      </c>
      <c r="G94" s="394">
        <f t="shared" si="6"/>
        <v>2795670.59</v>
      </c>
      <c r="H94" s="10">
        <f>+'A) Base RI'!E94</f>
        <v>0</v>
      </c>
      <c r="I94" s="10">
        <f>+'A) Base RI'!F94</f>
        <v>0</v>
      </c>
      <c r="J94" s="10">
        <f>+'A) Base RI'!G94+'A) Base RI'!H94+'A) Base RI'!S94</f>
        <v>64274.13</v>
      </c>
      <c r="K94" s="10">
        <f>+'A) Base RI'!I94</f>
        <v>0</v>
      </c>
      <c r="L94" s="10">
        <f>+'A) Base RI'!J94</f>
        <v>33424.400000000001</v>
      </c>
      <c r="M94" s="10">
        <f>+'A) Base RI'!K94</f>
        <v>1552.15</v>
      </c>
      <c r="N94" s="10">
        <f>+'A) Base RI'!Q94</f>
        <v>1332.85</v>
      </c>
      <c r="O94" s="10">
        <f t="shared" si="7"/>
        <v>220312.85</v>
      </c>
      <c r="P94" s="10">
        <f>+'A) Base RI'!L94</f>
        <v>220312.85</v>
      </c>
      <c r="Q94" s="402">
        <f>'A) Base RI'!Z94</f>
        <v>1</v>
      </c>
      <c r="R94" s="394">
        <f t="shared" si="8"/>
        <v>3116566.9699999997</v>
      </c>
      <c r="S94" s="437">
        <f>+'A) Base RI'!U94</f>
        <v>75.5</v>
      </c>
      <c r="T94" s="394">
        <f t="shared" si="9"/>
        <v>2894701.9699999997</v>
      </c>
      <c r="U94" s="394">
        <f t="shared" si="10"/>
        <v>41279.032715231784</v>
      </c>
      <c r="V94" s="10">
        <f>+'A) Base RI'!O94</f>
        <v>14546.4</v>
      </c>
      <c r="W94" s="10">
        <f>+'A) Base RI'!P94</f>
        <v>61273.55</v>
      </c>
      <c r="X94" s="10">
        <f>+'A) Base RI'!R94</f>
        <v>79306.350000000006</v>
      </c>
      <c r="Y94" s="394">
        <f t="shared" si="11"/>
        <v>155126.29999999999</v>
      </c>
      <c r="Z94" s="10">
        <f>+'A) Base RI'!N94</f>
        <v>5116.2</v>
      </c>
      <c r="AA94" s="10">
        <f>'A) Base RI'!V94</f>
        <v>1166</v>
      </c>
    </row>
    <row r="95" spans="1:27" x14ac:dyDescent="0.25">
      <c r="A95" s="8">
        <f>'A) Base RI'!A95</f>
        <v>5551</v>
      </c>
      <c r="B95" s="32" t="str">
        <f>'A) Base RI'!B95</f>
        <v>Bonvillars</v>
      </c>
      <c r="C95" s="10">
        <f>'A) Base RI'!C95+'A) Base RI'!D95</f>
        <v>848687.09</v>
      </c>
      <c r="D95" s="10">
        <f>'A) Base RI'!W95</f>
        <v>-96.02</v>
      </c>
      <c r="E95" s="390">
        <f>'A) Base RI'!X95</f>
        <v>0</v>
      </c>
      <c r="F95" s="390">
        <f>'A) Base RI'!Y95</f>
        <v>-509.54</v>
      </c>
      <c r="G95" s="394">
        <f t="shared" si="6"/>
        <v>848081.52999999991</v>
      </c>
      <c r="H95" s="10">
        <f>+'A) Base RI'!E95</f>
        <v>0</v>
      </c>
      <c r="I95" s="10">
        <f>+'A) Base RI'!F95</f>
        <v>0</v>
      </c>
      <c r="J95" s="10">
        <f>+'A) Base RI'!G95+'A) Base RI'!H95+'A) Base RI'!S95</f>
        <v>52199.19</v>
      </c>
      <c r="K95" s="10">
        <f>+'A) Base RI'!I95</f>
        <v>0</v>
      </c>
      <c r="L95" s="10">
        <f>+'A) Base RI'!J95</f>
        <v>2023.19</v>
      </c>
      <c r="M95" s="10">
        <f>+'A) Base RI'!K95</f>
        <v>12424.7</v>
      </c>
      <c r="N95" s="10">
        <f>+'A) Base RI'!Q95</f>
        <v>0</v>
      </c>
      <c r="O95" s="10">
        <f t="shared" si="7"/>
        <v>114179.05</v>
      </c>
      <c r="P95" s="10">
        <f>+'A) Base RI'!L95</f>
        <v>114179.05</v>
      </c>
      <c r="Q95" s="402">
        <f>'A) Base RI'!Z95</f>
        <v>1</v>
      </c>
      <c r="R95" s="394">
        <f t="shared" si="8"/>
        <v>1028907.6599999999</v>
      </c>
      <c r="S95" s="437">
        <f>+'A) Base RI'!U95</f>
        <v>55</v>
      </c>
      <c r="T95" s="394">
        <f t="shared" si="9"/>
        <v>902303.90999999992</v>
      </c>
      <c r="U95" s="394">
        <f t="shared" si="10"/>
        <v>18707.412</v>
      </c>
      <c r="V95" s="10">
        <f>+'A) Base RI'!O95</f>
        <v>8831.7999999999993</v>
      </c>
      <c r="W95" s="10">
        <f>+'A) Base RI'!P95</f>
        <v>66776.45</v>
      </c>
      <c r="X95" s="10">
        <f>+'A) Base RI'!R95</f>
        <v>29720.799999999999</v>
      </c>
      <c r="Y95" s="394">
        <f t="shared" si="11"/>
        <v>105329.05</v>
      </c>
      <c r="Z95" s="10">
        <f>+'A) Base RI'!N95</f>
        <v>6473</v>
      </c>
      <c r="AA95" s="10">
        <f>'A) Base RI'!V95</f>
        <v>481</v>
      </c>
    </row>
    <row r="96" spans="1:27" x14ac:dyDescent="0.25">
      <c r="A96" s="8">
        <f>'A) Base RI'!A96</f>
        <v>5552</v>
      </c>
      <c r="B96" s="32" t="str">
        <f>'A) Base RI'!B96</f>
        <v>Bullet</v>
      </c>
      <c r="C96" s="10">
        <f>'A) Base RI'!C96+'A) Base RI'!D96</f>
        <v>1230077.1000000001</v>
      </c>
      <c r="D96" s="10">
        <f>'A) Base RI'!W96</f>
        <v>-14953.53</v>
      </c>
      <c r="E96" s="390">
        <f>'A) Base RI'!X96</f>
        <v>0</v>
      </c>
      <c r="F96" s="390">
        <f>'A) Base RI'!Y96</f>
        <v>-722.76</v>
      </c>
      <c r="G96" s="394">
        <f t="shared" si="6"/>
        <v>1214400.81</v>
      </c>
      <c r="H96" s="10">
        <f>+'A) Base RI'!E96</f>
        <v>0</v>
      </c>
      <c r="I96" s="10">
        <f>+'A) Base RI'!F96</f>
        <v>0</v>
      </c>
      <c r="J96" s="10">
        <f>+'A) Base RI'!G96+'A) Base RI'!H96+'A) Base RI'!S96</f>
        <v>23561.19</v>
      </c>
      <c r="K96" s="10">
        <f>+'A) Base RI'!I96</f>
        <v>0</v>
      </c>
      <c r="L96" s="10">
        <f>+'A) Base RI'!J96</f>
        <v>17186.439999999999</v>
      </c>
      <c r="M96" s="10">
        <f>+'A) Base RI'!K96</f>
        <v>3712.6</v>
      </c>
      <c r="N96" s="10">
        <f>+'A) Base RI'!Q96</f>
        <v>11328.51</v>
      </c>
      <c r="O96" s="10">
        <f t="shared" si="7"/>
        <v>131181.29999999999</v>
      </c>
      <c r="P96" s="10">
        <f>+'A) Base RI'!L96</f>
        <v>131181.29999999999</v>
      </c>
      <c r="Q96" s="402">
        <f>'A) Base RI'!Z96</f>
        <v>1</v>
      </c>
      <c r="R96" s="394">
        <f t="shared" si="8"/>
        <v>1401370.85</v>
      </c>
      <c r="S96" s="437">
        <f>+'A) Base RI'!U96</f>
        <v>71.5</v>
      </c>
      <c r="T96" s="394">
        <f t="shared" si="9"/>
        <v>1266476.95</v>
      </c>
      <c r="U96" s="394">
        <f t="shared" si="10"/>
        <v>19599.59230769231</v>
      </c>
      <c r="V96" s="10">
        <f>+'A) Base RI'!O96</f>
        <v>227946.4</v>
      </c>
      <c r="W96" s="10">
        <f>+'A) Base RI'!P96</f>
        <v>76656.100000000006</v>
      </c>
      <c r="X96" s="10">
        <f>+'A) Base RI'!R96</f>
        <v>50034.55</v>
      </c>
      <c r="Y96" s="394">
        <f t="shared" si="11"/>
        <v>354637.05</v>
      </c>
      <c r="Z96" s="10">
        <f>+'A) Base RI'!N96</f>
        <v>78794.899999999994</v>
      </c>
      <c r="AA96" s="10">
        <f>'A) Base RI'!V96</f>
        <v>657</v>
      </c>
    </row>
    <row r="97" spans="1:27" x14ac:dyDescent="0.25">
      <c r="A97" s="8">
        <f>'A) Base RI'!A97</f>
        <v>5553</v>
      </c>
      <c r="B97" s="32" t="str">
        <f>'A) Base RI'!B97</f>
        <v>Champagne</v>
      </c>
      <c r="C97" s="10">
        <f>'A) Base RI'!C97+'A) Base RI'!D97</f>
        <v>2113611.94</v>
      </c>
      <c r="D97" s="10">
        <f>'A) Base RI'!W97</f>
        <v>-20140.669999999998</v>
      </c>
      <c r="E97" s="390">
        <f>'A) Base RI'!X97</f>
        <v>0</v>
      </c>
      <c r="F97" s="390">
        <f>'A) Base RI'!Y97</f>
        <v>-7313.13</v>
      </c>
      <c r="G97" s="394">
        <f t="shared" si="6"/>
        <v>2086158.1400000001</v>
      </c>
      <c r="H97" s="10">
        <f>+'A) Base RI'!E97</f>
        <v>0</v>
      </c>
      <c r="I97" s="10">
        <f>+'A) Base RI'!F97</f>
        <v>0</v>
      </c>
      <c r="J97" s="10">
        <f>+'A) Base RI'!G97+'A) Base RI'!H97+'A) Base RI'!S97</f>
        <v>216052.34</v>
      </c>
      <c r="K97" s="10">
        <f>+'A) Base RI'!I97</f>
        <v>0</v>
      </c>
      <c r="L97" s="10">
        <f>+'A) Base RI'!J97</f>
        <v>48540.18</v>
      </c>
      <c r="M97" s="10">
        <f>+'A) Base RI'!K97</f>
        <v>21370.05</v>
      </c>
      <c r="N97" s="10">
        <f>+'A) Base RI'!Q97</f>
        <v>0</v>
      </c>
      <c r="O97" s="10">
        <f t="shared" si="7"/>
        <v>233568.45</v>
      </c>
      <c r="P97" s="10">
        <f>+'A) Base RI'!L97</f>
        <v>233568.45</v>
      </c>
      <c r="Q97" s="402">
        <f>'A) Base RI'!Z97</f>
        <v>1</v>
      </c>
      <c r="R97" s="394">
        <f t="shared" si="8"/>
        <v>2605689.16</v>
      </c>
      <c r="S97" s="437">
        <f>+'A) Base RI'!U97</f>
        <v>65</v>
      </c>
      <c r="T97" s="394">
        <f t="shared" si="9"/>
        <v>2350750.66</v>
      </c>
      <c r="U97" s="394">
        <f t="shared" si="10"/>
        <v>40087.525538461538</v>
      </c>
      <c r="V97" s="10">
        <f>+'A) Base RI'!O97</f>
        <v>28932.5</v>
      </c>
      <c r="W97" s="10">
        <f>+'A) Base RI'!P97</f>
        <v>101171.15</v>
      </c>
      <c r="X97" s="10">
        <f>+'A) Base RI'!R97</f>
        <v>19499.150000000001</v>
      </c>
      <c r="Y97" s="394">
        <f t="shared" si="11"/>
        <v>149602.79999999999</v>
      </c>
      <c r="Z97" s="10">
        <f>+'A) Base RI'!N97</f>
        <v>162665.4</v>
      </c>
      <c r="AA97" s="10">
        <f>'A) Base RI'!V97</f>
        <v>1085</v>
      </c>
    </row>
    <row r="98" spans="1:27" x14ac:dyDescent="0.25">
      <c r="A98" s="8">
        <f>'A) Base RI'!A98</f>
        <v>5554</v>
      </c>
      <c r="B98" s="32" t="str">
        <f>'A) Base RI'!B98</f>
        <v>Concise</v>
      </c>
      <c r="C98" s="10">
        <f>'A) Base RI'!C98+'A) Base RI'!D98</f>
        <v>2116058.58</v>
      </c>
      <c r="D98" s="10">
        <f>'A) Base RI'!W98</f>
        <v>-39597.93</v>
      </c>
      <c r="E98" s="390">
        <f>'A) Base RI'!X98</f>
        <v>0</v>
      </c>
      <c r="F98" s="390">
        <f>'A) Base RI'!Y98</f>
        <v>-1339.63</v>
      </c>
      <c r="G98" s="394">
        <f t="shared" si="6"/>
        <v>2075121.0200000003</v>
      </c>
      <c r="H98" s="10">
        <f>+'A) Base RI'!E98</f>
        <v>0</v>
      </c>
      <c r="I98" s="10">
        <f>+'A) Base RI'!F98</f>
        <v>0</v>
      </c>
      <c r="J98" s="10">
        <f>+'A) Base RI'!G98+'A) Base RI'!H98+'A) Base RI'!S98</f>
        <v>61642.770000000004</v>
      </c>
      <c r="K98" s="10">
        <f>+'A) Base RI'!I98</f>
        <v>0</v>
      </c>
      <c r="L98" s="10">
        <f>+'A) Base RI'!J98</f>
        <v>31332.63</v>
      </c>
      <c r="M98" s="10">
        <f>+'A) Base RI'!K98</f>
        <v>2051.9</v>
      </c>
      <c r="N98" s="10">
        <f>+'A) Base RI'!Q98</f>
        <v>6877.31</v>
      </c>
      <c r="O98" s="10">
        <f t="shared" si="7"/>
        <v>185608.15</v>
      </c>
      <c r="P98" s="10">
        <f>+'A) Base RI'!L98</f>
        <v>185608.15</v>
      </c>
      <c r="Q98" s="402">
        <f>'A) Base RI'!Z98</f>
        <v>1</v>
      </c>
      <c r="R98" s="394">
        <f t="shared" si="8"/>
        <v>2362633.7799999998</v>
      </c>
      <c r="S98" s="437">
        <f>+'A) Base RI'!U98</f>
        <v>75</v>
      </c>
      <c r="T98" s="394">
        <f t="shared" si="9"/>
        <v>2174973.73</v>
      </c>
      <c r="U98" s="394">
        <f t="shared" si="10"/>
        <v>31501.78373333333</v>
      </c>
      <c r="V98" s="10">
        <f>+'A) Base RI'!O98</f>
        <v>1202967</v>
      </c>
      <c r="W98" s="10">
        <f>+'A) Base RI'!P98</f>
        <v>86390.3</v>
      </c>
      <c r="X98" s="10">
        <f>+'A) Base RI'!R98</f>
        <v>48182.400000000001</v>
      </c>
      <c r="Y98" s="394">
        <f t="shared" si="11"/>
        <v>1337539.7</v>
      </c>
      <c r="Z98" s="10">
        <f>+'A) Base RI'!N98</f>
        <v>21995.5</v>
      </c>
      <c r="AA98" s="10">
        <f>'A) Base RI'!V98</f>
        <v>1004</v>
      </c>
    </row>
    <row r="99" spans="1:27" x14ac:dyDescent="0.25">
      <c r="A99" s="8">
        <f>'A) Base RI'!A99</f>
        <v>5555</v>
      </c>
      <c r="B99" s="32" t="str">
        <f>'A) Base RI'!B99</f>
        <v>Corcelles-près-Concise</v>
      </c>
      <c r="C99" s="10">
        <f>'A) Base RI'!C99+'A) Base RI'!D99</f>
        <v>830178.77</v>
      </c>
      <c r="D99" s="10">
        <f>'A) Base RI'!W99</f>
        <v>-7241.25</v>
      </c>
      <c r="E99" s="390">
        <f>'A) Base RI'!X99</f>
        <v>0</v>
      </c>
      <c r="F99" s="390">
        <f>'A) Base RI'!Y99</f>
        <v>-102.53</v>
      </c>
      <c r="G99" s="394">
        <f t="shared" si="6"/>
        <v>822834.99</v>
      </c>
      <c r="H99" s="10">
        <f>+'A) Base RI'!E99</f>
        <v>0</v>
      </c>
      <c r="I99" s="10">
        <f>+'A) Base RI'!F99</f>
        <v>0</v>
      </c>
      <c r="J99" s="10">
        <f>+'A) Base RI'!G99+'A) Base RI'!H99+'A) Base RI'!S99</f>
        <v>12672.54</v>
      </c>
      <c r="K99" s="10">
        <f>+'A) Base RI'!I99</f>
        <v>0</v>
      </c>
      <c r="L99" s="10">
        <f>+'A) Base RI'!J99</f>
        <v>26612.47</v>
      </c>
      <c r="M99" s="10">
        <f>+'A) Base RI'!K99</f>
        <v>2228.6999999999998</v>
      </c>
      <c r="N99" s="10">
        <f>+'A) Base RI'!Q99</f>
        <v>877.19</v>
      </c>
      <c r="O99" s="10">
        <f t="shared" si="7"/>
        <v>92373.15</v>
      </c>
      <c r="P99" s="10">
        <f>+'A) Base RI'!L99</f>
        <v>92373.15</v>
      </c>
      <c r="Q99" s="402">
        <f>'A) Base RI'!Z99</f>
        <v>1</v>
      </c>
      <c r="R99" s="394">
        <f t="shared" si="8"/>
        <v>957599.03999999992</v>
      </c>
      <c r="S99" s="437">
        <f>+'A) Base RI'!U99</f>
        <v>69</v>
      </c>
      <c r="T99" s="394">
        <f t="shared" si="9"/>
        <v>862997.19</v>
      </c>
      <c r="U99" s="394">
        <f t="shared" si="10"/>
        <v>13878.246956521738</v>
      </c>
      <c r="V99" s="10">
        <f>+'A) Base RI'!O99</f>
        <v>84602.9</v>
      </c>
      <c r="W99" s="10">
        <f>+'A) Base RI'!P99</f>
        <v>11110</v>
      </c>
      <c r="X99" s="10">
        <f>+'A) Base RI'!R99</f>
        <v>3845.4</v>
      </c>
      <c r="Y99" s="394">
        <f t="shared" si="11"/>
        <v>99558.299999999988</v>
      </c>
      <c r="Z99" s="10">
        <f>+'A) Base RI'!N99</f>
        <v>10061.950000000001</v>
      </c>
      <c r="AA99" s="10">
        <f>'A) Base RI'!V99</f>
        <v>417</v>
      </c>
    </row>
    <row r="100" spans="1:27" x14ac:dyDescent="0.25">
      <c r="A100" s="8">
        <f>'A) Base RI'!A100</f>
        <v>5556</v>
      </c>
      <c r="B100" s="32" t="str">
        <f>'A) Base RI'!B100</f>
        <v>Fiez</v>
      </c>
      <c r="C100" s="10">
        <f>'A) Base RI'!C100+'A) Base RI'!D100</f>
        <v>814385.51</v>
      </c>
      <c r="D100" s="10">
        <f>'A) Base RI'!W100</f>
        <v>27216.78</v>
      </c>
      <c r="E100" s="390">
        <f>'A) Base RI'!X100</f>
        <v>0</v>
      </c>
      <c r="F100" s="390">
        <f>'A) Base RI'!Y100</f>
        <v>0</v>
      </c>
      <c r="G100" s="394">
        <f t="shared" si="6"/>
        <v>841602.29</v>
      </c>
      <c r="H100" s="10">
        <f>+'A) Base RI'!E100</f>
        <v>0</v>
      </c>
      <c r="I100" s="10">
        <f>+'A) Base RI'!F100</f>
        <v>2480</v>
      </c>
      <c r="J100" s="10">
        <f>+'A) Base RI'!G100+'A) Base RI'!H100+'A) Base RI'!S100</f>
        <v>68896.010000000009</v>
      </c>
      <c r="K100" s="10">
        <f>+'A) Base RI'!I100</f>
        <v>0</v>
      </c>
      <c r="L100" s="10">
        <f>+'A) Base RI'!J100</f>
        <v>16887.919999999998</v>
      </c>
      <c r="M100" s="10">
        <f>+'A) Base RI'!K100</f>
        <v>1271.6500000000001</v>
      </c>
      <c r="N100" s="10">
        <f>+'A) Base RI'!Q100</f>
        <v>0</v>
      </c>
      <c r="O100" s="10">
        <f t="shared" si="7"/>
        <v>74721.208333333328</v>
      </c>
      <c r="P100" s="10">
        <f>+'A) Base RI'!L100</f>
        <v>89665.45</v>
      </c>
      <c r="Q100" s="402">
        <f>'A) Base RI'!Z100</f>
        <v>1.2</v>
      </c>
      <c r="R100" s="394">
        <f t="shared" si="8"/>
        <v>1005859.0783333335</v>
      </c>
      <c r="S100" s="437">
        <f>+'A) Base RI'!U100</f>
        <v>69</v>
      </c>
      <c r="T100" s="394">
        <f t="shared" si="9"/>
        <v>927386.22000000009</v>
      </c>
      <c r="U100" s="394">
        <f t="shared" si="10"/>
        <v>14577.66780193237</v>
      </c>
      <c r="V100" s="10">
        <f>+'A) Base RI'!O100</f>
        <v>163.5</v>
      </c>
      <c r="W100" s="10">
        <f>+'A) Base RI'!P100</f>
        <v>40028.6</v>
      </c>
      <c r="X100" s="10">
        <f>+'A) Base RI'!R100</f>
        <v>17644.650000000001</v>
      </c>
      <c r="Y100" s="394">
        <f t="shared" si="11"/>
        <v>57836.75</v>
      </c>
      <c r="Z100" s="10">
        <f>+'A) Base RI'!N100</f>
        <v>0</v>
      </c>
      <c r="AA100" s="10">
        <f>'A) Base RI'!V100</f>
        <v>442</v>
      </c>
    </row>
    <row r="101" spans="1:27" x14ac:dyDescent="0.25">
      <c r="A101" s="8">
        <f>'A) Base RI'!A101</f>
        <v>5557</v>
      </c>
      <c r="B101" s="32" t="str">
        <f>'A) Base RI'!B101</f>
        <v>Fontaines-sur-Grandson</v>
      </c>
      <c r="C101" s="10">
        <f>'A) Base RI'!C101+'A) Base RI'!D101</f>
        <v>280987.96999999997</v>
      </c>
      <c r="D101" s="10">
        <f>'A) Base RI'!W101</f>
        <v>-26565.58</v>
      </c>
      <c r="E101" s="390">
        <f>'A) Base RI'!X101</f>
        <v>0</v>
      </c>
      <c r="F101" s="390">
        <f>'A) Base RI'!Y101</f>
        <v>-0.03</v>
      </c>
      <c r="G101" s="394">
        <f t="shared" si="6"/>
        <v>254422.35999999996</v>
      </c>
      <c r="H101" s="10">
        <f>+'A) Base RI'!E101</f>
        <v>0</v>
      </c>
      <c r="I101" s="10">
        <f>+'A) Base RI'!F101</f>
        <v>899.15</v>
      </c>
      <c r="J101" s="10">
        <f>+'A) Base RI'!G101+'A) Base RI'!H101+'A) Base RI'!S101</f>
        <v>836.06</v>
      </c>
      <c r="K101" s="10">
        <f>+'A) Base RI'!I101</f>
        <v>0</v>
      </c>
      <c r="L101" s="10">
        <f>+'A) Base RI'!J101</f>
        <v>436.59</v>
      </c>
      <c r="M101" s="10">
        <f>+'A) Base RI'!K101</f>
        <v>-284.55</v>
      </c>
      <c r="N101" s="10">
        <f>+'A) Base RI'!Q101</f>
        <v>0</v>
      </c>
      <c r="O101" s="10">
        <f t="shared" si="7"/>
        <v>35749.800000000003</v>
      </c>
      <c r="P101" s="10">
        <f>+'A) Base RI'!L101</f>
        <v>35749.800000000003</v>
      </c>
      <c r="Q101" s="402">
        <f>'A) Base RI'!Z101</f>
        <v>1</v>
      </c>
      <c r="R101" s="394">
        <f t="shared" si="8"/>
        <v>292059.40999999997</v>
      </c>
      <c r="S101" s="437">
        <f>+'A) Base RI'!U101</f>
        <v>69</v>
      </c>
      <c r="T101" s="394">
        <f t="shared" si="9"/>
        <v>255695.00999999995</v>
      </c>
      <c r="U101" s="394">
        <f t="shared" si="10"/>
        <v>4232.7450724637674</v>
      </c>
      <c r="V101" s="10">
        <f>+'A) Base RI'!O101</f>
        <v>0</v>
      </c>
      <c r="W101" s="10">
        <f>+'A) Base RI'!P101</f>
        <v>10651.8</v>
      </c>
      <c r="X101" s="10">
        <f>+'A) Base RI'!R101</f>
        <v>2611</v>
      </c>
      <c r="Y101" s="394">
        <f t="shared" si="11"/>
        <v>13262.8</v>
      </c>
      <c r="Z101" s="10">
        <f>+'A) Base RI'!N101</f>
        <v>0</v>
      </c>
      <c r="AA101" s="10">
        <f>'A) Base RI'!V101</f>
        <v>220</v>
      </c>
    </row>
    <row r="102" spans="1:27" x14ac:dyDescent="0.25">
      <c r="A102" s="8">
        <f>'A) Base RI'!A102</f>
        <v>5559</v>
      </c>
      <c r="B102" s="32" t="str">
        <f>'A) Base RI'!B102</f>
        <v>Giez</v>
      </c>
      <c r="C102" s="10">
        <f>'A) Base RI'!C102+'A) Base RI'!D102</f>
        <v>1246409.25</v>
      </c>
      <c r="D102" s="10">
        <f>'A) Base RI'!W102</f>
        <v>-15550.54</v>
      </c>
      <c r="E102" s="390">
        <f>'A) Base RI'!X102</f>
        <v>0</v>
      </c>
      <c r="F102" s="390">
        <f>'A) Base RI'!Y102</f>
        <v>-1278.21</v>
      </c>
      <c r="G102" s="394">
        <f t="shared" si="6"/>
        <v>1229580.5</v>
      </c>
      <c r="H102" s="10">
        <f>+'A) Base RI'!E102</f>
        <v>0</v>
      </c>
      <c r="I102" s="10">
        <f>+'A) Base RI'!F102</f>
        <v>0</v>
      </c>
      <c r="J102" s="10">
        <f>+'A) Base RI'!G102+'A) Base RI'!H102+'A) Base RI'!S102</f>
        <v>202832.56999999998</v>
      </c>
      <c r="K102" s="10">
        <f>+'A) Base RI'!I102</f>
        <v>0</v>
      </c>
      <c r="L102" s="10">
        <f>+'A) Base RI'!J102</f>
        <v>18587.939999999999</v>
      </c>
      <c r="M102" s="10">
        <f>+'A) Base RI'!K102</f>
        <v>4011.5</v>
      </c>
      <c r="N102" s="10">
        <f>+'A) Base RI'!Q102</f>
        <v>20.75</v>
      </c>
      <c r="O102" s="10">
        <f t="shared" si="7"/>
        <v>91808.1</v>
      </c>
      <c r="P102" s="10">
        <f>+'A) Base RI'!L102</f>
        <v>91808.1</v>
      </c>
      <c r="Q102" s="402">
        <f>'A) Base RI'!Z102</f>
        <v>1</v>
      </c>
      <c r="R102" s="394">
        <f t="shared" si="8"/>
        <v>1546841.36</v>
      </c>
      <c r="S102" s="437">
        <f>+'A) Base RI'!U102</f>
        <v>66</v>
      </c>
      <c r="T102" s="394">
        <f t="shared" si="9"/>
        <v>1451021.76</v>
      </c>
      <c r="U102" s="394">
        <f t="shared" si="10"/>
        <v>23436.990303030303</v>
      </c>
      <c r="V102" s="10">
        <f>+'A) Base RI'!O102</f>
        <v>132502.20000000001</v>
      </c>
      <c r="W102" s="10">
        <f>+'A) Base RI'!P102</f>
        <v>13186.25</v>
      </c>
      <c r="X102" s="10">
        <f>+'A) Base RI'!R102</f>
        <v>36853.5</v>
      </c>
      <c r="Y102" s="394">
        <f t="shared" si="11"/>
        <v>182541.95</v>
      </c>
      <c r="Z102" s="10">
        <f>+'A) Base RI'!N102</f>
        <v>10451.549999999999</v>
      </c>
      <c r="AA102" s="10">
        <f>'A) Base RI'!V102</f>
        <v>443</v>
      </c>
    </row>
    <row r="103" spans="1:27" x14ac:dyDescent="0.25">
      <c r="A103" s="8">
        <f>'A) Base RI'!A103</f>
        <v>5560</v>
      </c>
      <c r="B103" s="32" t="str">
        <f>'A) Base RI'!B103</f>
        <v>Grandevent</v>
      </c>
      <c r="C103" s="10">
        <f>'A) Base RI'!C103+'A) Base RI'!D103</f>
        <v>412162.55</v>
      </c>
      <c r="D103" s="10">
        <f>'A) Base RI'!W103</f>
        <v>-530.83000000000004</v>
      </c>
      <c r="E103" s="390">
        <f>'A) Base RI'!X103</f>
        <v>0</v>
      </c>
      <c r="F103" s="390">
        <f>'A) Base RI'!Y103</f>
        <v>0</v>
      </c>
      <c r="G103" s="394">
        <f t="shared" si="6"/>
        <v>411631.72</v>
      </c>
      <c r="H103" s="10">
        <f>+'A) Base RI'!E103</f>
        <v>0</v>
      </c>
      <c r="I103" s="10">
        <f>+'A) Base RI'!F103</f>
        <v>0</v>
      </c>
      <c r="J103" s="10">
        <f>+'A) Base RI'!G103+'A) Base RI'!H103+'A) Base RI'!S103</f>
        <v>9807.84</v>
      </c>
      <c r="K103" s="10">
        <f>+'A) Base RI'!I103</f>
        <v>0</v>
      </c>
      <c r="L103" s="10">
        <f>+'A) Base RI'!J103</f>
        <v>11463.26</v>
      </c>
      <c r="M103" s="10">
        <f>+'A) Base RI'!K103</f>
        <v>624.20000000000005</v>
      </c>
      <c r="N103" s="10">
        <f>+'A) Base RI'!Q103</f>
        <v>0</v>
      </c>
      <c r="O103" s="10">
        <f t="shared" si="7"/>
        <v>42727.75</v>
      </c>
      <c r="P103" s="10">
        <f>+'A) Base RI'!L103</f>
        <v>42727.75</v>
      </c>
      <c r="Q103" s="402">
        <f>'A) Base RI'!Z103</f>
        <v>1</v>
      </c>
      <c r="R103" s="394">
        <f t="shared" si="8"/>
        <v>476254.77</v>
      </c>
      <c r="S103" s="437">
        <f>+'A) Base RI'!U103</f>
        <v>68</v>
      </c>
      <c r="T103" s="394">
        <f t="shared" si="9"/>
        <v>432902.82</v>
      </c>
      <c r="U103" s="394">
        <f t="shared" si="10"/>
        <v>7003.7466176470589</v>
      </c>
      <c r="V103" s="10">
        <f>+'A) Base RI'!O103</f>
        <v>0</v>
      </c>
      <c r="W103" s="10">
        <f>+'A) Base RI'!P103</f>
        <v>51709.9</v>
      </c>
      <c r="X103" s="10">
        <f>+'A) Base RI'!R103</f>
        <v>36002.300000000003</v>
      </c>
      <c r="Y103" s="394">
        <f t="shared" si="11"/>
        <v>87712.200000000012</v>
      </c>
      <c r="Z103" s="10">
        <f>+'A) Base RI'!N103</f>
        <v>0</v>
      </c>
      <c r="AA103" s="10">
        <f>'A) Base RI'!V103</f>
        <v>238</v>
      </c>
    </row>
    <row r="104" spans="1:27" x14ac:dyDescent="0.25">
      <c r="A104" s="8">
        <f>'A) Base RI'!A104</f>
        <v>5561</v>
      </c>
      <c r="B104" s="32" t="str">
        <f>'A) Base RI'!B104</f>
        <v>Grandson</v>
      </c>
      <c r="C104" s="10">
        <f>'A) Base RI'!C104+'A) Base RI'!D104</f>
        <v>6987138.8900000006</v>
      </c>
      <c r="D104" s="10">
        <f>'A) Base RI'!W104</f>
        <v>-118347.03</v>
      </c>
      <c r="E104" s="390">
        <f>'A) Base RI'!X104</f>
        <v>0</v>
      </c>
      <c r="F104" s="390">
        <f>'A) Base RI'!Y104</f>
        <v>-2119.89</v>
      </c>
      <c r="G104" s="394">
        <f t="shared" si="6"/>
        <v>6866671.9700000007</v>
      </c>
      <c r="H104" s="10">
        <f>+'A) Base RI'!E104</f>
        <v>0</v>
      </c>
      <c r="I104" s="10">
        <f>+'A) Base RI'!F104</f>
        <v>0</v>
      </c>
      <c r="J104" s="10">
        <f>+'A) Base RI'!G104+'A) Base RI'!H104+'A) Base RI'!S104</f>
        <v>211676.05000000002</v>
      </c>
      <c r="K104" s="10">
        <f>+'A) Base RI'!I104</f>
        <v>0</v>
      </c>
      <c r="L104" s="10">
        <f>+'A) Base RI'!J104</f>
        <v>111885.77</v>
      </c>
      <c r="M104" s="10">
        <f>+'A) Base RI'!K104</f>
        <v>41708.949999999997</v>
      </c>
      <c r="N104" s="10">
        <f>+'A) Base RI'!Q104</f>
        <v>30628.639999999999</v>
      </c>
      <c r="O104" s="10">
        <f t="shared" si="7"/>
        <v>638346.1</v>
      </c>
      <c r="P104" s="10">
        <f>+'A) Base RI'!L104</f>
        <v>638346.1</v>
      </c>
      <c r="Q104" s="402">
        <f>'A) Base RI'!Z104</f>
        <v>1</v>
      </c>
      <c r="R104" s="394">
        <f t="shared" si="8"/>
        <v>7900917.4799999995</v>
      </c>
      <c r="S104" s="437">
        <f>+'A) Base RI'!U104</f>
        <v>69</v>
      </c>
      <c r="T104" s="394">
        <f t="shared" si="9"/>
        <v>7220862.4299999997</v>
      </c>
      <c r="U104" s="394">
        <f t="shared" si="10"/>
        <v>114506.05043478261</v>
      </c>
      <c r="V104" s="10">
        <f>+'A) Base RI'!O104</f>
        <v>540216</v>
      </c>
      <c r="W104" s="10">
        <f>+'A) Base RI'!P104</f>
        <v>312776.40000000002</v>
      </c>
      <c r="X104" s="10">
        <f>+'A) Base RI'!R104</f>
        <v>196038.35</v>
      </c>
      <c r="Y104" s="394">
        <f t="shared" si="11"/>
        <v>1049030.75</v>
      </c>
      <c r="Z104" s="10">
        <f>+'A) Base RI'!N104</f>
        <v>378118.75</v>
      </c>
      <c r="AA104" s="10">
        <f>'A) Base RI'!V104</f>
        <v>3366</v>
      </c>
    </row>
    <row r="105" spans="1:27" x14ac:dyDescent="0.25">
      <c r="A105" s="8">
        <f>'A) Base RI'!A105</f>
        <v>5562</v>
      </c>
      <c r="B105" s="32" t="str">
        <f>'A) Base RI'!B105</f>
        <v>Mauborget</v>
      </c>
      <c r="C105" s="10">
        <f>'A) Base RI'!C105+'A) Base RI'!D105</f>
        <v>386683.26</v>
      </c>
      <c r="D105" s="10">
        <f>'A) Base RI'!W105</f>
        <v>-3768.08</v>
      </c>
      <c r="E105" s="390">
        <f>'A) Base RI'!X105</f>
        <v>0</v>
      </c>
      <c r="F105" s="390">
        <f>'A) Base RI'!Y105</f>
        <v>-38.15</v>
      </c>
      <c r="G105" s="394">
        <f t="shared" si="6"/>
        <v>382877.02999999997</v>
      </c>
      <c r="H105" s="10">
        <f>+'A) Base RI'!E105</f>
        <v>0</v>
      </c>
      <c r="I105" s="10">
        <f>+'A) Base RI'!F105</f>
        <v>920</v>
      </c>
      <c r="J105" s="10">
        <f>+'A) Base RI'!G105+'A) Base RI'!H105+'A) Base RI'!S105</f>
        <v>1476.19</v>
      </c>
      <c r="K105" s="10">
        <f>+'A) Base RI'!I105</f>
        <v>0</v>
      </c>
      <c r="L105" s="10">
        <f>+'A) Base RI'!J105</f>
        <v>5376.73</v>
      </c>
      <c r="M105" s="10">
        <f>+'A) Base RI'!K105</f>
        <v>1974.5</v>
      </c>
      <c r="N105" s="10">
        <f>+'A) Base RI'!Q105</f>
        <v>3932.26</v>
      </c>
      <c r="O105" s="10">
        <f t="shared" si="7"/>
        <v>30407.708333333336</v>
      </c>
      <c r="P105" s="10">
        <f>+'A) Base RI'!L105</f>
        <v>36489.25</v>
      </c>
      <c r="Q105" s="402">
        <f>'A) Base RI'!Z105</f>
        <v>1.2</v>
      </c>
      <c r="R105" s="394">
        <f t="shared" si="8"/>
        <v>426964.41833333328</v>
      </c>
      <c r="S105" s="437">
        <f>+'A) Base RI'!U105</f>
        <v>70</v>
      </c>
      <c r="T105" s="394">
        <f t="shared" si="9"/>
        <v>393662.20999999996</v>
      </c>
      <c r="U105" s="394">
        <f t="shared" si="10"/>
        <v>6099.4916904761894</v>
      </c>
      <c r="V105" s="10">
        <f>+'A) Base RI'!O105</f>
        <v>-5394.6</v>
      </c>
      <c r="W105" s="10">
        <f>+'A) Base RI'!P105</f>
        <v>24640</v>
      </c>
      <c r="X105" s="10">
        <f>+'A) Base RI'!R105</f>
        <v>24614.75</v>
      </c>
      <c r="Y105" s="394">
        <f t="shared" si="11"/>
        <v>43860.15</v>
      </c>
      <c r="Z105" s="10">
        <f>+'A) Base RI'!N105</f>
        <v>278.8</v>
      </c>
      <c r="AA105" s="10">
        <f>'A) Base RI'!V105</f>
        <v>137</v>
      </c>
    </row>
    <row r="106" spans="1:27" x14ac:dyDescent="0.25">
      <c r="A106" s="8">
        <f>'A) Base RI'!A106</f>
        <v>5563</v>
      </c>
      <c r="B106" s="32" t="str">
        <f>'A) Base RI'!B106</f>
        <v>Mutrux</v>
      </c>
      <c r="C106" s="10">
        <f>'A) Base RI'!C106+'A) Base RI'!D106</f>
        <v>321881.7</v>
      </c>
      <c r="D106" s="10">
        <f>'A) Base RI'!W106</f>
        <v>-2986.73</v>
      </c>
      <c r="E106" s="390">
        <f>'A) Base RI'!X106</f>
        <v>0</v>
      </c>
      <c r="F106" s="390">
        <f>'A) Base RI'!Y106</f>
        <v>0</v>
      </c>
      <c r="G106" s="394">
        <f t="shared" si="6"/>
        <v>318894.97000000003</v>
      </c>
      <c r="H106" s="10">
        <f>+'A) Base RI'!E106</f>
        <v>0</v>
      </c>
      <c r="I106" s="10">
        <f>+'A) Base RI'!F106</f>
        <v>540</v>
      </c>
      <c r="J106" s="10">
        <f>+'A) Base RI'!G106+'A) Base RI'!H106+'A) Base RI'!S106</f>
        <v>541.04999999999995</v>
      </c>
      <c r="K106" s="10">
        <f>+'A) Base RI'!I106</f>
        <v>0</v>
      </c>
      <c r="L106" s="10">
        <f>+'A) Base RI'!J106</f>
        <v>728.75</v>
      </c>
      <c r="M106" s="10">
        <f>+'A) Base RI'!K106</f>
        <v>0</v>
      </c>
      <c r="N106" s="10">
        <f>+'A) Base RI'!Q106</f>
        <v>0</v>
      </c>
      <c r="O106" s="10">
        <f t="shared" si="7"/>
        <v>21873.75</v>
      </c>
      <c r="P106" s="10">
        <f>+'A) Base RI'!L106</f>
        <v>21873.75</v>
      </c>
      <c r="Q106" s="402">
        <f>'A) Base RI'!Z106</f>
        <v>1</v>
      </c>
      <c r="R106" s="394">
        <f t="shared" si="8"/>
        <v>342578.52</v>
      </c>
      <c r="S106" s="437">
        <f>+'A) Base RI'!U106</f>
        <v>80</v>
      </c>
      <c r="T106" s="394">
        <f t="shared" si="9"/>
        <v>320164.77</v>
      </c>
      <c r="U106" s="394">
        <f t="shared" si="10"/>
        <v>4282.2314999999999</v>
      </c>
      <c r="V106" s="10">
        <f>+'A) Base RI'!O106</f>
        <v>45.6</v>
      </c>
      <c r="W106" s="10">
        <f>+'A) Base RI'!P106</f>
        <v>36561.25</v>
      </c>
      <c r="X106" s="10">
        <f>+'A) Base RI'!R106</f>
        <v>42313</v>
      </c>
      <c r="Y106" s="394">
        <f t="shared" si="11"/>
        <v>78919.850000000006</v>
      </c>
      <c r="Z106" s="10">
        <f>+'A) Base RI'!N106</f>
        <v>0</v>
      </c>
      <c r="AA106" s="10">
        <f>'A) Base RI'!V106</f>
        <v>151</v>
      </c>
    </row>
    <row r="107" spans="1:27" x14ac:dyDescent="0.25">
      <c r="A107" s="8">
        <f>'A) Base RI'!A107</f>
        <v>5564</v>
      </c>
      <c r="B107" s="32" t="str">
        <f>'A) Base RI'!B107</f>
        <v>Novalles</v>
      </c>
      <c r="C107" s="10">
        <f>'A) Base RI'!C107+'A) Base RI'!D107</f>
        <v>146122.71</v>
      </c>
      <c r="D107" s="10">
        <f>'A) Base RI'!W107</f>
        <v>-916.18</v>
      </c>
      <c r="E107" s="390">
        <f>'A) Base RI'!X107</f>
        <v>0</v>
      </c>
      <c r="F107" s="390">
        <f>'A) Base RI'!Y107</f>
        <v>0</v>
      </c>
      <c r="G107" s="394">
        <f t="shared" si="6"/>
        <v>145206.53</v>
      </c>
      <c r="H107" s="10">
        <f>+'A) Base RI'!E107</f>
        <v>0</v>
      </c>
      <c r="I107" s="10">
        <f>+'A) Base RI'!F107</f>
        <v>0</v>
      </c>
      <c r="J107" s="10">
        <f>+'A) Base RI'!G107+'A) Base RI'!H107+'A) Base RI'!S107</f>
        <v>91.06</v>
      </c>
      <c r="K107" s="10">
        <f>+'A) Base RI'!I107</f>
        <v>0</v>
      </c>
      <c r="L107" s="10">
        <f>+'A) Base RI'!J107</f>
        <v>0</v>
      </c>
      <c r="M107" s="10">
        <f>+'A) Base RI'!K107</f>
        <v>0</v>
      </c>
      <c r="N107" s="10">
        <f>+'A) Base RI'!Q107</f>
        <v>0</v>
      </c>
      <c r="O107" s="10">
        <f t="shared" si="7"/>
        <v>14268.0625</v>
      </c>
      <c r="P107" s="10">
        <f>+'A) Base RI'!L107</f>
        <v>11414.45</v>
      </c>
      <c r="Q107" s="402">
        <f>'A) Base RI'!Z107</f>
        <v>0.8</v>
      </c>
      <c r="R107" s="394">
        <f t="shared" si="8"/>
        <v>159565.6525</v>
      </c>
      <c r="S107" s="437">
        <f>+'A) Base RI'!U107</f>
        <v>76</v>
      </c>
      <c r="T107" s="394">
        <f t="shared" si="9"/>
        <v>145297.59</v>
      </c>
      <c r="U107" s="394">
        <f t="shared" si="10"/>
        <v>2099.5480592105264</v>
      </c>
      <c r="V107" s="10">
        <f>+'A) Base RI'!O107</f>
        <v>736.4</v>
      </c>
      <c r="W107" s="10">
        <f>+'A) Base RI'!P107</f>
        <v>1127.6500000000001</v>
      </c>
      <c r="X107" s="10">
        <f>+'A) Base RI'!R107</f>
        <v>1787.5</v>
      </c>
      <c r="Y107" s="394">
        <f t="shared" si="11"/>
        <v>3651.55</v>
      </c>
      <c r="Z107" s="10">
        <f>+'A) Base RI'!N107</f>
        <v>0</v>
      </c>
      <c r="AA107" s="10">
        <f>'A) Base RI'!V107</f>
        <v>103</v>
      </c>
    </row>
    <row r="108" spans="1:27" x14ac:dyDescent="0.25">
      <c r="A108" s="8">
        <f>'A) Base RI'!A108</f>
        <v>5565</v>
      </c>
      <c r="B108" s="32" t="str">
        <f>'A) Base RI'!B108</f>
        <v>Onnens</v>
      </c>
      <c r="C108" s="10">
        <f>'A) Base RI'!C108+'A) Base RI'!D108</f>
        <v>887833.05999999994</v>
      </c>
      <c r="D108" s="10">
        <f>'A) Base RI'!W108</f>
        <v>-4179</v>
      </c>
      <c r="E108" s="390">
        <f>'A) Base RI'!X108</f>
        <v>0</v>
      </c>
      <c r="F108" s="390">
        <f>'A) Base RI'!Y108</f>
        <v>-0.6</v>
      </c>
      <c r="G108" s="394">
        <f t="shared" si="6"/>
        <v>883653.46</v>
      </c>
      <c r="H108" s="10">
        <f>+'A) Base RI'!E108</f>
        <v>0</v>
      </c>
      <c r="I108" s="10">
        <f>+'A) Base RI'!F108</f>
        <v>0</v>
      </c>
      <c r="J108" s="10">
        <f>+'A) Base RI'!G108+'A) Base RI'!H108+'A) Base RI'!S108</f>
        <v>397005.52999999997</v>
      </c>
      <c r="K108" s="10">
        <f>+'A) Base RI'!I108</f>
        <v>0</v>
      </c>
      <c r="L108" s="10">
        <f>+'A) Base RI'!J108</f>
        <v>6667.67</v>
      </c>
      <c r="M108" s="10">
        <f>+'A) Base RI'!K108</f>
        <v>24118.65</v>
      </c>
      <c r="N108" s="10">
        <f>+'A) Base RI'!Q108</f>
        <v>3.4</v>
      </c>
      <c r="O108" s="10">
        <f t="shared" si="7"/>
        <v>130218.95</v>
      </c>
      <c r="P108" s="10">
        <f>+'A) Base RI'!L108</f>
        <v>130218.95</v>
      </c>
      <c r="Q108" s="402">
        <f>'A) Base RI'!Z108</f>
        <v>1</v>
      </c>
      <c r="R108" s="394">
        <f t="shared" si="8"/>
        <v>1441667.6599999997</v>
      </c>
      <c r="S108" s="437">
        <f>+'A) Base RI'!U108</f>
        <v>63.5</v>
      </c>
      <c r="T108" s="394">
        <f t="shared" si="9"/>
        <v>1287330.0599999998</v>
      </c>
      <c r="U108" s="394">
        <f t="shared" si="10"/>
        <v>22703.427716535429</v>
      </c>
      <c r="V108" s="10">
        <f>+'A) Base RI'!O108</f>
        <v>0</v>
      </c>
      <c r="W108" s="10">
        <f>+'A) Base RI'!P108</f>
        <v>45942.6</v>
      </c>
      <c r="X108" s="10">
        <f>+'A) Base RI'!R108</f>
        <v>29182.05</v>
      </c>
      <c r="Y108" s="394">
        <f t="shared" si="11"/>
        <v>75124.649999999994</v>
      </c>
      <c r="Z108" s="10">
        <f>+'A) Base RI'!N108</f>
        <v>63286.3</v>
      </c>
      <c r="AA108" s="10">
        <f>'A) Base RI'!V108</f>
        <v>495</v>
      </c>
    </row>
    <row r="109" spans="1:27" x14ac:dyDescent="0.25">
      <c r="A109" s="8">
        <f>'A) Base RI'!A109</f>
        <v>5566</v>
      </c>
      <c r="B109" s="32" t="str">
        <f>'A) Base RI'!B109</f>
        <v>Provence</v>
      </c>
      <c r="C109" s="10">
        <f>'A) Base RI'!C109+'A) Base RI'!D109</f>
        <v>681714.19</v>
      </c>
      <c r="D109" s="10">
        <f>'A) Base RI'!W109</f>
        <v>-16284.01</v>
      </c>
      <c r="E109" s="390">
        <f>'A) Base RI'!X109</f>
        <v>0</v>
      </c>
      <c r="F109" s="390">
        <f>'A) Base RI'!Y109</f>
        <v>-0.1</v>
      </c>
      <c r="G109" s="394">
        <f t="shared" si="6"/>
        <v>665430.07999999996</v>
      </c>
      <c r="H109" s="10">
        <f>+'A) Base RI'!E109</f>
        <v>0</v>
      </c>
      <c r="I109" s="10">
        <f>+'A) Base RI'!F109</f>
        <v>2630</v>
      </c>
      <c r="J109" s="10">
        <f>+'A) Base RI'!G109+'A) Base RI'!H109+'A) Base RI'!S109</f>
        <v>16625.07</v>
      </c>
      <c r="K109" s="10">
        <f>+'A) Base RI'!I109</f>
        <v>0</v>
      </c>
      <c r="L109" s="10">
        <f>+'A) Base RI'!J109</f>
        <v>8166.81</v>
      </c>
      <c r="M109" s="10">
        <f>+'A) Base RI'!K109</f>
        <v>371.05</v>
      </c>
      <c r="N109" s="10">
        <f>+'A) Base RI'!Q109</f>
        <v>12552.74</v>
      </c>
      <c r="O109" s="10">
        <f t="shared" si="7"/>
        <v>53829.4</v>
      </c>
      <c r="P109" s="10">
        <f>+'A) Base RI'!L109</f>
        <v>80744.100000000006</v>
      </c>
      <c r="Q109" s="402">
        <f>'A) Base RI'!Z109</f>
        <v>1.5</v>
      </c>
      <c r="R109" s="394">
        <f t="shared" si="8"/>
        <v>759605.15</v>
      </c>
      <c r="S109" s="437">
        <f>+'A) Base RI'!U109</f>
        <v>81</v>
      </c>
      <c r="T109" s="394">
        <f t="shared" si="9"/>
        <v>702774.7</v>
      </c>
      <c r="U109" s="394">
        <f t="shared" si="10"/>
        <v>9377.8413580246925</v>
      </c>
      <c r="V109" s="10">
        <f>+'A) Base RI'!O109</f>
        <v>630</v>
      </c>
      <c r="W109" s="10">
        <f>+'A) Base RI'!P109</f>
        <v>10185.700000000001</v>
      </c>
      <c r="X109" s="10">
        <f>+'A) Base RI'!R109</f>
        <v>39935</v>
      </c>
      <c r="Y109" s="394">
        <f t="shared" si="11"/>
        <v>50750.7</v>
      </c>
      <c r="Z109" s="10">
        <f>+'A) Base RI'!N109</f>
        <v>7185.35</v>
      </c>
      <c r="AA109" s="10">
        <f>'A) Base RI'!V109</f>
        <v>403</v>
      </c>
    </row>
    <row r="110" spans="1:27" x14ac:dyDescent="0.25">
      <c r="A110" s="8">
        <f>'A) Base RI'!A110</f>
        <v>5568</v>
      </c>
      <c r="B110" s="32" t="str">
        <f>'A) Base RI'!B110</f>
        <v>Sainte-Croix</v>
      </c>
      <c r="C110" s="10">
        <f>'A) Base RI'!C110+'A) Base RI'!D110</f>
        <v>6477301.0600000005</v>
      </c>
      <c r="D110" s="10">
        <f>'A) Base RI'!W110</f>
        <v>-188721.09</v>
      </c>
      <c r="E110" s="390">
        <f>'A) Base RI'!X110</f>
        <v>0</v>
      </c>
      <c r="F110" s="390">
        <f>'A) Base RI'!Y110</f>
        <v>-3069.98</v>
      </c>
      <c r="G110" s="394">
        <f t="shared" si="6"/>
        <v>6285509.9900000002</v>
      </c>
      <c r="H110" s="10">
        <f>+'A) Base RI'!E110</f>
        <v>0</v>
      </c>
      <c r="I110" s="10">
        <f>+'A) Base RI'!F110</f>
        <v>0</v>
      </c>
      <c r="J110" s="10">
        <f>+'A) Base RI'!G110+'A) Base RI'!H110+'A) Base RI'!S110</f>
        <v>449237.56</v>
      </c>
      <c r="K110" s="10">
        <f>+'A) Base RI'!I110</f>
        <v>45476.55</v>
      </c>
      <c r="L110" s="10">
        <f>+'A) Base RI'!J110</f>
        <v>118781.81</v>
      </c>
      <c r="M110" s="10">
        <f>+'A) Base RI'!K110</f>
        <v>58362.9</v>
      </c>
      <c r="N110" s="10">
        <f>+'A) Base RI'!Q110</f>
        <v>43024.68</v>
      </c>
      <c r="O110" s="10">
        <f t="shared" si="7"/>
        <v>641637.55000000005</v>
      </c>
      <c r="P110" s="10">
        <f>+'A) Base RI'!L110</f>
        <v>641637.55000000005</v>
      </c>
      <c r="Q110" s="402">
        <f>'A) Base RI'!Z110</f>
        <v>1</v>
      </c>
      <c r="R110" s="394">
        <f t="shared" si="8"/>
        <v>7642031.0399999991</v>
      </c>
      <c r="S110" s="437">
        <f>+'A) Base RI'!U110</f>
        <v>70</v>
      </c>
      <c r="T110" s="394">
        <f t="shared" si="9"/>
        <v>6942030.5899999989</v>
      </c>
      <c r="U110" s="394">
        <f t="shared" si="10"/>
        <v>109171.87199999999</v>
      </c>
      <c r="V110" s="10">
        <f>+'A) Base RI'!O110</f>
        <v>599088.19999999995</v>
      </c>
      <c r="W110" s="10">
        <f>+'A) Base RI'!P110</f>
        <v>382005</v>
      </c>
      <c r="X110" s="10">
        <f>+'A) Base RI'!R110</f>
        <v>289286.59999999998</v>
      </c>
      <c r="Y110" s="394">
        <f t="shared" si="11"/>
        <v>1270379.7999999998</v>
      </c>
      <c r="Z110" s="10">
        <f>+'A) Base RI'!N110</f>
        <v>2053229.95</v>
      </c>
      <c r="AA110" s="10">
        <f>'A) Base RI'!V110</f>
        <v>4948</v>
      </c>
    </row>
    <row r="111" spans="1:27" x14ac:dyDescent="0.25">
      <c r="A111" s="8">
        <f>'A) Base RI'!A111</f>
        <v>5571</v>
      </c>
      <c r="B111" s="32" t="str">
        <f>'A) Base RI'!B111</f>
        <v>Tévenon</v>
      </c>
      <c r="C111" s="10">
        <f>'A) Base RI'!C111+'A) Base RI'!D111</f>
        <v>1612117.02</v>
      </c>
      <c r="D111" s="10">
        <f>'A) Base RI'!W111</f>
        <v>-8173.95</v>
      </c>
      <c r="E111" s="390">
        <f>'A) Base RI'!X111</f>
        <v>0</v>
      </c>
      <c r="F111" s="390">
        <f>'A) Base RI'!Y111</f>
        <v>0</v>
      </c>
      <c r="G111" s="394">
        <f t="shared" si="6"/>
        <v>1603943.07</v>
      </c>
      <c r="H111" s="10">
        <f>+'A) Base RI'!E111</f>
        <v>0</v>
      </c>
      <c r="I111" s="10">
        <f>+'A) Base RI'!F111</f>
        <v>0</v>
      </c>
      <c r="J111" s="10">
        <f>+'A) Base RI'!G111+'A) Base RI'!H111+'A) Base RI'!S111</f>
        <v>9842.9599999999991</v>
      </c>
      <c r="K111" s="10">
        <f>+'A) Base RI'!I111</f>
        <v>0</v>
      </c>
      <c r="L111" s="10">
        <f>+'A) Base RI'!J111</f>
        <v>21713.79</v>
      </c>
      <c r="M111" s="10">
        <f>+'A) Base RI'!K111</f>
        <v>7355.2</v>
      </c>
      <c r="N111" s="10">
        <f>+'A) Base RI'!Q111</f>
        <v>0</v>
      </c>
      <c r="O111" s="10">
        <f t="shared" si="7"/>
        <v>167899.625</v>
      </c>
      <c r="P111" s="10">
        <f>+'A) Base RI'!L111</f>
        <v>201479.55</v>
      </c>
      <c r="Q111" s="402">
        <f>'A) Base RI'!Z111</f>
        <v>1.2</v>
      </c>
      <c r="R111" s="394">
        <f t="shared" si="8"/>
        <v>1810754.645</v>
      </c>
      <c r="S111" s="437">
        <f>+'A) Base RI'!U111</f>
        <v>71.5</v>
      </c>
      <c r="T111" s="394">
        <f t="shared" si="9"/>
        <v>1635499.82</v>
      </c>
      <c r="U111" s="394">
        <f t="shared" si="10"/>
        <v>25325.239790209791</v>
      </c>
      <c r="V111" s="10">
        <f>+'A) Base RI'!O111</f>
        <v>26526.2</v>
      </c>
      <c r="W111" s="10">
        <f>+'A) Base RI'!P111</f>
        <v>73000.05</v>
      </c>
      <c r="X111" s="10">
        <f>+'A) Base RI'!R111</f>
        <v>112137.25</v>
      </c>
      <c r="Y111" s="394">
        <f t="shared" si="11"/>
        <v>211663.5</v>
      </c>
      <c r="Z111" s="10">
        <f>+'A) Base RI'!N111</f>
        <v>51246.7</v>
      </c>
      <c r="AA111" s="10">
        <f>'A) Base RI'!V111</f>
        <v>883</v>
      </c>
    </row>
    <row r="112" spans="1:27" x14ac:dyDescent="0.25">
      <c r="A112" s="8">
        <f>'A) Base RI'!A112</f>
        <v>5581</v>
      </c>
      <c r="B112" s="32" t="str">
        <f>'A) Base RI'!B112</f>
        <v>Belmont-sur-Lausanne</v>
      </c>
      <c r="C112" s="10">
        <f>'A) Base RI'!C112+'A) Base RI'!D112</f>
        <v>14292407.800000001</v>
      </c>
      <c r="D112" s="10">
        <f>'A) Base RI'!W112</f>
        <v>-65096.46</v>
      </c>
      <c r="E112" s="390">
        <f>'A) Base RI'!X112</f>
        <v>0</v>
      </c>
      <c r="F112" s="390">
        <f>'A) Base RI'!Y112</f>
        <v>-15831.7</v>
      </c>
      <c r="G112" s="394">
        <f t="shared" si="6"/>
        <v>14211479.640000001</v>
      </c>
      <c r="H112" s="10">
        <f>+'A) Base RI'!E112</f>
        <v>0</v>
      </c>
      <c r="I112" s="10">
        <f>+'A) Base RI'!F112</f>
        <v>0</v>
      </c>
      <c r="J112" s="10">
        <f>+'A) Base RI'!G112+'A) Base RI'!H112+'A) Base RI'!S112</f>
        <v>169940.52000000002</v>
      </c>
      <c r="K112" s="10">
        <f>+'A) Base RI'!I112</f>
        <v>59666.6</v>
      </c>
      <c r="L112" s="10">
        <f>+'A) Base RI'!J112</f>
        <v>50492.89</v>
      </c>
      <c r="M112" s="10">
        <f>+'A) Base RI'!K112</f>
        <v>35196.15</v>
      </c>
      <c r="N112" s="10">
        <f>+'A) Base RI'!Q112</f>
        <v>13964.06</v>
      </c>
      <c r="O112" s="10">
        <f t="shared" si="7"/>
        <v>970648.03333333333</v>
      </c>
      <c r="P112" s="10">
        <f>+'A) Base RI'!L112</f>
        <v>1455972.05</v>
      </c>
      <c r="Q112" s="402">
        <f>'A) Base RI'!Z112</f>
        <v>1.5</v>
      </c>
      <c r="R112" s="394">
        <f t="shared" si="8"/>
        <v>15511387.893333334</v>
      </c>
      <c r="S112" s="437">
        <f>+'A) Base RI'!U112</f>
        <v>72</v>
      </c>
      <c r="T112" s="394">
        <f t="shared" si="9"/>
        <v>14505543.710000001</v>
      </c>
      <c r="U112" s="394">
        <f t="shared" si="10"/>
        <v>215435.94296296299</v>
      </c>
      <c r="V112" s="10">
        <f>+'A) Base RI'!O112</f>
        <v>72349.5</v>
      </c>
      <c r="W112" s="10">
        <f>+'A) Base RI'!P112</f>
        <v>820976.65</v>
      </c>
      <c r="X112" s="10">
        <f>+'A) Base RI'!R112</f>
        <v>713701.5</v>
      </c>
      <c r="Y112" s="394">
        <f t="shared" si="11"/>
        <v>1607027.65</v>
      </c>
      <c r="Z112" s="10">
        <f>+'A) Base RI'!N112</f>
        <v>9474.2999999999993</v>
      </c>
      <c r="AA112" s="10">
        <f>'A) Base RI'!V112</f>
        <v>3871</v>
      </c>
    </row>
    <row r="113" spans="1:27" x14ac:dyDescent="0.25">
      <c r="A113" s="8">
        <f>'A) Base RI'!A113</f>
        <v>5582</v>
      </c>
      <c r="B113" s="32" t="str">
        <f>'A) Base RI'!B113</f>
        <v>Cheseaux-sur-Lausanne</v>
      </c>
      <c r="C113" s="10">
        <f>'A) Base RI'!C113+'A) Base RI'!D113</f>
        <v>10548941.83</v>
      </c>
      <c r="D113" s="10">
        <f>'A) Base RI'!W113</f>
        <v>-145996.04999999999</v>
      </c>
      <c r="E113" s="390">
        <f>'A) Base RI'!X113</f>
        <v>0</v>
      </c>
      <c r="F113" s="390">
        <f>'A) Base RI'!Y113</f>
        <v>-12825.31</v>
      </c>
      <c r="G113" s="394">
        <f t="shared" si="6"/>
        <v>10390120.469999999</v>
      </c>
      <c r="H113" s="10">
        <f>+'A) Base RI'!E113</f>
        <v>0</v>
      </c>
      <c r="I113" s="10">
        <f>+'A) Base RI'!F113</f>
        <v>0</v>
      </c>
      <c r="J113" s="10">
        <f>+'A) Base RI'!G113+'A) Base RI'!H113+'A) Base RI'!S113</f>
        <v>485194.31000000006</v>
      </c>
      <c r="K113" s="10">
        <f>+'A) Base RI'!I113</f>
        <v>-27176.23</v>
      </c>
      <c r="L113" s="10">
        <f>+'A) Base RI'!J113</f>
        <v>312399.43</v>
      </c>
      <c r="M113" s="10">
        <f>+'A) Base RI'!K113</f>
        <v>83192.45</v>
      </c>
      <c r="N113" s="10">
        <f>+'A) Base RI'!Q113</f>
        <v>32911</v>
      </c>
      <c r="O113" s="10">
        <f t="shared" si="7"/>
        <v>951358.4</v>
      </c>
      <c r="P113" s="10">
        <f>+'A) Base RI'!L113</f>
        <v>951358.4</v>
      </c>
      <c r="Q113" s="402">
        <f>'A) Base RI'!Z113</f>
        <v>1</v>
      </c>
      <c r="R113" s="394">
        <f t="shared" si="8"/>
        <v>12227999.829999998</v>
      </c>
      <c r="S113" s="437">
        <f>+'A) Base RI'!U113</f>
        <v>73</v>
      </c>
      <c r="T113" s="394">
        <f t="shared" si="9"/>
        <v>11193448.979999999</v>
      </c>
      <c r="U113" s="394">
        <f t="shared" si="10"/>
        <v>167506.84698630136</v>
      </c>
      <c r="V113" s="10">
        <f>+'A) Base RI'!O113</f>
        <v>461920.2</v>
      </c>
      <c r="W113" s="10">
        <f>+'A) Base RI'!P113</f>
        <v>546244.75</v>
      </c>
      <c r="X113" s="10">
        <f>+'A) Base RI'!R113</f>
        <v>773876.4</v>
      </c>
      <c r="Y113" s="394">
        <f t="shared" si="11"/>
        <v>1782041.35</v>
      </c>
      <c r="Z113" s="10">
        <f>+'A) Base RI'!N113</f>
        <v>449844.65</v>
      </c>
      <c r="AA113" s="10">
        <f>'A) Base RI'!V113</f>
        <v>4449</v>
      </c>
    </row>
    <row r="114" spans="1:27" x14ac:dyDescent="0.25">
      <c r="A114" s="8">
        <f>'A) Base RI'!A114</f>
        <v>5583</v>
      </c>
      <c r="B114" s="32" t="str">
        <f>'A) Base RI'!B114</f>
        <v>Crissier</v>
      </c>
      <c r="C114" s="10">
        <f>'A) Base RI'!C114+'A) Base RI'!D114</f>
        <v>13412336.809999999</v>
      </c>
      <c r="D114" s="10">
        <f>'A) Base RI'!W114</f>
        <v>-222182.55</v>
      </c>
      <c r="E114" s="390">
        <f>'A) Base RI'!X114</f>
        <v>0</v>
      </c>
      <c r="F114" s="390">
        <f>'A) Base RI'!Y114</f>
        <v>-2314.4499999999998</v>
      </c>
      <c r="G114" s="394">
        <f t="shared" si="6"/>
        <v>13187839.809999999</v>
      </c>
      <c r="H114" s="10">
        <f>+'A) Base RI'!E114</f>
        <v>0</v>
      </c>
      <c r="I114" s="10">
        <f>+'A) Base RI'!F114</f>
        <v>0</v>
      </c>
      <c r="J114" s="10">
        <f>+'A) Base RI'!G114+'A) Base RI'!H114+'A) Base RI'!S114</f>
        <v>4340737.33</v>
      </c>
      <c r="K114" s="10">
        <f>+'A) Base RI'!I114</f>
        <v>0</v>
      </c>
      <c r="L114" s="10">
        <f>+'A) Base RI'!J114</f>
        <v>969801.07</v>
      </c>
      <c r="M114" s="10">
        <f>+'A) Base RI'!K114</f>
        <v>388664.15</v>
      </c>
      <c r="N114" s="10">
        <f>+'A) Base RI'!Q114</f>
        <v>43662.31</v>
      </c>
      <c r="O114" s="10">
        <f t="shared" si="7"/>
        <v>2503743.2999999998</v>
      </c>
      <c r="P114" s="10">
        <f>+'A) Base RI'!L114</f>
        <v>2503743.2999999998</v>
      </c>
      <c r="Q114" s="402">
        <f>'A) Base RI'!Z114</f>
        <v>1</v>
      </c>
      <c r="R114" s="394">
        <f t="shared" si="8"/>
        <v>21434447.969999999</v>
      </c>
      <c r="S114" s="437">
        <f>+'A) Base RI'!U114</f>
        <v>63.5</v>
      </c>
      <c r="T114" s="394">
        <f t="shared" si="9"/>
        <v>18542040.52</v>
      </c>
      <c r="U114" s="394">
        <f t="shared" si="10"/>
        <v>337550.36173228343</v>
      </c>
      <c r="V114" s="10">
        <f>+'A) Base RI'!O114</f>
        <v>245089.6</v>
      </c>
      <c r="W114" s="10">
        <f>+'A) Base RI'!P114</f>
        <v>1501884.75</v>
      </c>
      <c r="X114" s="10">
        <f>+'A) Base RI'!R114</f>
        <v>1165005.55</v>
      </c>
      <c r="Y114" s="394">
        <f t="shared" si="11"/>
        <v>2911979.9000000004</v>
      </c>
      <c r="Z114" s="10">
        <f>+'A) Base RI'!N114</f>
        <v>2173154.15</v>
      </c>
      <c r="AA114" s="10">
        <f>'A) Base RI'!V114</f>
        <v>8974</v>
      </c>
    </row>
    <row r="115" spans="1:27" x14ac:dyDescent="0.25">
      <c r="A115" s="8">
        <f>'A) Base RI'!A115</f>
        <v>5584</v>
      </c>
      <c r="B115" s="32" t="str">
        <f>'A) Base RI'!B115</f>
        <v>Epalinges</v>
      </c>
      <c r="C115" s="10">
        <f>'A) Base RI'!C115+'A) Base RI'!D115</f>
        <v>28814473.259999998</v>
      </c>
      <c r="D115" s="10">
        <f>'A) Base RI'!W115</f>
        <v>-363450.84</v>
      </c>
      <c r="E115" s="390">
        <f>'A) Base RI'!X115</f>
        <v>0</v>
      </c>
      <c r="F115" s="390">
        <f>'A) Base RI'!Y115</f>
        <v>-32342.31</v>
      </c>
      <c r="G115" s="394">
        <f t="shared" si="6"/>
        <v>28418680.109999999</v>
      </c>
      <c r="H115" s="10">
        <f>+'A) Base RI'!E115</f>
        <v>0</v>
      </c>
      <c r="I115" s="10">
        <f>+'A) Base RI'!F115</f>
        <v>0</v>
      </c>
      <c r="J115" s="10">
        <f>+'A) Base RI'!G115+'A) Base RI'!H115+'A) Base RI'!S115</f>
        <v>1768818.72</v>
      </c>
      <c r="K115" s="10">
        <f>+'A) Base RI'!I115</f>
        <v>318905.75</v>
      </c>
      <c r="L115" s="10">
        <f>+'A) Base RI'!J115</f>
        <v>249842.53</v>
      </c>
      <c r="M115" s="10">
        <f>+'A) Base RI'!K115</f>
        <v>165858.70000000001</v>
      </c>
      <c r="N115" s="10">
        <f>+'A) Base RI'!Q115</f>
        <v>60504.7</v>
      </c>
      <c r="O115" s="10">
        <f t="shared" si="7"/>
        <v>2348850.7999999998</v>
      </c>
      <c r="P115" s="10">
        <f>+'A) Base RI'!L115</f>
        <v>2348850.7999999998</v>
      </c>
      <c r="Q115" s="402">
        <f>'A) Base RI'!Z115</f>
        <v>1</v>
      </c>
      <c r="R115" s="394">
        <f t="shared" si="8"/>
        <v>33331461.309999999</v>
      </c>
      <c r="S115" s="437">
        <f>+'A) Base RI'!U115</f>
        <v>64.5</v>
      </c>
      <c r="T115" s="394">
        <f t="shared" si="9"/>
        <v>30816751.809999999</v>
      </c>
      <c r="U115" s="394">
        <f t="shared" si="10"/>
        <v>516766.84201550385</v>
      </c>
      <c r="V115" s="10">
        <f>+'A) Base RI'!O115</f>
        <v>585788.80000000005</v>
      </c>
      <c r="W115" s="10">
        <f>+'A) Base RI'!P115</f>
        <v>1803696.3</v>
      </c>
      <c r="X115" s="10">
        <f>+'A) Base RI'!R115</f>
        <v>1193095.95</v>
      </c>
      <c r="Y115" s="394">
        <f t="shared" si="11"/>
        <v>3582581.05</v>
      </c>
      <c r="Z115" s="10">
        <f>+'A) Base RI'!N115</f>
        <v>293562.8</v>
      </c>
      <c r="AA115" s="10">
        <f>'A) Base RI'!V115</f>
        <v>9813</v>
      </c>
    </row>
    <row r="116" spans="1:27" x14ac:dyDescent="0.25">
      <c r="A116" s="8">
        <f>'A) Base RI'!A116</f>
        <v>5585</v>
      </c>
      <c r="B116" s="32" t="str">
        <f>'A) Base RI'!B116</f>
        <v>Jouxtens-Mézery</v>
      </c>
      <c r="C116" s="10">
        <f>'A) Base RI'!C116+'A) Base RI'!D116</f>
        <v>10509398.02</v>
      </c>
      <c r="D116" s="10">
        <f>'A) Base RI'!W116</f>
        <v>-15901.99</v>
      </c>
      <c r="E116" s="390">
        <f>'A) Base RI'!X116</f>
        <v>0</v>
      </c>
      <c r="F116" s="390">
        <f>'A) Base RI'!Y116</f>
        <v>-2588.84</v>
      </c>
      <c r="G116" s="394">
        <f t="shared" si="6"/>
        <v>10490907.189999999</v>
      </c>
      <c r="H116" s="10">
        <f>+'A) Base RI'!E116</f>
        <v>0</v>
      </c>
      <c r="I116" s="10">
        <f>+'A) Base RI'!F116</f>
        <v>0</v>
      </c>
      <c r="J116" s="10">
        <f>+'A) Base RI'!G116+'A) Base RI'!H116+'A) Base RI'!S116</f>
        <v>47497.94</v>
      </c>
      <c r="K116" s="10">
        <f>+'A) Base RI'!I116</f>
        <v>144304.92000000001</v>
      </c>
      <c r="L116" s="10">
        <f>+'A) Base RI'!J116</f>
        <v>46659.46</v>
      </c>
      <c r="M116" s="10">
        <f>+'A) Base RI'!K116</f>
        <v>7803.5</v>
      </c>
      <c r="N116" s="10">
        <f>+'A) Base RI'!Q116</f>
        <v>0</v>
      </c>
      <c r="O116" s="10">
        <f t="shared" si="7"/>
        <v>575774.35</v>
      </c>
      <c r="P116" s="10">
        <f>+'A) Base RI'!L116</f>
        <v>575774.35</v>
      </c>
      <c r="Q116" s="402">
        <f>'A) Base RI'!Z116</f>
        <v>1</v>
      </c>
      <c r="R116" s="394">
        <f t="shared" si="8"/>
        <v>11312947.359999999</v>
      </c>
      <c r="S116" s="437">
        <f>+'A) Base RI'!U116</f>
        <v>59</v>
      </c>
      <c r="T116" s="394">
        <f t="shared" si="9"/>
        <v>10729369.51</v>
      </c>
      <c r="U116" s="394">
        <f t="shared" si="10"/>
        <v>191744.87050847456</v>
      </c>
      <c r="V116" s="10">
        <f>+'A) Base RI'!O116</f>
        <v>34254.1</v>
      </c>
      <c r="W116" s="10">
        <f>+'A) Base RI'!P116</f>
        <v>400119.55</v>
      </c>
      <c r="X116" s="10">
        <f>+'A) Base RI'!R116</f>
        <v>450464.3</v>
      </c>
      <c r="Y116" s="394">
        <f t="shared" si="11"/>
        <v>884837.95</v>
      </c>
      <c r="Z116" s="10">
        <f>+'A) Base RI'!N116</f>
        <v>1366.85</v>
      </c>
      <c r="AA116" s="10">
        <f>'A) Base RI'!V116</f>
        <v>1460</v>
      </c>
    </row>
    <row r="117" spans="1:27" x14ac:dyDescent="0.25">
      <c r="A117" s="8">
        <f>'A) Base RI'!A117</f>
        <v>5586</v>
      </c>
      <c r="B117" s="32" t="str">
        <f>'A) Base RI'!B117</f>
        <v>Lausanne</v>
      </c>
      <c r="C117" s="10">
        <f>'A) Base RI'!C117+'A) Base RI'!D117</f>
        <v>358279754.54000002</v>
      </c>
      <c r="D117" s="10">
        <f>'A) Base RI'!W117</f>
        <v>-7446520.7599999998</v>
      </c>
      <c r="E117" s="390">
        <f>'A) Base RI'!X117</f>
        <v>0</v>
      </c>
      <c r="F117" s="390">
        <f>'A) Base RI'!Y117</f>
        <v>-598538.9</v>
      </c>
      <c r="G117" s="394">
        <f t="shared" si="6"/>
        <v>350234694.88000005</v>
      </c>
      <c r="H117" s="10">
        <f>+'A) Base RI'!E117</f>
        <v>0</v>
      </c>
      <c r="I117" s="10">
        <f>+'A) Base RI'!F117</f>
        <v>0</v>
      </c>
      <c r="J117" s="10">
        <f>+'A) Base RI'!G117+'A) Base RI'!H117+'A) Base RI'!S117</f>
        <v>91492716.010000005</v>
      </c>
      <c r="K117" s="10">
        <f>+'A) Base RI'!I117</f>
        <v>6608887.4400000004</v>
      </c>
      <c r="L117" s="10">
        <f>+'A) Base RI'!J117</f>
        <v>20383530.43</v>
      </c>
      <c r="M117" s="10">
        <f>+'A) Base RI'!K117</f>
        <v>6198102.4000000004</v>
      </c>
      <c r="N117" s="10">
        <f>+'A) Base RI'!Q117</f>
        <v>2236041.6</v>
      </c>
      <c r="O117" s="10">
        <f t="shared" si="7"/>
        <v>30073126.766666666</v>
      </c>
      <c r="P117" s="10">
        <f>+'A) Base RI'!L117</f>
        <v>45109690.149999999</v>
      </c>
      <c r="Q117" s="402">
        <f>'A) Base RI'!Z117</f>
        <v>1.5</v>
      </c>
      <c r="R117" s="394">
        <f t="shared" si="8"/>
        <v>507227099.5266667</v>
      </c>
      <c r="S117" s="437">
        <f>+'A) Base RI'!U117</f>
        <v>78.5</v>
      </c>
      <c r="T117" s="394">
        <f t="shared" si="9"/>
        <v>470955870.36000007</v>
      </c>
      <c r="U117" s="394">
        <f t="shared" si="10"/>
        <v>6461491.7137154993</v>
      </c>
      <c r="V117" s="10">
        <f>+'A) Base RI'!O117</f>
        <v>22230070.300000001</v>
      </c>
      <c r="W117" s="10">
        <f>+'A) Base RI'!P117</f>
        <v>13693939.9</v>
      </c>
      <c r="X117" s="10">
        <f>+'A) Base RI'!R117</f>
        <v>12379655.1</v>
      </c>
      <c r="Y117" s="394">
        <f t="shared" si="11"/>
        <v>48303665.300000004</v>
      </c>
      <c r="Z117" s="10">
        <f>+'A) Base RI'!N117</f>
        <v>13203708.65</v>
      </c>
      <c r="AA117" s="10">
        <f>'A) Base RI'!V117</f>
        <v>140824</v>
      </c>
    </row>
    <row r="118" spans="1:27" x14ac:dyDescent="0.25">
      <c r="A118" s="8">
        <f>'A) Base RI'!A118</f>
        <v>5587</v>
      </c>
      <c r="B118" s="32" t="str">
        <f>'A) Base RI'!B118</f>
        <v>Le Mont-sur-Lausanne</v>
      </c>
      <c r="C118" s="10">
        <f>'A) Base RI'!C118+'A) Base RI'!D118</f>
        <v>29290460.959999997</v>
      </c>
      <c r="D118" s="10">
        <f>'A) Base RI'!W118</f>
        <v>-292181.78000000003</v>
      </c>
      <c r="E118" s="390">
        <f>'A) Base RI'!X118</f>
        <v>0</v>
      </c>
      <c r="F118" s="390">
        <f>'A) Base RI'!Y118</f>
        <v>-37059.47</v>
      </c>
      <c r="G118" s="394">
        <f t="shared" si="6"/>
        <v>28961219.709999997</v>
      </c>
      <c r="H118" s="10">
        <f>+'A) Base RI'!E118</f>
        <v>0</v>
      </c>
      <c r="I118" s="10">
        <f>+'A) Base RI'!F118</f>
        <v>0</v>
      </c>
      <c r="J118" s="10">
        <f>+'A) Base RI'!G118+'A) Base RI'!H118+'A) Base RI'!S118</f>
        <v>3475710.95</v>
      </c>
      <c r="K118" s="10">
        <f>+'A) Base RI'!I118</f>
        <v>278338.5</v>
      </c>
      <c r="L118" s="10">
        <f>+'A) Base RI'!J118</f>
        <v>552894.36</v>
      </c>
      <c r="M118" s="10">
        <f>+'A) Base RI'!K118</f>
        <v>369721.85</v>
      </c>
      <c r="N118" s="10">
        <f>+'A) Base RI'!Q118</f>
        <v>49691.75</v>
      </c>
      <c r="O118" s="10">
        <f t="shared" si="7"/>
        <v>2699189.8333333335</v>
      </c>
      <c r="P118" s="10">
        <f>+'A) Base RI'!L118</f>
        <v>3239027.8</v>
      </c>
      <c r="Q118" s="402">
        <f>'A) Base RI'!Z118</f>
        <v>1.2</v>
      </c>
      <c r="R118" s="394">
        <f t="shared" si="8"/>
        <v>36386766.953333333</v>
      </c>
      <c r="S118" s="437">
        <f>+'A) Base RI'!U118</f>
        <v>73.5</v>
      </c>
      <c r="T118" s="394">
        <f t="shared" si="9"/>
        <v>33317855.269999996</v>
      </c>
      <c r="U118" s="394">
        <f t="shared" si="10"/>
        <v>495058.05378684809</v>
      </c>
      <c r="V118" s="10">
        <f>+'A) Base RI'!O118</f>
        <v>495075.8</v>
      </c>
      <c r="W118" s="10">
        <f>+'A) Base RI'!P118</f>
        <v>2138196.2999999998</v>
      </c>
      <c r="X118" s="10">
        <f>+'A) Base RI'!R118</f>
        <v>2298626.15</v>
      </c>
      <c r="Y118" s="394">
        <f t="shared" si="11"/>
        <v>4931898.25</v>
      </c>
      <c r="Z118" s="10">
        <f>+'A) Base RI'!N118</f>
        <v>766350.2</v>
      </c>
      <c r="AA118" s="10">
        <f>'A) Base RI'!V118</f>
        <v>9217</v>
      </c>
    </row>
    <row r="119" spans="1:27" x14ac:dyDescent="0.25">
      <c r="A119" s="8">
        <f>'A) Base RI'!A119</f>
        <v>5588</v>
      </c>
      <c r="B119" s="32" t="str">
        <f>'A) Base RI'!B119</f>
        <v>Paudex</v>
      </c>
      <c r="C119" s="10">
        <f>'A) Base RI'!C119+'A) Base RI'!D119</f>
        <v>11858671.880000001</v>
      </c>
      <c r="D119" s="10">
        <f>'A) Base RI'!W119</f>
        <v>-30681.040000000001</v>
      </c>
      <c r="E119" s="390">
        <f>'A) Base RI'!X119</f>
        <v>0</v>
      </c>
      <c r="F119" s="390">
        <f>'A) Base RI'!Y119</f>
        <v>-45516.02</v>
      </c>
      <c r="G119" s="394">
        <f t="shared" si="6"/>
        <v>11782474.820000002</v>
      </c>
      <c r="H119" s="10">
        <f>+'A) Base RI'!E119</f>
        <v>0</v>
      </c>
      <c r="I119" s="10">
        <f>+'A) Base RI'!F119</f>
        <v>0</v>
      </c>
      <c r="J119" s="10">
        <f>+'A) Base RI'!G119+'A) Base RI'!H119+'A) Base RI'!S119</f>
        <v>918132.04</v>
      </c>
      <c r="K119" s="10">
        <f>+'A) Base RI'!I119</f>
        <v>649215.15</v>
      </c>
      <c r="L119" s="10">
        <f>+'A) Base RI'!J119</f>
        <v>391193.39</v>
      </c>
      <c r="M119" s="10">
        <f>+'A) Base RI'!K119</f>
        <v>39501.050000000003</v>
      </c>
      <c r="N119" s="10">
        <f>+'A) Base RI'!Q119</f>
        <v>2535</v>
      </c>
      <c r="O119" s="10">
        <f t="shared" si="7"/>
        <v>564742.35714285716</v>
      </c>
      <c r="P119" s="10">
        <f>+'A) Base RI'!L119</f>
        <v>395319.65</v>
      </c>
      <c r="Q119" s="402">
        <f>'A) Base RI'!Z119</f>
        <v>0.7</v>
      </c>
      <c r="R119" s="394">
        <f t="shared" si="8"/>
        <v>14347793.807142861</v>
      </c>
      <c r="S119" s="437">
        <f>+'A) Base RI'!U119</f>
        <v>66.5</v>
      </c>
      <c r="T119" s="394">
        <f t="shared" si="9"/>
        <v>13743550.400000004</v>
      </c>
      <c r="U119" s="394">
        <f t="shared" si="10"/>
        <v>215756.29785177234</v>
      </c>
      <c r="V119" s="10">
        <f>+'A) Base RI'!O119</f>
        <v>15108.4</v>
      </c>
      <c r="W119" s="10">
        <f>+'A) Base RI'!P119</f>
        <v>205920</v>
      </c>
      <c r="X119" s="10">
        <f>+'A) Base RI'!R119</f>
        <v>153893.79999999999</v>
      </c>
      <c r="Y119" s="394">
        <f t="shared" si="11"/>
        <v>374922.19999999995</v>
      </c>
      <c r="Z119" s="10">
        <f>+'A) Base RI'!N119</f>
        <v>24260.799999999999</v>
      </c>
      <c r="AA119" s="10">
        <f>'A) Base RI'!V119</f>
        <v>1545</v>
      </c>
    </row>
    <row r="120" spans="1:27" x14ac:dyDescent="0.25">
      <c r="A120" s="8">
        <f>'A) Base RI'!A120</f>
        <v>5589</v>
      </c>
      <c r="B120" s="32" t="str">
        <f>'A) Base RI'!B120</f>
        <v>Prilly</v>
      </c>
      <c r="C120" s="10">
        <f>'A) Base RI'!C120+'A) Base RI'!D120</f>
        <v>21752919.669999998</v>
      </c>
      <c r="D120" s="10">
        <f>'A) Base RI'!W120</f>
        <v>-426252.15</v>
      </c>
      <c r="E120" s="390">
        <f>'A) Base RI'!X120</f>
        <v>0</v>
      </c>
      <c r="F120" s="390">
        <f>'A) Base RI'!Y120</f>
        <v>-96008.36</v>
      </c>
      <c r="G120" s="394">
        <f t="shared" si="6"/>
        <v>21230659.16</v>
      </c>
      <c r="H120" s="10">
        <f>+'A) Base RI'!E120</f>
        <v>0</v>
      </c>
      <c r="I120" s="10">
        <f>+'A) Base RI'!F120</f>
        <v>0</v>
      </c>
      <c r="J120" s="10">
        <f>+'A) Base RI'!G120+'A) Base RI'!H120+'A) Base RI'!S120</f>
        <v>4992739.6100000003</v>
      </c>
      <c r="K120" s="10">
        <f>+'A) Base RI'!I120</f>
        <v>58264.7</v>
      </c>
      <c r="L120" s="10">
        <f>+'A) Base RI'!J120</f>
        <v>1230431.6399999999</v>
      </c>
      <c r="M120" s="10">
        <f>+'A) Base RI'!K120</f>
        <v>520616.25</v>
      </c>
      <c r="N120" s="10">
        <f>+'A) Base RI'!Q120</f>
        <v>118142.6</v>
      </c>
      <c r="O120" s="10">
        <f t="shared" si="7"/>
        <v>2266507.7307692305</v>
      </c>
      <c r="P120" s="10">
        <f>+'A) Base RI'!L120</f>
        <v>2946460.05</v>
      </c>
      <c r="Q120" s="402">
        <f>'A) Base RI'!Z120</f>
        <v>1.3</v>
      </c>
      <c r="R120" s="394">
        <f t="shared" si="8"/>
        <v>30417361.690769233</v>
      </c>
      <c r="S120" s="437">
        <f>+'A) Base RI'!U120</f>
        <v>72.5</v>
      </c>
      <c r="T120" s="394">
        <f t="shared" si="9"/>
        <v>27630237.710000001</v>
      </c>
      <c r="U120" s="394">
        <f t="shared" si="10"/>
        <v>419549.81642440322</v>
      </c>
      <c r="V120" s="10">
        <f>+'A) Base RI'!O120</f>
        <v>204544.1</v>
      </c>
      <c r="W120" s="10">
        <f>+'A) Base RI'!P120</f>
        <v>1178246.7</v>
      </c>
      <c r="X120" s="10">
        <f>+'A) Base RI'!R120</f>
        <v>1156634.1000000001</v>
      </c>
      <c r="Y120" s="394">
        <f t="shared" si="11"/>
        <v>2539424.9000000004</v>
      </c>
      <c r="Z120" s="10">
        <f>+'A) Base RI'!N120</f>
        <v>1267619.8999999999</v>
      </c>
      <c r="AA120" s="10">
        <f>'A) Base RI'!V120</f>
        <v>12341</v>
      </c>
    </row>
    <row r="121" spans="1:27" x14ac:dyDescent="0.25">
      <c r="A121" s="8">
        <f>'A) Base RI'!A121</f>
        <v>5590</v>
      </c>
      <c r="B121" s="32" t="str">
        <f>'A) Base RI'!B121</f>
        <v>Pully</v>
      </c>
      <c r="C121" s="10">
        <f>'A) Base RI'!C121+'A) Base RI'!D121</f>
        <v>74651093.030000001</v>
      </c>
      <c r="D121" s="10">
        <f>'A) Base RI'!W121</f>
        <v>-686682.37</v>
      </c>
      <c r="E121" s="390">
        <f>'A) Base RI'!X121</f>
        <v>0</v>
      </c>
      <c r="F121" s="390">
        <f>'A) Base RI'!Y121</f>
        <v>-1109983.06</v>
      </c>
      <c r="G121" s="394">
        <f t="shared" si="6"/>
        <v>72854427.599999994</v>
      </c>
      <c r="H121" s="10">
        <f>+'A) Base RI'!E121</f>
        <v>0</v>
      </c>
      <c r="I121" s="10">
        <f>+'A) Base RI'!F121</f>
        <v>0</v>
      </c>
      <c r="J121" s="10">
        <f>+'A) Base RI'!G121+'A) Base RI'!H121+'A) Base RI'!S121</f>
        <v>16019020.560000001</v>
      </c>
      <c r="K121" s="10">
        <f>+'A) Base RI'!I121</f>
        <v>2088944.34</v>
      </c>
      <c r="L121" s="10">
        <f>+'A) Base RI'!J121</f>
        <v>899998.49</v>
      </c>
      <c r="M121" s="10">
        <f>+'A) Base RI'!K121</f>
        <v>443570.25</v>
      </c>
      <c r="N121" s="10">
        <f>+'A) Base RI'!Q121</f>
        <v>154132.1</v>
      </c>
      <c r="O121" s="10">
        <f t="shared" si="7"/>
        <v>5324795.7857142854</v>
      </c>
      <c r="P121" s="10">
        <f>+'A) Base RI'!L121</f>
        <v>3727357.05</v>
      </c>
      <c r="Q121" s="402">
        <f>'A) Base RI'!Z121</f>
        <v>0.7</v>
      </c>
      <c r="R121" s="394">
        <f t="shared" si="8"/>
        <v>97784889.125714272</v>
      </c>
      <c r="S121" s="437">
        <f>+'A) Base RI'!U121</f>
        <v>61</v>
      </c>
      <c r="T121" s="394">
        <f t="shared" si="9"/>
        <v>92016523.089999989</v>
      </c>
      <c r="U121" s="394">
        <f t="shared" si="10"/>
        <v>1603030.9692740045</v>
      </c>
      <c r="V121" s="10">
        <f>+'A) Base RI'!O121</f>
        <v>2095407.6</v>
      </c>
      <c r="W121" s="10">
        <f>+'A) Base RI'!P121</f>
        <v>4347950.2</v>
      </c>
      <c r="X121" s="10">
        <f>+'A) Base RI'!R121</f>
        <v>3076179.35</v>
      </c>
      <c r="Y121" s="394">
        <f t="shared" si="11"/>
        <v>9519537.1500000004</v>
      </c>
      <c r="Z121" s="10">
        <f>+'A) Base RI'!N121</f>
        <v>176020.55</v>
      </c>
      <c r="AA121" s="10">
        <f>'A) Base RI'!V121</f>
        <v>18946</v>
      </c>
    </row>
    <row r="122" spans="1:27" x14ac:dyDescent="0.25">
      <c r="A122" s="8">
        <f>'A) Base RI'!A122</f>
        <v>5591</v>
      </c>
      <c r="B122" s="32" t="str">
        <f>'A) Base RI'!B122</f>
        <v>Renens</v>
      </c>
      <c r="C122" s="10">
        <f>'A) Base RI'!C122+'A) Base RI'!D122</f>
        <v>32272385.270000003</v>
      </c>
      <c r="D122" s="10">
        <f>'A) Base RI'!W122</f>
        <v>-1255483.56</v>
      </c>
      <c r="E122" s="390">
        <f>'A) Base RI'!X122</f>
        <v>0</v>
      </c>
      <c r="F122" s="390">
        <f>'A) Base RI'!Y122</f>
        <v>-10126.68</v>
      </c>
      <c r="G122" s="394">
        <f t="shared" si="6"/>
        <v>31006775.030000005</v>
      </c>
      <c r="H122" s="10">
        <f>+'A) Base RI'!E122</f>
        <v>0</v>
      </c>
      <c r="I122" s="10">
        <f>+'A) Base RI'!F122</f>
        <v>0</v>
      </c>
      <c r="J122" s="10">
        <f>+'A) Base RI'!G122+'A) Base RI'!H122+'A) Base RI'!S122</f>
        <v>5860621.8399999999</v>
      </c>
      <c r="K122" s="10">
        <f>+'A) Base RI'!I122</f>
        <v>0</v>
      </c>
      <c r="L122" s="10">
        <f>+'A) Base RI'!J122</f>
        <v>2166767.0299999998</v>
      </c>
      <c r="M122" s="10">
        <f>+'A) Base RI'!K122</f>
        <v>808812.05</v>
      </c>
      <c r="N122" s="10">
        <f>+'A) Base RI'!Q122</f>
        <v>342466.65</v>
      </c>
      <c r="O122" s="10">
        <f t="shared" si="7"/>
        <v>3687961.6785714286</v>
      </c>
      <c r="P122" s="10">
        <f>+'A) Base RI'!L122</f>
        <v>5163146.3499999996</v>
      </c>
      <c r="Q122" s="402">
        <f>'A) Base RI'!Z122</f>
        <v>1.4</v>
      </c>
      <c r="R122" s="394">
        <f t="shared" si="8"/>
        <v>43873404.278571427</v>
      </c>
      <c r="S122" s="437">
        <f>+'A) Base RI'!U122</f>
        <v>77</v>
      </c>
      <c r="T122" s="394">
        <f t="shared" si="9"/>
        <v>39376630.550000004</v>
      </c>
      <c r="U122" s="394">
        <f t="shared" si="10"/>
        <v>569784.47115027823</v>
      </c>
      <c r="V122" s="10">
        <f>+'A) Base RI'!O122</f>
        <v>1122802</v>
      </c>
      <c r="W122" s="10">
        <f>+'A) Base RI'!P122</f>
        <v>1814775.2</v>
      </c>
      <c r="X122" s="10">
        <f>+'A) Base RI'!R122</f>
        <v>1995224.9</v>
      </c>
      <c r="Y122" s="394">
        <f t="shared" si="11"/>
        <v>4932802.0999999996</v>
      </c>
      <c r="Z122" s="10">
        <f>+'A) Base RI'!N122</f>
        <v>2185480.2999999998</v>
      </c>
      <c r="AA122" s="10">
        <f>'A) Base RI'!V122</f>
        <v>20917</v>
      </c>
    </row>
    <row r="123" spans="1:27" x14ac:dyDescent="0.25">
      <c r="A123" s="8">
        <f>'A) Base RI'!A123</f>
        <v>5592</v>
      </c>
      <c r="B123" s="32" t="str">
        <f>'A) Base RI'!B123</f>
        <v>Romanel-sur-Lausanne</v>
      </c>
      <c r="C123" s="10">
        <f>'A) Base RI'!C123+'A) Base RI'!D123</f>
        <v>6912367.1699999999</v>
      </c>
      <c r="D123" s="10">
        <f>'A) Base RI'!W123</f>
        <v>-98222.399999999994</v>
      </c>
      <c r="E123" s="390">
        <f>'A) Base RI'!X123</f>
        <v>0</v>
      </c>
      <c r="F123" s="390">
        <f>'A) Base RI'!Y123</f>
        <v>-1524.84</v>
      </c>
      <c r="G123" s="394">
        <f t="shared" si="6"/>
        <v>6812619.9299999997</v>
      </c>
      <c r="H123" s="10">
        <f>+'A) Base RI'!E123</f>
        <v>0</v>
      </c>
      <c r="I123" s="10">
        <f>+'A) Base RI'!F123</f>
        <v>0</v>
      </c>
      <c r="J123" s="10">
        <f>+'A) Base RI'!G123+'A) Base RI'!H123+'A) Base RI'!S123</f>
        <v>638431.39</v>
      </c>
      <c r="K123" s="10">
        <f>+'A) Base RI'!I123</f>
        <v>49520.55</v>
      </c>
      <c r="L123" s="10">
        <f>+'A) Base RI'!J123</f>
        <v>193586.8</v>
      </c>
      <c r="M123" s="10">
        <f>+'A) Base RI'!K123</f>
        <v>68343.199999999997</v>
      </c>
      <c r="N123" s="10">
        <f>+'A) Base RI'!Q123</f>
        <v>51183.95</v>
      </c>
      <c r="O123" s="10">
        <f t="shared" si="7"/>
        <v>722916.92</v>
      </c>
      <c r="P123" s="10">
        <f>+'A) Base RI'!L123</f>
        <v>903646.15</v>
      </c>
      <c r="Q123" s="402">
        <f>'A) Base RI'!Z123</f>
        <v>1.25</v>
      </c>
      <c r="R123" s="394">
        <f t="shared" si="8"/>
        <v>8536602.7400000002</v>
      </c>
      <c r="S123" s="437">
        <f>+'A) Base RI'!U123</f>
        <v>70.5</v>
      </c>
      <c r="T123" s="394">
        <f t="shared" si="9"/>
        <v>7745342.6199999992</v>
      </c>
      <c r="U123" s="394">
        <f t="shared" si="10"/>
        <v>121086.56368794327</v>
      </c>
      <c r="V123" s="10">
        <f>+'A) Base RI'!O123</f>
        <v>608500</v>
      </c>
      <c r="W123" s="10">
        <f>+'A) Base RI'!P123</f>
        <v>657763.5</v>
      </c>
      <c r="X123" s="10">
        <f>+'A) Base RI'!R123</f>
        <v>322052.90000000002</v>
      </c>
      <c r="Y123" s="394">
        <f t="shared" si="11"/>
        <v>1588316.4</v>
      </c>
      <c r="Z123" s="10">
        <f>+'A) Base RI'!N123</f>
        <v>243903.85</v>
      </c>
      <c r="AA123" s="10">
        <f>'A) Base RI'!V123</f>
        <v>3482</v>
      </c>
    </row>
    <row r="124" spans="1:27" x14ac:dyDescent="0.25">
      <c r="A124" s="8">
        <f>'A) Base RI'!A124</f>
        <v>5601</v>
      </c>
      <c r="B124" s="32" t="str">
        <f>'A) Base RI'!B124</f>
        <v>Chexbres</v>
      </c>
      <c r="C124" s="10">
        <f>'A) Base RI'!C124+'A) Base RI'!D124</f>
        <v>6361149.5</v>
      </c>
      <c r="D124" s="10">
        <f>'A) Base RI'!W124</f>
        <v>-37059.879999999997</v>
      </c>
      <c r="E124" s="390">
        <f>'A) Base RI'!X124</f>
        <v>0</v>
      </c>
      <c r="F124" s="390">
        <f>'A) Base RI'!Y124</f>
        <v>-5527.33</v>
      </c>
      <c r="G124" s="394">
        <f t="shared" si="6"/>
        <v>6318562.29</v>
      </c>
      <c r="H124" s="10">
        <f>+'A) Base RI'!E124</f>
        <v>0</v>
      </c>
      <c r="I124" s="10">
        <f>+'A) Base RI'!F124</f>
        <v>0</v>
      </c>
      <c r="J124" s="10">
        <f>+'A) Base RI'!G124+'A) Base RI'!H124+'A) Base RI'!S124</f>
        <v>189861.79</v>
      </c>
      <c r="K124" s="10">
        <f>+'A) Base RI'!I124</f>
        <v>30402.67</v>
      </c>
      <c r="L124" s="10">
        <f>+'A) Base RI'!J124</f>
        <v>76507.83</v>
      </c>
      <c r="M124" s="10">
        <f>+'A) Base RI'!K124</f>
        <v>25888.799999999999</v>
      </c>
      <c r="N124" s="10">
        <f>+'A) Base RI'!Q124</f>
        <v>20962.3</v>
      </c>
      <c r="O124" s="10">
        <f t="shared" si="7"/>
        <v>490995.9</v>
      </c>
      <c r="P124" s="10">
        <f>+'A) Base RI'!L124</f>
        <v>490995.9</v>
      </c>
      <c r="Q124" s="402">
        <f>'A) Base RI'!Z124</f>
        <v>1</v>
      </c>
      <c r="R124" s="394">
        <f t="shared" si="8"/>
        <v>7153181.5800000001</v>
      </c>
      <c r="S124" s="437">
        <f>+'A) Base RI'!U124</f>
        <v>67.5</v>
      </c>
      <c r="T124" s="394">
        <f t="shared" si="9"/>
        <v>6636296.8799999999</v>
      </c>
      <c r="U124" s="394">
        <f t="shared" si="10"/>
        <v>105973.06044444445</v>
      </c>
      <c r="V124" s="10">
        <f>+'A) Base RI'!O124</f>
        <v>73217</v>
      </c>
      <c r="W124" s="10">
        <f>+'A) Base RI'!P124</f>
        <v>219762.2</v>
      </c>
      <c r="X124" s="10">
        <f>+'A) Base RI'!R124</f>
        <v>241082.4</v>
      </c>
      <c r="Y124" s="394">
        <f t="shared" si="11"/>
        <v>534061.6</v>
      </c>
      <c r="Z124" s="10">
        <f>+'A) Base RI'!N124</f>
        <v>52235.25</v>
      </c>
      <c r="AA124" s="10">
        <f>'A) Base RI'!V124</f>
        <v>2229</v>
      </c>
    </row>
    <row r="125" spans="1:27" x14ac:dyDescent="0.25">
      <c r="A125" s="8">
        <f>'A) Base RI'!A125</f>
        <v>5604</v>
      </c>
      <c r="B125" s="32" t="str">
        <f>'A) Base RI'!B125</f>
        <v>Forel (Lavaux)</v>
      </c>
      <c r="C125" s="10">
        <f>'A) Base RI'!C125+'A) Base RI'!D125</f>
        <v>4443256.25</v>
      </c>
      <c r="D125" s="10">
        <f>'A) Base RI'!W125</f>
        <v>-40994.79</v>
      </c>
      <c r="E125" s="390">
        <f>'A) Base RI'!X125</f>
        <v>0</v>
      </c>
      <c r="F125" s="390">
        <f>'A) Base RI'!Y125</f>
        <v>-3483.99</v>
      </c>
      <c r="G125" s="394">
        <f t="shared" si="6"/>
        <v>4398777.47</v>
      </c>
      <c r="H125" s="10">
        <f>+'A) Base RI'!E125</f>
        <v>0</v>
      </c>
      <c r="I125" s="10">
        <f>+'A) Base RI'!F125</f>
        <v>0</v>
      </c>
      <c r="J125" s="10">
        <f>+'A) Base RI'!G125+'A) Base RI'!H125+'A) Base RI'!S125</f>
        <v>274889.24</v>
      </c>
      <c r="K125" s="10">
        <f>+'A) Base RI'!I125</f>
        <v>0</v>
      </c>
      <c r="L125" s="10">
        <f>+'A) Base RI'!J125</f>
        <v>82763.87</v>
      </c>
      <c r="M125" s="10">
        <f>+'A) Base RI'!K125</f>
        <v>29910.35</v>
      </c>
      <c r="N125" s="10">
        <f>+'A) Base RI'!Q125</f>
        <v>30434.84</v>
      </c>
      <c r="O125" s="10">
        <f t="shared" si="7"/>
        <v>414729.65</v>
      </c>
      <c r="P125" s="10">
        <f>+'A) Base RI'!L125</f>
        <v>414729.65</v>
      </c>
      <c r="Q125" s="402">
        <f>'A) Base RI'!Z125</f>
        <v>1</v>
      </c>
      <c r="R125" s="394">
        <f t="shared" si="8"/>
        <v>5231505.42</v>
      </c>
      <c r="S125" s="437">
        <f>+'A) Base RI'!U125</f>
        <v>69</v>
      </c>
      <c r="T125" s="394">
        <f t="shared" si="9"/>
        <v>4786865.42</v>
      </c>
      <c r="U125" s="394">
        <f t="shared" si="10"/>
        <v>75818.919130434777</v>
      </c>
      <c r="V125" s="10">
        <f>+'A) Base RI'!O125</f>
        <v>1253.8</v>
      </c>
      <c r="W125" s="10">
        <f>+'A) Base RI'!P125</f>
        <v>241497.8</v>
      </c>
      <c r="X125" s="10">
        <f>+'A) Base RI'!R125</f>
        <v>140152.4</v>
      </c>
      <c r="Y125" s="394">
        <f t="shared" si="11"/>
        <v>382904</v>
      </c>
      <c r="Z125" s="10">
        <f>+'A) Base RI'!N125</f>
        <v>112458.65</v>
      </c>
      <c r="AA125" s="10">
        <f>'A) Base RI'!V125</f>
        <v>2110</v>
      </c>
    </row>
    <row r="126" spans="1:27" x14ac:dyDescent="0.25">
      <c r="A126" s="8">
        <f>'A) Base RI'!A126</f>
        <v>5606</v>
      </c>
      <c r="B126" s="32" t="str">
        <f>'A) Base RI'!B126</f>
        <v>Lutry</v>
      </c>
      <c r="C126" s="10">
        <f>'A) Base RI'!C126+'A) Base RI'!D126</f>
        <v>41345098.869999997</v>
      </c>
      <c r="D126" s="10">
        <f>'A) Base RI'!W126</f>
        <v>-370372.63</v>
      </c>
      <c r="E126" s="390">
        <f>'A) Base RI'!X126</f>
        <v>0</v>
      </c>
      <c r="F126" s="390">
        <f>'A) Base RI'!Y126</f>
        <v>-132133.51999999999</v>
      </c>
      <c r="G126" s="394">
        <f t="shared" si="6"/>
        <v>40842592.719999991</v>
      </c>
      <c r="H126" s="10">
        <f>+'A) Base RI'!E126</f>
        <v>0</v>
      </c>
      <c r="I126" s="10">
        <f>+'A) Base RI'!F126</f>
        <v>0</v>
      </c>
      <c r="J126" s="10">
        <f>+'A) Base RI'!G126+'A) Base RI'!H126+'A) Base RI'!S126</f>
        <v>4717063.7899999991</v>
      </c>
      <c r="K126" s="10">
        <f>+'A) Base RI'!I126</f>
        <v>1236629.21</v>
      </c>
      <c r="L126" s="10">
        <f>+'A) Base RI'!J126</f>
        <v>547446.17000000004</v>
      </c>
      <c r="M126" s="10">
        <f>+'A) Base RI'!K126</f>
        <v>35287.949999999997</v>
      </c>
      <c r="N126" s="10">
        <f>+'A) Base RI'!Q126</f>
        <v>103618.92</v>
      </c>
      <c r="O126" s="10">
        <f t="shared" si="7"/>
        <v>3338769.7857142859</v>
      </c>
      <c r="P126" s="10">
        <f>+'A) Base RI'!L126</f>
        <v>2337138.85</v>
      </c>
      <c r="Q126" s="402">
        <f>'A) Base RI'!Z126</f>
        <v>0.7</v>
      </c>
      <c r="R126" s="394">
        <f t="shared" si="8"/>
        <v>50821408.545714281</v>
      </c>
      <c r="S126" s="437">
        <f>+'A) Base RI'!U126</f>
        <v>54</v>
      </c>
      <c r="T126" s="394">
        <f t="shared" si="9"/>
        <v>47447350.809999995</v>
      </c>
      <c r="U126" s="394">
        <f t="shared" si="10"/>
        <v>941137.19529100519</v>
      </c>
      <c r="V126" s="10">
        <f>+'A) Base RI'!O126</f>
        <v>7043997.2999999998</v>
      </c>
      <c r="W126" s="10">
        <f>+'A) Base RI'!P126</f>
        <v>3582499.15</v>
      </c>
      <c r="X126" s="10">
        <f>+'A) Base RI'!R126</f>
        <v>1350568.4</v>
      </c>
      <c r="Y126" s="394">
        <f t="shared" si="11"/>
        <v>11977064.85</v>
      </c>
      <c r="Z126" s="10">
        <f>+'A) Base RI'!N126</f>
        <v>86204.6</v>
      </c>
      <c r="AA126" s="10">
        <f>'A) Base RI'!V126</f>
        <v>10704</v>
      </c>
    </row>
    <row r="127" spans="1:27" x14ac:dyDescent="0.25">
      <c r="A127" s="8">
        <f>'A) Base RI'!A127</f>
        <v>5607</v>
      </c>
      <c r="B127" s="32" t="str">
        <f>'A) Base RI'!B127</f>
        <v>Puidoux</v>
      </c>
      <c r="C127" s="10">
        <f>'A) Base RI'!C127+'A) Base RI'!D127</f>
        <v>5770201.9100000001</v>
      </c>
      <c r="D127" s="10">
        <f>'A) Base RI'!W127</f>
        <v>-59486.57</v>
      </c>
      <c r="E127" s="390">
        <f>'A) Base RI'!X127</f>
        <v>0</v>
      </c>
      <c r="F127" s="390">
        <f>'A) Base RI'!Y127</f>
        <v>-8236.2000000000007</v>
      </c>
      <c r="G127" s="394">
        <f t="shared" si="6"/>
        <v>5702479.1399999997</v>
      </c>
      <c r="H127" s="10">
        <f>+'A) Base RI'!E127</f>
        <v>0</v>
      </c>
      <c r="I127" s="10">
        <f>+'A) Base RI'!F127</f>
        <v>0</v>
      </c>
      <c r="J127" s="10">
        <f>+'A) Base RI'!G127+'A) Base RI'!H127+'A) Base RI'!S127</f>
        <v>933206.95</v>
      </c>
      <c r="K127" s="10">
        <f>+'A) Base RI'!I127</f>
        <v>398.5</v>
      </c>
      <c r="L127" s="10">
        <f>+'A) Base RI'!J127</f>
        <v>170524.94</v>
      </c>
      <c r="M127" s="10">
        <f>+'A) Base RI'!K127</f>
        <v>113211.4</v>
      </c>
      <c r="N127" s="10">
        <f>+'A) Base RI'!Q127</f>
        <v>19247.150000000001</v>
      </c>
      <c r="O127" s="10">
        <f t="shared" si="7"/>
        <v>704188.04347826098</v>
      </c>
      <c r="P127" s="10">
        <f>+'A) Base RI'!L127</f>
        <v>809816.25</v>
      </c>
      <c r="Q127" s="402">
        <f>'A) Base RI'!Z127</f>
        <v>1.1499999999999999</v>
      </c>
      <c r="R127" s="394">
        <f t="shared" si="8"/>
        <v>7643256.1234782618</v>
      </c>
      <c r="S127" s="437">
        <f>+'A) Base RI'!U127</f>
        <v>68.5</v>
      </c>
      <c r="T127" s="394">
        <f t="shared" si="9"/>
        <v>6825856.6800000006</v>
      </c>
      <c r="U127" s="394">
        <f t="shared" si="10"/>
        <v>111580.38136464616</v>
      </c>
      <c r="V127" s="10">
        <f>+'A) Base RI'!O127</f>
        <v>72171.3</v>
      </c>
      <c r="W127" s="10">
        <f>+'A) Base RI'!P127</f>
        <v>605599.94999999995</v>
      </c>
      <c r="X127" s="10">
        <f>+'A) Base RI'!R127</f>
        <v>237600.65</v>
      </c>
      <c r="Y127" s="394">
        <f t="shared" si="11"/>
        <v>915371.9</v>
      </c>
      <c r="Z127" s="10">
        <f>+'A) Base RI'!N127</f>
        <v>335399.25</v>
      </c>
      <c r="AA127" s="10">
        <f>'A) Base RI'!V127</f>
        <v>2924</v>
      </c>
    </row>
    <row r="128" spans="1:27" x14ac:dyDescent="0.25">
      <c r="A128" s="8">
        <f>'A) Base RI'!A128</f>
        <v>5609</v>
      </c>
      <c r="B128" s="32" t="str">
        <f>'A) Base RI'!B128</f>
        <v>Rivaz</v>
      </c>
      <c r="C128" s="10">
        <f>'A) Base RI'!C128+'A) Base RI'!D128</f>
        <v>893966.39</v>
      </c>
      <c r="D128" s="10">
        <f>'A) Base RI'!W128</f>
        <v>-101.79</v>
      </c>
      <c r="E128" s="390">
        <f>'A) Base RI'!X128</f>
        <v>0</v>
      </c>
      <c r="F128" s="390">
        <f>'A) Base RI'!Y128</f>
        <v>-91.08</v>
      </c>
      <c r="G128" s="394">
        <f t="shared" si="6"/>
        <v>893773.52</v>
      </c>
      <c r="H128" s="10">
        <f>+'A) Base RI'!E128</f>
        <v>0</v>
      </c>
      <c r="I128" s="10">
        <f>+'A) Base RI'!F128</f>
        <v>0</v>
      </c>
      <c r="J128" s="10">
        <f>+'A) Base RI'!G128+'A) Base RI'!H128+'A) Base RI'!S128</f>
        <v>12494.86</v>
      </c>
      <c r="K128" s="10">
        <f>+'A) Base RI'!I128</f>
        <v>0</v>
      </c>
      <c r="L128" s="10">
        <f>+'A) Base RI'!J128</f>
        <v>-48435.360000000001</v>
      </c>
      <c r="M128" s="10">
        <f>+'A) Base RI'!K128</f>
        <v>1050.4000000000001</v>
      </c>
      <c r="N128" s="10">
        <f>+'A) Base RI'!Q128</f>
        <v>2806.56</v>
      </c>
      <c r="O128" s="10">
        <f t="shared" si="7"/>
        <v>61893.65</v>
      </c>
      <c r="P128" s="10">
        <f>+'A) Base RI'!L128</f>
        <v>61893.65</v>
      </c>
      <c r="Q128" s="402">
        <f>'A) Base RI'!Z128</f>
        <v>1</v>
      </c>
      <c r="R128" s="394">
        <f t="shared" si="8"/>
        <v>923583.63000000012</v>
      </c>
      <c r="S128" s="437">
        <f>+'A) Base RI'!U128</f>
        <v>62</v>
      </c>
      <c r="T128" s="394">
        <f t="shared" si="9"/>
        <v>860639.58000000007</v>
      </c>
      <c r="U128" s="394">
        <f t="shared" si="10"/>
        <v>14896.510161290325</v>
      </c>
      <c r="V128" s="10">
        <f>+'A) Base RI'!O128</f>
        <v>0</v>
      </c>
      <c r="W128" s="10">
        <f>+'A) Base RI'!P128</f>
        <v>20130</v>
      </c>
      <c r="X128" s="10">
        <f>+'A) Base RI'!R128</f>
        <v>17919.900000000001</v>
      </c>
      <c r="Y128" s="394">
        <f t="shared" si="11"/>
        <v>38049.9</v>
      </c>
      <c r="Z128" s="10">
        <f>+'A) Base RI'!N128</f>
        <v>0</v>
      </c>
      <c r="AA128" s="10">
        <f>'A) Base RI'!V128</f>
        <v>331</v>
      </c>
    </row>
    <row r="129" spans="1:27" x14ac:dyDescent="0.25">
      <c r="A129" s="8">
        <f>'A) Base RI'!A129</f>
        <v>5610</v>
      </c>
      <c r="B129" s="32" t="str">
        <f>'A) Base RI'!B129</f>
        <v>St-Saphorin (Lavaux)</v>
      </c>
      <c r="C129" s="10">
        <f>'A) Base RI'!C129+'A) Base RI'!D129</f>
        <v>1484069.74</v>
      </c>
      <c r="D129" s="10">
        <f>'A) Base RI'!W129</f>
        <v>-6313.85</v>
      </c>
      <c r="E129" s="390">
        <f>'A) Base RI'!X129</f>
        <v>0</v>
      </c>
      <c r="F129" s="390">
        <f>'A) Base RI'!Y129</f>
        <v>3687.37</v>
      </c>
      <c r="G129" s="394">
        <f t="shared" si="6"/>
        <v>1481443.26</v>
      </c>
      <c r="H129" s="10">
        <f>+'A) Base RI'!E129</f>
        <v>0</v>
      </c>
      <c r="I129" s="10">
        <f>+'A) Base RI'!F129</f>
        <v>0</v>
      </c>
      <c r="J129" s="10">
        <f>+'A) Base RI'!G129+'A) Base RI'!H129+'A) Base RI'!S129</f>
        <v>15349.27</v>
      </c>
      <c r="K129" s="10">
        <f>+'A) Base RI'!I129</f>
        <v>50486.1</v>
      </c>
      <c r="L129" s="10">
        <f>+'A) Base RI'!J129</f>
        <v>24275.42</v>
      </c>
      <c r="M129" s="10">
        <f>+'A) Base RI'!K129</f>
        <v>7110.45</v>
      </c>
      <c r="N129" s="10">
        <f>+'A) Base RI'!Q129</f>
        <v>2963.4</v>
      </c>
      <c r="O129" s="10">
        <f t="shared" si="7"/>
        <v>106661.375</v>
      </c>
      <c r="P129" s="10">
        <f>+'A) Base RI'!L129</f>
        <v>127993.65</v>
      </c>
      <c r="Q129" s="402">
        <f>'A) Base RI'!Z129</f>
        <v>1.2</v>
      </c>
      <c r="R129" s="394">
        <f t="shared" si="8"/>
        <v>1688289.2749999999</v>
      </c>
      <c r="S129" s="437">
        <f>+'A) Base RI'!U129</f>
        <v>72</v>
      </c>
      <c r="T129" s="394">
        <f t="shared" si="9"/>
        <v>1574517.45</v>
      </c>
      <c r="U129" s="394">
        <f t="shared" si="10"/>
        <v>23448.462152777778</v>
      </c>
      <c r="V129" s="10">
        <f>+'A) Base RI'!O129</f>
        <v>538286.75</v>
      </c>
      <c r="W129" s="10">
        <f>+'A) Base RI'!P129</f>
        <v>31076.15</v>
      </c>
      <c r="X129" s="10">
        <f>+'A) Base RI'!R129</f>
        <v>10281.9</v>
      </c>
      <c r="Y129" s="394">
        <f t="shared" si="11"/>
        <v>579644.80000000005</v>
      </c>
      <c r="Z129" s="10">
        <f>+'A) Base RI'!N129</f>
        <v>0</v>
      </c>
      <c r="AA129" s="10">
        <f>'A) Base RI'!V129</f>
        <v>396</v>
      </c>
    </row>
    <row r="130" spans="1:27" x14ac:dyDescent="0.25">
      <c r="A130" s="8">
        <f>'A) Base RI'!A130</f>
        <v>5611</v>
      </c>
      <c r="B130" s="32" t="str">
        <f>'A) Base RI'!B130</f>
        <v>Savigny</v>
      </c>
      <c r="C130" s="10">
        <f>'A) Base RI'!C130+'A) Base RI'!D130</f>
        <v>8359482.3099999996</v>
      </c>
      <c r="D130" s="10">
        <f>'A) Base RI'!W130</f>
        <v>-75255.460000000006</v>
      </c>
      <c r="E130" s="390">
        <f>'A) Base RI'!X130</f>
        <v>0</v>
      </c>
      <c r="F130" s="390">
        <f>'A) Base RI'!Y130</f>
        <v>-2819.69</v>
      </c>
      <c r="G130" s="394">
        <f t="shared" si="6"/>
        <v>8281407.1599999992</v>
      </c>
      <c r="H130" s="10">
        <f>+'A) Base RI'!E130</f>
        <v>0</v>
      </c>
      <c r="I130" s="10">
        <f>+'A) Base RI'!F130</f>
        <v>0</v>
      </c>
      <c r="J130" s="10">
        <f>+'A) Base RI'!G130+'A) Base RI'!H130+'A) Base RI'!S130</f>
        <v>478741.9</v>
      </c>
      <c r="K130" s="10">
        <f>+'A) Base RI'!I130</f>
        <v>133186.6</v>
      </c>
      <c r="L130" s="10">
        <f>+'A) Base RI'!J130</f>
        <v>137123.69</v>
      </c>
      <c r="M130" s="10">
        <f>+'A) Base RI'!K130</f>
        <v>11840.85</v>
      </c>
      <c r="N130" s="10">
        <f>+'A) Base RI'!Q130</f>
        <v>7310.04</v>
      </c>
      <c r="O130" s="10">
        <f t="shared" si="7"/>
        <v>678225.95833333337</v>
      </c>
      <c r="P130" s="10">
        <f>+'A) Base RI'!L130</f>
        <v>813871.15</v>
      </c>
      <c r="Q130" s="402">
        <f>'A) Base RI'!Z130</f>
        <v>1.2</v>
      </c>
      <c r="R130" s="394">
        <f t="shared" si="8"/>
        <v>9727836.1983333305</v>
      </c>
      <c r="S130" s="437">
        <f>+'A) Base RI'!U130</f>
        <v>69</v>
      </c>
      <c r="T130" s="394">
        <f t="shared" si="9"/>
        <v>9037769.3899999969</v>
      </c>
      <c r="U130" s="394">
        <f t="shared" si="10"/>
        <v>140983.13330917869</v>
      </c>
      <c r="V130" s="10">
        <f>+'A) Base RI'!O130</f>
        <v>125415.8</v>
      </c>
      <c r="W130" s="10">
        <f>+'A) Base RI'!P130</f>
        <v>371230.05</v>
      </c>
      <c r="X130" s="10">
        <f>+'A) Base RI'!R130</f>
        <v>321922.34999999998</v>
      </c>
      <c r="Y130" s="394">
        <f t="shared" si="11"/>
        <v>818568.2</v>
      </c>
      <c r="Z130" s="10">
        <f>+'A) Base RI'!N130</f>
        <v>118228.5</v>
      </c>
      <c r="AA130" s="10">
        <f>'A) Base RI'!V130</f>
        <v>3370</v>
      </c>
    </row>
    <row r="131" spans="1:27" x14ac:dyDescent="0.25">
      <c r="A131" s="8">
        <f>'A) Base RI'!A131</f>
        <v>5613</v>
      </c>
      <c r="B131" s="32" t="str">
        <f>'A) Base RI'!B131</f>
        <v>Bourg-en-Lavaux</v>
      </c>
      <c r="C131" s="10">
        <f>'A) Base RI'!C131+'A) Base RI'!D131</f>
        <v>20480376.380000003</v>
      </c>
      <c r="D131" s="10">
        <f>'A) Base RI'!W131</f>
        <v>-108315.66</v>
      </c>
      <c r="E131" s="390">
        <f>'A) Base RI'!X131</f>
        <v>0</v>
      </c>
      <c r="F131" s="390">
        <f>'A) Base RI'!Y131</f>
        <v>-37799.4</v>
      </c>
      <c r="G131" s="394">
        <f t="shared" si="6"/>
        <v>20334261.320000004</v>
      </c>
      <c r="H131" s="10">
        <f>+'A) Base RI'!E131</f>
        <v>0</v>
      </c>
      <c r="I131" s="10">
        <f>+'A) Base RI'!F131</f>
        <v>0</v>
      </c>
      <c r="J131" s="10">
        <f>+'A) Base RI'!G131+'A) Base RI'!H131+'A) Base RI'!S131</f>
        <v>202859.68000000002</v>
      </c>
      <c r="K131" s="10">
        <f>+'A) Base RI'!I131</f>
        <v>133620.6</v>
      </c>
      <c r="L131" s="10">
        <f>+'A) Base RI'!J131</f>
        <v>108768.4</v>
      </c>
      <c r="M131" s="10">
        <f>+'A) Base RI'!K131</f>
        <v>27904.85</v>
      </c>
      <c r="N131" s="10">
        <f>+'A) Base RI'!Q131</f>
        <v>15380.43</v>
      </c>
      <c r="O131" s="10">
        <f t="shared" si="7"/>
        <v>1502865.4333333333</v>
      </c>
      <c r="P131" s="10">
        <f>+'A) Base RI'!L131</f>
        <v>2254298.15</v>
      </c>
      <c r="Q131" s="402">
        <f>'A) Base RI'!Z131</f>
        <v>1.5</v>
      </c>
      <c r="R131" s="394">
        <f t="shared" si="8"/>
        <v>22325660.713333338</v>
      </c>
      <c r="S131" s="437">
        <f>+'A) Base RI'!U131</f>
        <v>62.5</v>
      </c>
      <c r="T131" s="394">
        <f t="shared" si="9"/>
        <v>20794890.430000003</v>
      </c>
      <c r="U131" s="394">
        <f t="shared" si="10"/>
        <v>357210.57141333341</v>
      </c>
      <c r="V131" s="10">
        <f>+'A) Base RI'!O131</f>
        <v>464844</v>
      </c>
      <c r="W131" s="10">
        <f>+'A) Base RI'!P131</f>
        <v>931263.75</v>
      </c>
      <c r="X131" s="10">
        <f>+'A) Base RI'!R131</f>
        <v>632690.35</v>
      </c>
      <c r="Y131" s="394">
        <f t="shared" si="11"/>
        <v>2028798.1</v>
      </c>
      <c r="Z131" s="10">
        <f>+'A) Base RI'!N131</f>
        <v>21021.599999999999</v>
      </c>
      <c r="AA131" s="10">
        <f>'A) Base RI'!V131</f>
        <v>5367</v>
      </c>
    </row>
    <row r="132" spans="1:27" x14ac:dyDescent="0.25">
      <c r="A132" s="8">
        <f>'A) Base RI'!A132</f>
        <v>5621</v>
      </c>
      <c r="B132" s="32" t="str">
        <f>'A) Base RI'!B132</f>
        <v>Aclens</v>
      </c>
      <c r="C132" s="10">
        <f>'A) Base RI'!C132+'A) Base RI'!D132</f>
        <v>1138637.58</v>
      </c>
      <c r="D132" s="10">
        <f>'A) Base RI'!W132</f>
        <v>-15984.06</v>
      </c>
      <c r="E132" s="390">
        <f>'A) Base RI'!X132</f>
        <v>0</v>
      </c>
      <c r="F132" s="390">
        <f>'A) Base RI'!Y132</f>
        <v>-2607.86</v>
      </c>
      <c r="G132" s="394">
        <f t="shared" si="6"/>
        <v>1120045.6599999999</v>
      </c>
      <c r="H132" s="10">
        <f>+'A) Base RI'!E132</f>
        <v>0</v>
      </c>
      <c r="I132" s="10">
        <f>+'A) Base RI'!F132</f>
        <v>0</v>
      </c>
      <c r="J132" s="10">
        <f>+'A) Base RI'!G132+'A) Base RI'!H132+'A) Base RI'!S132</f>
        <v>526036.5</v>
      </c>
      <c r="K132" s="10">
        <f>+'A) Base RI'!I132</f>
        <v>0</v>
      </c>
      <c r="L132" s="10">
        <f>+'A) Base RI'!J132</f>
        <v>52181.27</v>
      </c>
      <c r="M132" s="10">
        <f>+'A) Base RI'!K132</f>
        <v>5486.25</v>
      </c>
      <c r="N132" s="10">
        <f>+'A) Base RI'!Q132</f>
        <v>2681.08</v>
      </c>
      <c r="O132" s="10">
        <f t="shared" si="7"/>
        <v>294389.45454545453</v>
      </c>
      <c r="P132" s="10">
        <f>+'A) Base RI'!L132</f>
        <v>323828.40000000002</v>
      </c>
      <c r="Q132" s="402">
        <f>'A) Base RI'!Z132</f>
        <v>1.1000000000000001</v>
      </c>
      <c r="R132" s="394">
        <f t="shared" si="8"/>
        <v>2000820.2145454546</v>
      </c>
      <c r="S132" s="437">
        <f>+'A) Base RI'!U132</f>
        <v>62</v>
      </c>
      <c r="T132" s="394">
        <f t="shared" si="9"/>
        <v>1700944.51</v>
      </c>
      <c r="U132" s="394">
        <f t="shared" si="10"/>
        <v>32271.293782991204</v>
      </c>
      <c r="V132" s="10">
        <f>+'A) Base RI'!O132</f>
        <v>34896.5</v>
      </c>
      <c r="W132" s="10">
        <f>+'A) Base RI'!P132</f>
        <v>186875.15</v>
      </c>
      <c r="X132" s="10">
        <f>+'A) Base RI'!R132</f>
        <v>72467.8</v>
      </c>
      <c r="Y132" s="394">
        <f t="shared" si="11"/>
        <v>294239.45</v>
      </c>
      <c r="Z132" s="10">
        <f>+'A) Base RI'!N132</f>
        <v>227041.5</v>
      </c>
      <c r="AA132" s="10">
        <f>'A) Base RI'!V132</f>
        <v>517</v>
      </c>
    </row>
    <row r="133" spans="1:27" x14ac:dyDescent="0.25">
      <c r="A133" s="8">
        <f>'A) Base RI'!A133</f>
        <v>5622</v>
      </c>
      <c r="B133" s="32" t="str">
        <f>'A) Base RI'!B133</f>
        <v>Bremblens</v>
      </c>
      <c r="C133" s="10">
        <f>'A) Base RI'!C133+'A) Base RI'!D133</f>
        <v>1775237.06</v>
      </c>
      <c r="D133" s="10">
        <f>'A) Base RI'!W133</f>
        <v>-1341</v>
      </c>
      <c r="E133" s="390">
        <f>'A) Base RI'!X133</f>
        <v>0</v>
      </c>
      <c r="F133" s="390">
        <f>'A) Base RI'!Y133</f>
        <v>-273.10000000000002</v>
      </c>
      <c r="G133" s="394">
        <f t="shared" si="6"/>
        <v>1773622.96</v>
      </c>
      <c r="H133" s="10">
        <f>+'A) Base RI'!E133</f>
        <v>0</v>
      </c>
      <c r="I133" s="10">
        <f>+'A) Base RI'!F133</f>
        <v>0</v>
      </c>
      <c r="J133" s="10">
        <f>+'A) Base RI'!G133+'A) Base RI'!H133+'A) Base RI'!S133</f>
        <v>29783.38</v>
      </c>
      <c r="K133" s="10">
        <f>+'A) Base RI'!I133</f>
        <v>0</v>
      </c>
      <c r="L133" s="10">
        <f>+'A) Base RI'!J133</f>
        <v>-16815.63</v>
      </c>
      <c r="M133" s="10">
        <f>+'A) Base RI'!K133</f>
        <v>5220.5</v>
      </c>
      <c r="N133" s="10">
        <f>+'A) Base RI'!Q133</f>
        <v>2408.12</v>
      </c>
      <c r="O133" s="10">
        <f t="shared" si="7"/>
        <v>153568.5</v>
      </c>
      <c r="P133" s="10">
        <f>+'A) Base RI'!L133</f>
        <v>153568.5</v>
      </c>
      <c r="Q133" s="402">
        <f>'A) Base RI'!Z133</f>
        <v>1</v>
      </c>
      <c r="R133" s="394">
        <f t="shared" si="8"/>
        <v>1947787.83</v>
      </c>
      <c r="S133" s="437">
        <f>+'A) Base RI'!U133</f>
        <v>68</v>
      </c>
      <c r="T133" s="394">
        <f t="shared" si="9"/>
        <v>1788998.83</v>
      </c>
      <c r="U133" s="394">
        <f t="shared" si="10"/>
        <v>28643.938676470589</v>
      </c>
      <c r="V133" s="10">
        <f>+'A) Base RI'!O133</f>
        <v>58413.9</v>
      </c>
      <c r="W133" s="10">
        <f>+'A) Base RI'!P133</f>
        <v>105639.8</v>
      </c>
      <c r="X133" s="10">
        <f>+'A) Base RI'!R133</f>
        <v>45174.25</v>
      </c>
      <c r="Y133" s="394">
        <f t="shared" si="11"/>
        <v>209227.95</v>
      </c>
      <c r="Z133" s="10">
        <f>+'A) Base RI'!N133</f>
        <v>30722.9</v>
      </c>
      <c r="AA133" s="10">
        <f>'A) Base RI'!V133</f>
        <v>607</v>
      </c>
    </row>
    <row r="134" spans="1:27" x14ac:dyDescent="0.25">
      <c r="A134" s="8">
        <f>'A) Base RI'!A134</f>
        <v>5623</v>
      </c>
      <c r="B134" s="32" t="str">
        <f>'A) Base RI'!B134</f>
        <v>Buchillon</v>
      </c>
      <c r="C134" s="10">
        <f>'A) Base RI'!C134+'A) Base RI'!D134</f>
        <v>4027324.67</v>
      </c>
      <c r="D134" s="10">
        <f>'A) Base RI'!W134</f>
        <v>-5919.64</v>
      </c>
      <c r="E134" s="390">
        <f>'A) Base RI'!X134</f>
        <v>0</v>
      </c>
      <c r="F134" s="390">
        <f>'A) Base RI'!Y134</f>
        <v>-27725.95</v>
      </c>
      <c r="G134" s="394">
        <f t="shared" si="6"/>
        <v>3993679.0799999996</v>
      </c>
      <c r="H134" s="10">
        <f>+'A) Base RI'!E134</f>
        <v>0</v>
      </c>
      <c r="I134" s="10">
        <f>+'A) Base RI'!F134</f>
        <v>0</v>
      </c>
      <c r="J134" s="10">
        <f>+'A) Base RI'!G134+'A) Base RI'!H134+'A) Base RI'!S134</f>
        <v>134646.33000000002</v>
      </c>
      <c r="K134" s="10">
        <f>+'A) Base RI'!I134</f>
        <v>70477.600000000006</v>
      </c>
      <c r="L134" s="10">
        <f>+'A) Base RI'!J134</f>
        <v>78045.86</v>
      </c>
      <c r="M134" s="10">
        <f>+'A) Base RI'!K134</f>
        <v>956.5</v>
      </c>
      <c r="N134" s="10">
        <f>+'A) Base RI'!Q134</f>
        <v>3281.99</v>
      </c>
      <c r="O134" s="10">
        <f t="shared" si="7"/>
        <v>358974.1</v>
      </c>
      <c r="P134" s="10">
        <f>+'A) Base RI'!L134</f>
        <v>358974.1</v>
      </c>
      <c r="Q134" s="402">
        <f>'A) Base RI'!Z134</f>
        <v>1</v>
      </c>
      <c r="R134" s="394">
        <f t="shared" si="8"/>
        <v>4640061.46</v>
      </c>
      <c r="S134" s="437">
        <f>+'A) Base RI'!U134</f>
        <v>52</v>
      </c>
      <c r="T134" s="394">
        <f t="shared" si="9"/>
        <v>4280130.8600000003</v>
      </c>
      <c r="U134" s="394">
        <f t="shared" si="10"/>
        <v>89231.951153846152</v>
      </c>
      <c r="V134" s="10">
        <f>+'A) Base RI'!O134</f>
        <v>10586.6</v>
      </c>
      <c r="W134" s="10">
        <f>+'A) Base RI'!P134</f>
        <v>137176.4</v>
      </c>
      <c r="X134" s="10">
        <f>+'A) Base RI'!R134</f>
        <v>76700.600000000006</v>
      </c>
      <c r="Y134" s="394">
        <f t="shared" si="11"/>
        <v>224463.6</v>
      </c>
      <c r="Z134" s="10">
        <f>+'A) Base RI'!N134</f>
        <v>1734.05</v>
      </c>
      <c r="AA134" s="10">
        <f>'A) Base RI'!V134</f>
        <v>669</v>
      </c>
    </row>
    <row r="135" spans="1:27" x14ac:dyDescent="0.25">
      <c r="A135" s="8">
        <f>'A) Base RI'!A135</f>
        <v>5624</v>
      </c>
      <c r="B135" s="32" t="str">
        <f>'A) Base RI'!B135</f>
        <v>Bussigny</v>
      </c>
      <c r="C135" s="10">
        <f>'A) Base RI'!C135+'A) Base RI'!D135</f>
        <v>17659370.190000001</v>
      </c>
      <c r="D135" s="10">
        <f>'A) Base RI'!W135</f>
        <v>-194991.64</v>
      </c>
      <c r="E135" s="390">
        <f>'A) Base RI'!X135</f>
        <v>0</v>
      </c>
      <c r="F135" s="390">
        <f>'A) Base RI'!Y135</f>
        <v>-875.77</v>
      </c>
      <c r="G135" s="394">
        <f t="shared" ref="G135:G198" si="12">SUM(C135:F135)</f>
        <v>17463502.780000001</v>
      </c>
      <c r="H135" s="10">
        <f>+'A) Base RI'!E135</f>
        <v>0</v>
      </c>
      <c r="I135" s="10">
        <f>+'A) Base RI'!F135</f>
        <v>0</v>
      </c>
      <c r="J135" s="10">
        <f>+'A) Base RI'!G135+'A) Base RI'!H135+'A) Base RI'!S135</f>
        <v>6633219.8499999996</v>
      </c>
      <c r="K135" s="10">
        <f>+'A) Base RI'!I135</f>
        <v>0</v>
      </c>
      <c r="L135" s="10">
        <f>+'A) Base RI'!J135</f>
        <v>829962.01</v>
      </c>
      <c r="M135" s="10">
        <f>+'A) Base RI'!K135</f>
        <v>374353.85</v>
      </c>
      <c r="N135" s="10">
        <f>+'A) Base RI'!Q135</f>
        <v>40187.81</v>
      </c>
      <c r="O135" s="10">
        <f t="shared" ref="O135:O198" si="13">(P135/Q135)*1</f>
        <v>2280023.08</v>
      </c>
      <c r="P135" s="10">
        <f>+'A) Base RI'!L135</f>
        <v>2850028.85</v>
      </c>
      <c r="Q135" s="402">
        <f>'A) Base RI'!Z135</f>
        <v>1.25</v>
      </c>
      <c r="R135" s="394">
        <f t="shared" ref="R135:R198" si="14">SUM(G135:O135)</f>
        <v>27621249.380000003</v>
      </c>
      <c r="S135" s="437">
        <f>+'A) Base RI'!U135</f>
        <v>62.5</v>
      </c>
      <c r="T135" s="394">
        <f t="shared" ref="T135:T198" si="15">(G135+H135+J135+K135+L135+N135)</f>
        <v>24966872.450000003</v>
      </c>
      <c r="U135" s="394">
        <f t="shared" ref="U135:U198" si="16">R135/S135</f>
        <v>441939.99008000002</v>
      </c>
      <c r="V135" s="10">
        <f>+'A) Base RI'!O135</f>
        <v>24489.3</v>
      </c>
      <c r="W135" s="10">
        <f>+'A) Base RI'!P135</f>
        <v>2047366.75</v>
      </c>
      <c r="X135" s="10">
        <f>+'A) Base RI'!R135</f>
        <v>1687978.45</v>
      </c>
      <c r="Y135" s="394">
        <f t="shared" ref="Y135:Y198" si="17">SUM(V135:X135)</f>
        <v>3759834.5</v>
      </c>
      <c r="Z135" s="10">
        <f>+'A) Base RI'!N135</f>
        <v>1445680.75</v>
      </c>
      <c r="AA135" s="10">
        <f>'A) Base RI'!V135</f>
        <v>10253</v>
      </c>
    </row>
    <row r="136" spans="1:27" x14ac:dyDescent="0.25">
      <c r="A136" s="8">
        <f>'A) Base RI'!A136</f>
        <v>5625</v>
      </c>
      <c r="B136" s="32" t="str">
        <f>'A) Base RI'!B136</f>
        <v>Bussy-Chardonney</v>
      </c>
      <c r="C136" s="10">
        <f>'A) Base RI'!C136+'A) Base RI'!D136</f>
        <v>1335252.3</v>
      </c>
      <c r="D136" s="10">
        <f>'A) Base RI'!W136</f>
        <v>-450.54</v>
      </c>
      <c r="E136" s="390">
        <f>'A) Base RI'!X136</f>
        <v>0</v>
      </c>
      <c r="F136" s="390">
        <f>'A) Base RI'!Y136</f>
        <v>-127.35</v>
      </c>
      <c r="G136" s="394">
        <f t="shared" si="12"/>
        <v>1334674.4099999999</v>
      </c>
      <c r="H136" s="10">
        <f>+'A) Base RI'!E136</f>
        <v>0</v>
      </c>
      <c r="I136" s="10">
        <f>+'A) Base RI'!F136</f>
        <v>0</v>
      </c>
      <c r="J136" s="10">
        <f>+'A) Base RI'!G136+'A) Base RI'!H136+'A) Base RI'!S136</f>
        <v>20597.8</v>
      </c>
      <c r="K136" s="10">
        <f>+'A) Base RI'!I136</f>
        <v>46834.9</v>
      </c>
      <c r="L136" s="10">
        <f>+'A) Base RI'!J136</f>
        <v>8242.8799999999992</v>
      </c>
      <c r="M136" s="10">
        <f>+'A) Base RI'!K136</f>
        <v>6599</v>
      </c>
      <c r="N136" s="10">
        <f>+'A) Base RI'!Q136</f>
        <v>402.12</v>
      </c>
      <c r="O136" s="10">
        <f t="shared" si="13"/>
        <v>102460.58333333333</v>
      </c>
      <c r="P136" s="10">
        <f>+'A) Base RI'!L136</f>
        <v>122952.7</v>
      </c>
      <c r="Q136" s="402">
        <f>'A) Base RI'!Z136</f>
        <v>1.2</v>
      </c>
      <c r="R136" s="394">
        <f t="shared" si="14"/>
        <v>1519811.6933333331</v>
      </c>
      <c r="S136" s="437">
        <f>+'A) Base RI'!U136</f>
        <v>72</v>
      </c>
      <c r="T136" s="394">
        <f t="shared" si="15"/>
        <v>1410752.1099999999</v>
      </c>
      <c r="U136" s="394">
        <f t="shared" si="16"/>
        <v>21108.495740740738</v>
      </c>
      <c r="V136" s="10">
        <f>+'A) Base RI'!O136</f>
        <v>0</v>
      </c>
      <c r="W136" s="10">
        <f>+'A) Base RI'!P136</f>
        <v>13690.85</v>
      </c>
      <c r="X136" s="10">
        <f>+'A) Base RI'!R136</f>
        <v>11553.2</v>
      </c>
      <c r="Y136" s="394">
        <f t="shared" si="17"/>
        <v>25244.050000000003</v>
      </c>
      <c r="Z136" s="10">
        <f>+'A) Base RI'!N136</f>
        <v>0</v>
      </c>
      <c r="AA136" s="10">
        <f>'A) Base RI'!V136</f>
        <v>412</v>
      </c>
    </row>
    <row r="137" spans="1:27" x14ac:dyDescent="0.25">
      <c r="A137" s="8">
        <f>'A) Base RI'!A137</f>
        <v>5627</v>
      </c>
      <c r="B137" s="32" t="str">
        <f>'A) Base RI'!B137</f>
        <v>Chavannes-près-Renens</v>
      </c>
      <c r="C137" s="10">
        <f>'A) Base RI'!C137+'A) Base RI'!D137</f>
        <v>11493061.02</v>
      </c>
      <c r="D137" s="10">
        <f>'A) Base RI'!W137</f>
        <v>-417827.59</v>
      </c>
      <c r="E137" s="390">
        <f>'A) Base RI'!X137</f>
        <v>0</v>
      </c>
      <c r="F137" s="390">
        <f>'A) Base RI'!Y137</f>
        <v>-561.55999999999995</v>
      </c>
      <c r="G137" s="394">
        <f t="shared" si="12"/>
        <v>11074671.869999999</v>
      </c>
      <c r="H137" s="10">
        <f>+'A) Base RI'!E137</f>
        <v>0</v>
      </c>
      <c r="I137" s="10">
        <f>+'A) Base RI'!F137</f>
        <v>0</v>
      </c>
      <c r="J137" s="10">
        <f>+'A) Base RI'!G137+'A) Base RI'!H137+'A) Base RI'!S137</f>
        <v>1489571.83</v>
      </c>
      <c r="K137" s="10">
        <f>+'A) Base RI'!I137</f>
        <v>0</v>
      </c>
      <c r="L137" s="10">
        <f>+'A) Base RI'!J137</f>
        <v>842647.95</v>
      </c>
      <c r="M137" s="10">
        <f>+'A) Base RI'!K137</f>
        <v>355316.4</v>
      </c>
      <c r="N137" s="10">
        <f>+'A) Base RI'!Q137</f>
        <v>69857.63</v>
      </c>
      <c r="O137" s="10">
        <f t="shared" si="13"/>
        <v>1208585.2</v>
      </c>
      <c r="P137" s="10">
        <f>+'A) Base RI'!L137</f>
        <v>1812877.8</v>
      </c>
      <c r="Q137" s="402">
        <f>'A) Base RI'!Z137</f>
        <v>1.5</v>
      </c>
      <c r="R137" s="394">
        <f t="shared" si="14"/>
        <v>15040650.879999999</v>
      </c>
      <c r="S137" s="437">
        <f>+'A) Base RI'!U137</f>
        <v>77.5</v>
      </c>
      <c r="T137" s="394">
        <f t="shared" si="15"/>
        <v>13476749.279999999</v>
      </c>
      <c r="U137" s="394">
        <f t="shared" si="16"/>
        <v>194072.91458064516</v>
      </c>
      <c r="V137" s="10">
        <f>+'A) Base RI'!O137</f>
        <v>62654.1</v>
      </c>
      <c r="W137" s="10">
        <f>+'A) Base RI'!P137</f>
        <v>1034028.65</v>
      </c>
      <c r="X137" s="10">
        <f>+'A) Base RI'!R137</f>
        <v>765142.4</v>
      </c>
      <c r="Y137" s="394">
        <f t="shared" si="17"/>
        <v>1861825.15</v>
      </c>
      <c r="Z137" s="10">
        <f>+'A) Base RI'!N137</f>
        <v>446341</v>
      </c>
      <c r="AA137" s="10">
        <f>'A) Base RI'!V137</f>
        <v>8767</v>
      </c>
    </row>
    <row r="138" spans="1:27" x14ac:dyDescent="0.25">
      <c r="A138" s="8">
        <f>'A) Base RI'!A138</f>
        <v>5628</v>
      </c>
      <c r="B138" s="32" t="str">
        <f>'A) Base RI'!B138</f>
        <v>Chigny</v>
      </c>
      <c r="C138" s="10">
        <f>'A) Base RI'!C138+'A) Base RI'!D138</f>
        <v>1484669.19</v>
      </c>
      <c r="D138" s="10">
        <f>'A) Base RI'!W138</f>
        <v>-1325.01</v>
      </c>
      <c r="E138" s="390">
        <f>'A) Base RI'!X138</f>
        <v>0</v>
      </c>
      <c r="F138" s="390">
        <f>'A) Base RI'!Y138</f>
        <v>-57.45</v>
      </c>
      <c r="G138" s="394">
        <f t="shared" si="12"/>
        <v>1483286.73</v>
      </c>
      <c r="H138" s="10">
        <f>+'A) Base RI'!E138</f>
        <v>0</v>
      </c>
      <c r="I138" s="10">
        <f>+'A) Base RI'!F138</f>
        <v>0</v>
      </c>
      <c r="J138" s="10">
        <f>+'A) Base RI'!G138+'A) Base RI'!H138+'A) Base RI'!S138</f>
        <v>4931.1399999999994</v>
      </c>
      <c r="K138" s="10">
        <f>+'A) Base RI'!I138</f>
        <v>0</v>
      </c>
      <c r="L138" s="10">
        <f>+'A) Base RI'!J138</f>
        <v>3631.2</v>
      </c>
      <c r="M138" s="10">
        <f>+'A) Base RI'!K138</f>
        <v>859.5</v>
      </c>
      <c r="N138" s="10">
        <f>+'A) Base RI'!Q138</f>
        <v>0</v>
      </c>
      <c r="O138" s="10">
        <f t="shared" si="13"/>
        <v>106327.3</v>
      </c>
      <c r="P138" s="10">
        <f>+'A) Base RI'!L138</f>
        <v>106327.3</v>
      </c>
      <c r="Q138" s="402">
        <f>'A) Base RI'!Z138</f>
        <v>1</v>
      </c>
      <c r="R138" s="394">
        <f t="shared" si="14"/>
        <v>1599035.8699999999</v>
      </c>
      <c r="S138" s="437">
        <f>+'A) Base RI'!U138</f>
        <v>62</v>
      </c>
      <c r="T138" s="394">
        <f t="shared" si="15"/>
        <v>1491849.0699999998</v>
      </c>
      <c r="U138" s="394">
        <f t="shared" si="16"/>
        <v>25790.901129032256</v>
      </c>
      <c r="V138" s="10">
        <f>+'A) Base RI'!O138</f>
        <v>0</v>
      </c>
      <c r="W138" s="10">
        <f>+'A) Base RI'!P138</f>
        <v>20350</v>
      </c>
      <c r="X138" s="10">
        <f>+'A) Base RI'!R138</f>
        <v>32439.95</v>
      </c>
      <c r="Y138" s="394">
        <f t="shared" si="17"/>
        <v>52789.95</v>
      </c>
      <c r="Z138" s="10">
        <f>+'A) Base RI'!N138</f>
        <v>2656.6</v>
      </c>
      <c r="AA138" s="10">
        <f>'A) Base RI'!V138</f>
        <v>405</v>
      </c>
    </row>
    <row r="139" spans="1:27" x14ac:dyDescent="0.25">
      <c r="A139" s="8">
        <f>'A) Base RI'!A139</f>
        <v>5629</v>
      </c>
      <c r="B139" s="32" t="str">
        <f>'A) Base RI'!B139</f>
        <v>Clarmont</v>
      </c>
      <c r="C139" s="10">
        <f>'A) Base RI'!C139+'A) Base RI'!D139</f>
        <v>694425.01</v>
      </c>
      <c r="D139" s="10">
        <f>'A) Base RI'!W139</f>
        <v>-5124.25</v>
      </c>
      <c r="E139" s="390">
        <f>'A) Base RI'!X139</f>
        <v>0</v>
      </c>
      <c r="F139" s="390">
        <f>'A) Base RI'!Y139</f>
        <v>0</v>
      </c>
      <c r="G139" s="394">
        <f t="shared" si="12"/>
        <v>689300.76</v>
      </c>
      <c r="H139" s="10">
        <f>+'A) Base RI'!E139</f>
        <v>0</v>
      </c>
      <c r="I139" s="10">
        <f>+'A) Base RI'!F139</f>
        <v>0</v>
      </c>
      <c r="J139" s="10">
        <f>+'A) Base RI'!G139+'A) Base RI'!H139+'A) Base RI'!S139</f>
        <v>2934.89</v>
      </c>
      <c r="K139" s="10">
        <f>+'A) Base RI'!I139</f>
        <v>0</v>
      </c>
      <c r="L139" s="10">
        <f>+'A) Base RI'!J139</f>
        <v>1562.05</v>
      </c>
      <c r="M139" s="10">
        <f>+'A) Base RI'!K139</f>
        <v>334.05</v>
      </c>
      <c r="N139" s="10">
        <f>+'A) Base RI'!Q139</f>
        <v>120.52</v>
      </c>
      <c r="O139" s="10">
        <f t="shared" si="13"/>
        <v>36930.25</v>
      </c>
      <c r="P139" s="10">
        <f>+'A) Base RI'!L139</f>
        <v>36930.25</v>
      </c>
      <c r="Q139" s="402">
        <f>'A) Base RI'!Z139</f>
        <v>1</v>
      </c>
      <c r="R139" s="394">
        <f t="shared" si="14"/>
        <v>731182.52000000014</v>
      </c>
      <c r="S139" s="437">
        <f>+'A) Base RI'!U139</f>
        <v>73.5</v>
      </c>
      <c r="T139" s="394">
        <f t="shared" si="15"/>
        <v>693918.22000000009</v>
      </c>
      <c r="U139" s="394">
        <f t="shared" si="16"/>
        <v>9948.0614965986406</v>
      </c>
      <c r="V139" s="10">
        <f>+'A) Base RI'!O139</f>
        <v>0</v>
      </c>
      <c r="W139" s="10">
        <f>+'A) Base RI'!P139</f>
        <v>12450.85</v>
      </c>
      <c r="X139" s="10">
        <f>+'A) Base RI'!R139</f>
        <v>14621.2</v>
      </c>
      <c r="Y139" s="394">
        <f t="shared" si="17"/>
        <v>27072.050000000003</v>
      </c>
      <c r="Z139" s="10">
        <f>+'A) Base RI'!N139</f>
        <v>0</v>
      </c>
      <c r="AA139" s="10">
        <f>'A) Base RI'!V139</f>
        <v>211</v>
      </c>
    </row>
    <row r="140" spans="1:27" x14ac:dyDescent="0.25">
      <c r="A140" s="8">
        <f>'A) Base RI'!A140</f>
        <v>5631</v>
      </c>
      <c r="B140" s="32" t="str">
        <f>'A) Base RI'!B140</f>
        <v>Denens</v>
      </c>
      <c r="C140" s="10">
        <f>'A) Base RI'!C140+'A) Base RI'!D140</f>
        <v>2493325.6799999997</v>
      </c>
      <c r="D140" s="10">
        <f>'A) Base RI'!W140</f>
        <v>-8475.25</v>
      </c>
      <c r="E140" s="390">
        <f>'A) Base RI'!X140</f>
        <v>0</v>
      </c>
      <c r="F140" s="390">
        <f>'A) Base RI'!Y140</f>
        <v>-2872.06</v>
      </c>
      <c r="G140" s="394">
        <f t="shared" si="12"/>
        <v>2481978.3699999996</v>
      </c>
      <c r="H140" s="10">
        <f>+'A) Base RI'!E140</f>
        <v>0</v>
      </c>
      <c r="I140" s="10">
        <f>+'A) Base RI'!F140</f>
        <v>0</v>
      </c>
      <c r="J140" s="10">
        <f>+'A) Base RI'!G140+'A) Base RI'!H140+'A) Base RI'!S140</f>
        <v>8435.69</v>
      </c>
      <c r="K140" s="10">
        <f>+'A) Base RI'!I140</f>
        <v>187945.55</v>
      </c>
      <c r="L140" s="10">
        <f>+'A) Base RI'!J140</f>
        <v>48989.72</v>
      </c>
      <c r="M140" s="10">
        <f>+'A) Base RI'!K140</f>
        <v>2815.65</v>
      </c>
      <c r="N140" s="10">
        <f>+'A) Base RI'!Q140</f>
        <v>994.86</v>
      </c>
      <c r="O140" s="10">
        <f t="shared" si="13"/>
        <v>212575.75</v>
      </c>
      <c r="P140" s="10">
        <f>+'A) Base RI'!L140</f>
        <v>212575.75</v>
      </c>
      <c r="Q140" s="402">
        <f>'A) Base RI'!Z140</f>
        <v>1</v>
      </c>
      <c r="R140" s="394">
        <f t="shared" si="14"/>
        <v>2943735.5899999994</v>
      </c>
      <c r="S140" s="437">
        <f>+'A) Base RI'!U140</f>
        <v>68</v>
      </c>
      <c r="T140" s="394">
        <f t="shared" si="15"/>
        <v>2728344.1899999995</v>
      </c>
      <c r="U140" s="394">
        <f t="shared" si="16"/>
        <v>43290.229264705871</v>
      </c>
      <c r="V140" s="10">
        <f>+'A) Base RI'!O140</f>
        <v>131406</v>
      </c>
      <c r="W140" s="10">
        <f>+'A) Base RI'!P140</f>
        <v>260616.4</v>
      </c>
      <c r="X140" s="10">
        <f>+'A) Base RI'!R140</f>
        <v>147694.75</v>
      </c>
      <c r="Y140" s="394">
        <f t="shared" si="17"/>
        <v>539717.15</v>
      </c>
      <c r="Z140" s="10">
        <f>+'A) Base RI'!N140</f>
        <v>1887.85</v>
      </c>
      <c r="AA140" s="10">
        <f>'A) Base RI'!V140</f>
        <v>733</v>
      </c>
    </row>
    <row r="141" spans="1:27" x14ac:dyDescent="0.25">
      <c r="A141" s="8">
        <f>'A) Base RI'!A141</f>
        <v>5632</v>
      </c>
      <c r="B141" s="32" t="str">
        <f>'A) Base RI'!B141</f>
        <v>Denges</v>
      </c>
      <c r="C141" s="10">
        <f>'A) Base RI'!C141+'A) Base RI'!D141</f>
        <v>4071634.88</v>
      </c>
      <c r="D141" s="10">
        <f>'A) Base RI'!W141</f>
        <v>-49186.16</v>
      </c>
      <c r="E141" s="390">
        <f>'A) Base RI'!X141</f>
        <v>0</v>
      </c>
      <c r="F141" s="390">
        <f>'A) Base RI'!Y141</f>
        <v>-1965.9</v>
      </c>
      <c r="G141" s="394">
        <f t="shared" si="12"/>
        <v>4020482.82</v>
      </c>
      <c r="H141" s="10">
        <f>+'A) Base RI'!E141</f>
        <v>0</v>
      </c>
      <c r="I141" s="10">
        <f>+'A) Base RI'!F141</f>
        <v>0</v>
      </c>
      <c r="J141" s="10">
        <f>+'A) Base RI'!G141+'A) Base RI'!H141+'A) Base RI'!S141</f>
        <v>336105.80999999994</v>
      </c>
      <c r="K141" s="10">
        <f>+'A) Base RI'!I141</f>
        <v>0</v>
      </c>
      <c r="L141" s="10">
        <f>+'A) Base RI'!J141</f>
        <v>210065.67</v>
      </c>
      <c r="M141" s="10">
        <f>+'A) Base RI'!K141</f>
        <v>51013.1</v>
      </c>
      <c r="N141" s="10">
        <f>+'A) Base RI'!Q141</f>
        <v>3743.49</v>
      </c>
      <c r="O141" s="10">
        <f t="shared" si="13"/>
        <v>370904.4</v>
      </c>
      <c r="P141" s="10">
        <f>+'A) Base RI'!L141</f>
        <v>370904.4</v>
      </c>
      <c r="Q141" s="402">
        <f>'A) Base RI'!Z141</f>
        <v>1</v>
      </c>
      <c r="R141" s="394">
        <f t="shared" si="14"/>
        <v>4992315.29</v>
      </c>
      <c r="S141" s="437">
        <f>+'A) Base RI'!U141</f>
        <v>62</v>
      </c>
      <c r="T141" s="394">
        <f t="shared" si="15"/>
        <v>4570397.79</v>
      </c>
      <c r="U141" s="394">
        <f t="shared" si="16"/>
        <v>80521.21435483871</v>
      </c>
      <c r="V141" s="10">
        <f>+'A) Base RI'!O141</f>
        <v>127197.5</v>
      </c>
      <c r="W141" s="10">
        <f>+'A) Base RI'!P141</f>
        <v>170829.35</v>
      </c>
      <c r="X141" s="10">
        <f>+'A) Base RI'!R141</f>
        <v>115364.9</v>
      </c>
      <c r="Y141" s="394">
        <f t="shared" si="17"/>
        <v>413391.75</v>
      </c>
      <c r="Z141" s="10">
        <f>+'A) Base RI'!N141</f>
        <v>105185.35</v>
      </c>
      <c r="AA141" s="10">
        <f>'A) Base RI'!V141</f>
        <v>1744</v>
      </c>
    </row>
    <row r="142" spans="1:27" x14ac:dyDescent="0.25">
      <c r="A142" s="8">
        <f>'A) Base RI'!A142</f>
        <v>5633</v>
      </c>
      <c r="B142" s="32" t="str">
        <f>'A) Base RI'!B142</f>
        <v>Echandens</v>
      </c>
      <c r="C142" s="10">
        <f>'A) Base RI'!C142+'A) Base RI'!D142</f>
        <v>9051703.3599999994</v>
      </c>
      <c r="D142" s="10">
        <f>'A) Base RI'!W142</f>
        <v>-118109.33</v>
      </c>
      <c r="E142" s="390">
        <f>'A) Base RI'!X142</f>
        <v>0</v>
      </c>
      <c r="F142" s="390">
        <f>'A) Base RI'!Y142</f>
        <v>-4028.35</v>
      </c>
      <c r="G142" s="394">
        <f t="shared" si="12"/>
        <v>8929565.6799999997</v>
      </c>
      <c r="H142" s="10">
        <f>+'A) Base RI'!E142</f>
        <v>0</v>
      </c>
      <c r="I142" s="10">
        <f>+'A) Base RI'!F142</f>
        <v>0</v>
      </c>
      <c r="J142" s="10">
        <f>+'A) Base RI'!G142+'A) Base RI'!H142+'A) Base RI'!S142</f>
        <v>502834.62</v>
      </c>
      <c r="K142" s="10">
        <f>+'A) Base RI'!I142</f>
        <v>0</v>
      </c>
      <c r="L142" s="10">
        <f>+'A) Base RI'!J142</f>
        <v>111804.69</v>
      </c>
      <c r="M142" s="10">
        <f>+'A) Base RI'!K142</f>
        <v>35892.25</v>
      </c>
      <c r="N142" s="10">
        <f>+'A) Base RI'!Q142</f>
        <v>50546.16</v>
      </c>
      <c r="O142" s="10">
        <f t="shared" si="13"/>
        <v>671730.3</v>
      </c>
      <c r="P142" s="10">
        <f>+'A) Base RI'!L142</f>
        <v>671730.3</v>
      </c>
      <c r="Q142" s="402">
        <f>'A) Base RI'!Z142</f>
        <v>1</v>
      </c>
      <c r="R142" s="394">
        <f t="shared" si="14"/>
        <v>10302373.699999999</v>
      </c>
      <c r="S142" s="437">
        <f>+'A) Base RI'!U142</f>
        <v>60.5</v>
      </c>
      <c r="T142" s="394">
        <f t="shared" si="15"/>
        <v>9594751.1499999985</v>
      </c>
      <c r="U142" s="394">
        <f t="shared" si="16"/>
        <v>170287.16859504132</v>
      </c>
      <c r="V142" s="10">
        <f>+'A) Base RI'!O142</f>
        <v>41597.1</v>
      </c>
      <c r="W142" s="10">
        <f>+'A) Base RI'!P142</f>
        <v>340604.65</v>
      </c>
      <c r="X142" s="10">
        <f>+'A) Base RI'!R142</f>
        <v>191341.2</v>
      </c>
      <c r="Y142" s="394">
        <f t="shared" si="17"/>
        <v>573542.94999999995</v>
      </c>
      <c r="Z142" s="10">
        <f>+'A) Base RI'!N142</f>
        <v>127028.65</v>
      </c>
      <c r="AA142" s="10">
        <f>'A) Base RI'!V142</f>
        <v>2775</v>
      </c>
    </row>
    <row r="143" spans="1:27" x14ac:dyDescent="0.25">
      <c r="A143" s="8">
        <f>'A) Base RI'!A143</f>
        <v>5634</v>
      </c>
      <c r="B143" s="32" t="str">
        <f>'A) Base RI'!B143</f>
        <v>Echichens</v>
      </c>
      <c r="C143" s="10">
        <f>'A) Base RI'!C143+'A) Base RI'!D143</f>
        <v>8991360.6500000004</v>
      </c>
      <c r="D143" s="10">
        <f>'A) Base RI'!W143</f>
        <v>-17917.09</v>
      </c>
      <c r="E143" s="390">
        <f>'A) Base RI'!X143</f>
        <v>0</v>
      </c>
      <c r="F143" s="390">
        <f>'A) Base RI'!Y143</f>
        <v>-8112.3</v>
      </c>
      <c r="G143" s="394">
        <f t="shared" si="12"/>
        <v>8965331.2599999998</v>
      </c>
      <c r="H143" s="10">
        <f>+'A) Base RI'!E143</f>
        <v>0</v>
      </c>
      <c r="I143" s="10">
        <f>+'A) Base RI'!F143</f>
        <v>0</v>
      </c>
      <c r="J143" s="10">
        <f>+'A) Base RI'!G143+'A) Base RI'!H143+'A) Base RI'!S143</f>
        <v>171881.33000000002</v>
      </c>
      <c r="K143" s="10">
        <f>+'A) Base RI'!I143</f>
        <v>67961.05</v>
      </c>
      <c r="L143" s="10">
        <f>+'A) Base RI'!J143</f>
        <v>96837.51</v>
      </c>
      <c r="M143" s="10">
        <f>+'A) Base RI'!K143</f>
        <v>28641.9</v>
      </c>
      <c r="N143" s="10">
        <f>+'A) Base RI'!Q143</f>
        <v>7269.84</v>
      </c>
      <c r="O143" s="10">
        <f t="shared" si="13"/>
        <v>731624</v>
      </c>
      <c r="P143" s="10">
        <f>+'A) Base RI'!L143</f>
        <v>731624</v>
      </c>
      <c r="Q143" s="402">
        <f>'A) Base RI'!Z143</f>
        <v>1</v>
      </c>
      <c r="R143" s="394">
        <f t="shared" si="14"/>
        <v>10069546.890000001</v>
      </c>
      <c r="S143" s="437">
        <f>+'A) Base RI'!U143</f>
        <v>66</v>
      </c>
      <c r="T143" s="394">
        <f t="shared" si="15"/>
        <v>9309280.9900000002</v>
      </c>
      <c r="U143" s="394">
        <f t="shared" si="16"/>
        <v>152568.89227272727</v>
      </c>
      <c r="V143" s="10">
        <f>+'A) Base RI'!O143</f>
        <v>194459</v>
      </c>
      <c r="W143" s="10">
        <f>+'A) Base RI'!P143</f>
        <v>576328.75</v>
      </c>
      <c r="X143" s="10">
        <f>+'A) Base RI'!R143</f>
        <v>282681</v>
      </c>
      <c r="Y143" s="394">
        <f t="shared" si="17"/>
        <v>1053468.75</v>
      </c>
      <c r="Z143" s="10">
        <f>+'A) Base RI'!N143</f>
        <v>49103.199999999997</v>
      </c>
      <c r="AA143" s="10">
        <f>'A) Base RI'!V143</f>
        <v>3142</v>
      </c>
    </row>
    <row r="144" spans="1:27" x14ac:dyDescent="0.25">
      <c r="A144" s="8">
        <f>'A) Base RI'!A144</f>
        <v>5635</v>
      </c>
      <c r="B144" s="32" t="str">
        <f>'A) Base RI'!B144</f>
        <v>Ecublens</v>
      </c>
      <c r="C144" s="10">
        <f>'A) Base RI'!C144+'A) Base RI'!D144</f>
        <v>20422841.82</v>
      </c>
      <c r="D144" s="10">
        <f>'A) Base RI'!W144</f>
        <v>-398566.14</v>
      </c>
      <c r="E144" s="390">
        <f>'A) Base RI'!X144</f>
        <v>0</v>
      </c>
      <c r="F144" s="390">
        <f>'A) Base RI'!Y144</f>
        <v>-20305.93</v>
      </c>
      <c r="G144" s="394">
        <f t="shared" si="12"/>
        <v>20003969.75</v>
      </c>
      <c r="H144" s="10">
        <f>+'A) Base RI'!E144</f>
        <v>0</v>
      </c>
      <c r="I144" s="10">
        <f>+'A) Base RI'!F144</f>
        <v>0</v>
      </c>
      <c r="J144" s="10">
        <f>+'A) Base RI'!G144+'A) Base RI'!H144+'A) Base RI'!S144</f>
        <v>30157304.48</v>
      </c>
      <c r="K144" s="10">
        <f>+'A) Base RI'!I144</f>
        <v>0</v>
      </c>
      <c r="L144" s="10">
        <f>+'A) Base RI'!J144</f>
        <v>1224895.53</v>
      </c>
      <c r="M144" s="10">
        <f>+'A) Base RI'!K144</f>
        <v>330560.59999999998</v>
      </c>
      <c r="N144" s="10">
        <f>+'A) Base RI'!Q144</f>
        <v>89322.18</v>
      </c>
      <c r="O144" s="10">
        <f t="shared" si="13"/>
        <v>2716889.9583333335</v>
      </c>
      <c r="P144" s="10">
        <f>+'A) Base RI'!L144</f>
        <v>3260267.95</v>
      </c>
      <c r="Q144" s="402">
        <f>'A) Base RI'!Z144</f>
        <v>1.2</v>
      </c>
      <c r="R144" s="394">
        <f t="shared" si="14"/>
        <v>54522942.498333342</v>
      </c>
      <c r="S144" s="437">
        <f>+'A) Base RI'!U144</f>
        <v>62.5</v>
      </c>
      <c r="T144" s="394">
        <f t="shared" si="15"/>
        <v>51475491.940000005</v>
      </c>
      <c r="U144" s="394">
        <f t="shared" si="16"/>
        <v>872367.07997333352</v>
      </c>
      <c r="V144" s="10">
        <f>+'A) Base RI'!O144</f>
        <v>629100.5</v>
      </c>
      <c r="W144" s="10">
        <f>+'A) Base RI'!P144</f>
        <v>1817345.3</v>
      </c>
      <c r="X144" s="10">
        <f>+'A) Base RI'!R144</f>
        <v>657972.1</v>
      </c>
      <c r="Y144" s="394">
        <f t="shared" si="17"/>
        <v>3104417.9</v>
      </c>
      <c r="Z144" s="10">
        <f>+'A) Base RI'!N144</f>
        <v>1875328.15</v>
      </c>
      <c r="AA144" s="10">
        <f>'A) Base RI'!V144</f>
        <v>13214</v>
      </c>
    </row>
    <row r="145" spans="1:27" x14ac:dyDescent="0.25">
      <c r="A145" s="8">
        <f>'A) Base RI'!A145</f>
        <v>5636</v>
      </c>
      <c r="B145" s="32" t="str">
        <f>'A) Base RI'!B145</f>
        <v>Etoy</v>
      </c>
      <c r="C145" s="10">
        <f>'A) Base RI'!C145+'A) Base RI'!D145</f>
        <v>7000237.3600000003</v>
      </c>
      <c r="D145" s="10">
        <f>'A) Base RI'!W145</f>
        <v>-82175.960000000006</v>
      </c>
      <c r="E145" s="390">
        <f>'A) Base RI'!X145</f>
        <v>0</v>
      </c>
      <c r="F145" s="390">
        <f>'A) Base RI'!Y145</f>
        <v>-3730.07</v>
      </c>
      <c r="G145" s="394">
        <f t="shared" si="12"/>
        <v>6914331.3300000001</v>
      </c>
      <c r="H145" s="10">
        <f>+'A) Base RI'!E145</f>
        <v>0</v>
      </c>
      <c r="I145" s="10">
        <f>+'A) Base RI'!F145</f>
        <v>0</v>
      </c>
      <c r="J145" s="10">
        <f>+'A) Base RI'!G145+'A) Base RI'!H145+'A) Base RI'!S145</f>
        <v>2381359.4700000002</v>
      </c>
      <c r="K145" s="10">
        <f>+'A) Base RI'!I145</f>
        <v>1173.25</v>
      </c>
      <c r="L145" s="10">
        <f>+'A) Base RI'!J145</f>
        <v>473653.92</v>
      </c>
      <c r="M145" s="10">
        <f>+'A) Base RI'!K145</f>
        <v>259740.79999999999</v>
      </c>
      <c r="N145" s="10">
        <f>+'A) Base RI'!Q145</f>
        <v>6392.63</v>
      </c>
      <c r="O145" s="10">
        <f t="shared" si="13"/>
        <v>1187161</v>
      </c>
      <c r="P145" s="10">
        <f>+'A) Base RI'!L145</f>
        <v>1187161</v>
      </c>
      <c r="Q145" s="402">
        <f>'A) Base RI'!Z145</f>
        <v>1</v>
      </c>
      <c r="R145" s="394">
        <f t="shared" si="14"/>
        <v>11223812.400000002</v>
      </c>
      <c r="S145" s="437">
        <f>+'A) Base RI'!U145</f>
        <v>60</v>
      </c>
      <c r="T145" s="394">
        <f t="shared" si="15"/>
        <v>9776910.6000000015</v>
      </c>
      <c r="U145" s="394">
        <f t="shared" si="16"/>
        <v>187063.54000000004</v>
      </c>
      <c r="V145" s="10">
        <f>+'A) Base RI'!O145</f>
        <v>372820.6</v>
      </c>
      <c r="W145" s="10">
        <f>+'A) Base RI'!P145</f>
        <v>1116343.6499999999</v>
      </c>
      <c r="X145" s="10">
        <f>+'A) Base RI'!R145</f>
        <v>388089.35</v>
      </c>
      <c r="Y145" s="394">
        <f t="shared" si="17"/>
        <v>1877253.6</v>
      </c>
      <c r="Z145" s="10">
        <f>+'A) Base RI'!N145</f>
        <v>570633.05000000005</v>
      </c>
      <c r="AA145" s="10">
        <f>'A) Base RI'!V145</f>
        <v>2918</v>
      </c>
    </row>
    <row r="146" spans="1:27" x14ac:dyDescent="0.25">
      <c r="A146" s="8">
        <f>'A) Base RI'!A146</f>
        <v>5637</v>
      </c>
      <c r="B146" s="32" t="str">
        <f>'A) Base RI'!B146</f>
        <v>Lavigny</v>
      </c>
      <c r="C146" s="10">
        <f>'A) Base RI'!C146+'A) Base RI'!D146</f>
        <v>2538315.11</v>
      </c>
      <c r="D146" s="10">
        <f>'A) Base RI'!W146</f>
        <v>-14815.91</v>
      </c>
      <c r="E146" s="390">
        <f>'A) Base RI'!X146</f>
        <v>0</v>
      </c>
      <c r="F146" s="390">
        <f>'A) Base RI'!Y146</f>
        <v>-1570.94</v>
      </c>
      <c r="G146" s="394">
        <f t="shared" si="12"/>
        <v>2521928.2599999998</v>
      </c>
      <c r="H146" s="10">
        <f>+'A) Base RI'!E146</f>
        <v>0</v>
      </c>
      <c r="I146" s="10">
        <f>+'A) Base RI'!F146</f>
        <v>0</v>
      </c>
      <c r="J146" s="10">
        <f>+'A) Base RI'!G146+'A) Base RI'!H146+'A) Base RI'!S146</f>
        <v>37822.750000000007</v>
      </c>
      <c r="K146" s="10">
        <f>+'A) Base RI'!I146</f>
        <v>0</v>
      </c>
      <c r="L146" s="10">
        <f>+'A) Base RI'!J146</f>
        <v>2127.4499999999998</v>
      </c>
      <c r="M146" s="10">
        <f>+'A) Base RI'!K146</f>
        <v>8991.35</v>
      </c>
      <c r="N146" s="10">
        <f>+'A) Base RI'!Q146</f>
        <v>0</v>
      </c>
      <c r="O146" s="10">
        <f t="shared" si="13"/>
        <v>195903</v>
      </c>
      <c r="P146" s="10">
        <f>+'A) Base RI'!L146</f>
        <v>293854.5</v>
      </c>
      <c r="Q146" s="402">
        <f>'A) Base RI'!Z146</f>
        <v>1.5</v>
      </c>
      <c r="R146" s="394">
        <f t="shared" si="14"/>
        <v>2766772.81</v>
      </c>
      <c r="S146" s="437">
        <f>+'A) Base RI'!U146</f>
        <v>73</v>
      </c>
      <c r="T146" s="394">
        <f t="shared" si="15"/>
        <v>2561878.46</v>
      </c>
      <c r="U146" s="394">
        <f t="shared" si="16"/>
        <v>37900.997397260275</v>
      </c>
      <c r="V146" s="10">
        <f>+'A) Base RI'!O146</f>
        <v>0</v>
      </c>
      <c r="W146" s="10">
        <f>+'A) Base RI'!P146</f>
        <v>194767.4</v>
      </c>
      <c r="X146" s="10">
        <f>+'A) Base RI'!R146</f>
        <v>153664.9</v>
      </c>
      <c r="Y146" s="394">
        <f t="shared" si="17"/>
        <v>348432.3</v>
      </c>
      <c r="Z146" s="10">
        <f>+'A) Base RI'!N146</f>
        <v>231727.1</v>
      </c>
      <c r="AA146" s="10">
        <f>'A) Base RI'!V146</f>
        <v>1026</v>
      </c>
    </row>
    <row r="147" spans="1:27" x14ac:dyDescent="0.25">
      <c r="A147" s="8">
        <f>'A) Base RI'!A147</f>
        <v>5638</v>
      </c>
      <c r="B147" s="32" t="str">
        <f>'A) Base RI'!B147</f>
        <v>Lonay</v>
      </c>
      <c r="C147" s="10">
        <f>'A) Base RI'!C147+'A) Base RI'!D147</f>
        <v>7579507.8999999994</v>
      </c>
      <c r="D147" s="10">
        <f>'A) Base RI'!W147</f>
        <v>-26311.53</v>
      </c>
      <c r="E147" s="390">
        <f>'A) Base RI'!X147</f>
        <v>0</v>
      </c>
      <c r="F147" s="390">
        <f>'A) Base RI'!Y147</f>
        <v>-9128.07</v>
      </c>
      <c r="G147" s="394">
        <f t="shared" si="12"/>
        <v>7544068.2999999989</v>
      </c>
      <c r="H147" s="10">
        <f>+'A) Base RI'!E147</f>
        <v>0</v>
      </c>
      <c r="I147" s="10">
        <f>+'A) Base RI'!F147</f>
        <v>0</v>
      </c>
      <c r="J147" s="10">
        <f>+'A) Base RI'!G147+'A) Base RI'!H147+'A) Base RI'!S147</f>
        <v>825310.03</v>
      </c>
      <c r="K147" s="10">
        <f>+'A) Base RI'!I147</f>
        <v>248392.75</v>
      </c>
      <c r="L147" s="10">
        <f>+'A) Base RI'!J147</f>
        <v>173538.12</v>
      </c>
      <c r="M147" s="10">
        <f>+'A) Base RI'!K147</f>
        <v>66248.100000000006</v>
      </c>
      <c r="N147" s="10">
        <f>+'A) Base RI'!Q147</f>
        <v>46639.73</v>
      </c>
      <c r="O147" s="10">
        <f t="shared" si="13"/>
        <v>674324.6</v>
      </c>
      <c r="P147" s="10">
        <f>+'A) Base RI'!L147</f>
        <v>674324.6</v>
      </c>
      <c r="Q147" s="402">
        <f>'A) Base RI'!Z147</f>
        <v>1</v>
      </c>
      <c r="R147" s="394">
        <f t="shared" si="14"/>
        <v>9578521.6299999971</v>
      </c>
      <c r="S147" s="437">
        <f>+'A) Base RI'!U147</f>
        <v>55</v>
      </c>
      <c r="T147" s="394">
        <f t="shared" si="15"/>
        <v>8837948.9299999978</v>
      </c>
      <c r="U147" s="394">
        <f t="shared" si="16"/>
        <v>174154.93872727267</v>
      </c>
      <c r="V147" s="10">
        <f>+'A) Base RI'!O147</f>
        <v>7497652.7999999998</v>
      </c>
      <c r="W147" s="10">
        <f>+'A) Base RI'!P147</f>
        <v>464147</v>
      </c>
      <c r="X147" s="10">
        <f>+'A) Base RI'!R147</f>
        <v>296329.65000000002</v>
      </c>
      <c r="Y147" s="394">
        <f t="shared" si="17"/>
        <v>8258129.4500000002</v>
      </c>
      <c r="Z147" s="10">
        <f>+'A) Base RI'!N147</f>
        <v>319329.59999999998</v>
      </c>
      <c r="AA147" s="10">
        <f>'A) Base RI'!V147</f>
        <v>2751</v>
      </c>
    </row>
    <row r="148" spans="1:27" x14ac:dyDescent="0.25">
      <c r="A148" s="8">
        <f>'A) Base RI'!A148</f>
        <v>5639</v>
      </c>
      <c r="B148" s="32" t="str">
        <f>'A) Base RI'!B148</f>
        <v>Lully</v>
      </c>
      <c r="C148" s="10">
        <f>'A) Base RI'!C148+'A) Base RI'!D148</f>
        <v>2967105.21</v>
      </c>
      <c r="D148" s="10">
        <f>'A) Base RI'!W148</f>
        <v>-3113.34</v>
      </c>
      <c r="E148" s="390">
        <f>'A) Base RI'!X148</f>
        <v>0</v>
      </c>
      <c r="F148" s="390">
        <f>'A) Base RI'!Y148</f>
        <v>-1123.2</v>
      </c>
      <c r="G148" s="394">
        <f t="shared" si="12"/>
        <v>2962868.67</v>
      </c>
      <c r="H148" s="10">
        <f>+'A) Base RI'!E148</f>
        <v>0</v>
      </c>
      <c r="I148" s="10">
        <f>+'A) Base RI'!F148</f>
        <v>0</v>
      </c>
      <c r="J148" s="10">
        <f>+'A) Base RI'!G148+'A) Base RI'!H148+'A) Base RI'!S148</f>
        <v>97688.42</v>
      </c>
      <c r="K148" s="10">
        <f>+'A) Base RI'!I148</f>
        <v>0</v>
      </c>
      <c r="L148" s="10">
        <f>+'A) Base RI'!J148</f>
        <v>8717.4699999999993</v>
      </c>
      <c r="M148" s="10">
        <f>+'A) Base RI'!K148</f>
        <v>-2986.65</v>
      </c>
      <c r="N148" s="10">
        <f>+'A) Base RI'!Q148</f>
        <v>100</v>
      </c>
      <c r="O148" s="10">
        <f t="shared" si="13"/>
        <v>209999.52000000002</v>
      </c>
      <c r="P148" s="10">
        <f>+'A) Base RI'!L148</f>
        <v>262499.40000000002</v>
      </c>
      <c r="Q148" s="402">
        <f>'A) Base RI'!Z148</f>
        <v>1.25</v>
      </c>
      <c r="R148" s="394">
        <f t="shared" si="14"/>
        <v>3276387.43</v>
      </c>
      <c r="S148" s="437">
        <f>+'A) Base RI'!U148</f>
        <v>61</v>
      </c>
      <c r="T148" s="394">
        <f t="shared" si="15"/>
        <v>3069374.56</v>
      </c>
      <c r="U148" s="394">
        <f t="shared" si="16"/>
        <v>53711.269344262299</v>
      </c>
      <c r="V148" s="10">
        <f>+'A) Base RI'!O148</f>
        <v>3958.3</v>
      </c>
      <c r="W148" s="10">
        <f>+'A) Base RI'!P148</f>
        <v>115570.05</v>
      </c>
      <c r="X148" s="10">
        <f>+'A) Base RI'!R148</f>
        <v>61535.75</v>
      </c>
      <c r="Y148" s="394">
        <f t="shared" si="17"/>
        <v>181064.1</v>
      </c>
      <c r="Z148" s="10">
        <f>+'A) Base RI'!N148</f>
        <v>20293.95</v>
      </c>
      <c r="AA148" s="10">
        <f>'A) Base RI'!V148</f>
        <v>828</v>
      </c>
    </row>
    <row r="149" spans="1:27" x14ac:dyDescent="0.25">
      <c r="A149" s="8">
        <f>'A) Base RI'!A149</f>
        <v>5640</v>
      </c>
      <c r="B149" s="32" t="str">
        <f>'A) Base RI'!B149</f>
        <v>Lussy-sur-Morges</v>
      </c>
      <c r="C149" s="10">
        <f>'A) Base RI'!C149+'A) Base RI'!D149</f>
        <v>4196947.04</v>
      </c>
      <c r="D149" s="10">
        <f>'A) Base RI'!W149</f>
        <v>-4482.5200000000004</v>
      </c>
      <c r="E149" s="390">
        <f>'A) Base RI'!X149</f>
        <v>0</v>
      </c>
      <c r="F149" s="390">
        <f>'A) Base RI'!Y149</f>
        <v>-24599.439999999999</v>
      </c>
      <c r="G149" s="394">
        <f t="shared" si="12"/>
        <v>4167865.08</v>
      </c>
      <c r="H149" s="10">
        <f>+'A) Base RI'!E149</f>
        <v>0</v>
      </c>
      <c r="I149" s="10">
        <f>+'A) Base RI'!F149</f>
        <v>0</v>
      </c>
      <c r="J149" s="10">
        <f>+'A) Base RI'!G149+'A) Base RI'!H149+'A) Base RI'!S149</f>
        <v>57199.909999999996</v>
      </c>
      <c r="K149" s="10">
        <f>+'A) Base RI'!I149</f>
        <v>91375.2</v>
      </c>
      <c r="L149" s="10">
        <f>+'A) Base RI'!J149</f>
        <v>3882.25</v>
      </c>
      <c r="M149" s="10">
        <f>+'A) Base RI'!K149</f>
        <v>10428.75</v>
      </c>
      <c r="N149" s="10">
        <f>+'A) Base RI'!Q149</f>
        <v>2635.17</v>
      </c>
      <c r="O149" s="10">
        <f t="shared" si="13"/>
        <v>215657.65</v>
      </c>
      <c r="P149" s="10">
        <f>+'A) Base RI'!L149</f>
        <v>215657.65</v>
      </c>
      <c r="Q149" s="402">
        <f>'A) Base RI'!Z149</f>
        <v>1</v>
      </c>
      <c r="R149" s="394">
        <f t="shared" si="14"/>
        <v>4549044.0100000007</v>
      </c>
      <c r="S149" s="437">
        <f>+'A) Base RI'!U149</f>
        <v>64.5</v>
      </c>
      <c r="T149" s="394">
        <f t="shared" si="15"/>
        <v>4322957.6100000003</v>
      </c>
      <c r="U149" s="394">
        <f t="shared" si="16"/>
        <v>70527.814108527149</v>
      </c>
      <c r="V149" s="10">
        <f>+'A) Base RI'!O149</f>
        <v>309842.59999999998</v>
      </c>
      <c r="W149" s="10">
        <f>+'A) Base RI'!P149</f>
        <v>263911.8</v>
      </c>
      <c r="X149" s="10">
        <f>+'A) Base RI'!R149</f>
        <v>163436</v>
      </c>
      <c r="Y149" s="394">
        <f t="shared" si="17"/>
        <v>737190.39999999991</v>
      </c>
      <c r="Z149" s="10">
        <f>+'A) Base RI'!N149</f>
        <v>20984.3</v>
      </c>
      <c r="AA149" s="10">
        <f>'A) Base RI'!V149</f>
        <v>740</v>
      </c>
    </row>
    <row r="150" spans="1:27" x14ac:dyDescent="0.25">
      <c r="A150" s="8">
        <f>'A) Base RI'!A150</f>
        <v>5642</v>
      </c>
      <c r="B150" s="32" t="str">
        <f>'A) Base RI'!B150</f>
        <v>Morges</v>
      </c>
      <c r="C150" s="10">
        <f>'A) Base RI'!C150+'A) Base RI'!D150</f>
        <v>42027966.07</v>
      </c>
      <c r="D150" s="10">
        <f>'A) Base RI'!W150</f>
        <v>-539005.03</v>
      </c>
      <c r="E150" s="390">
        <f>'A) Base RI'!X150</f>
        <v>0</v>
      </c>
      <c r="F150" s="390">
        <f>'A) Base RI'!Y150</f>
        <v>-94427.27</v>
      </c>
      <c r="G150" s="394">
        <f t="shared" si="12"/>
        <v>41394533.769999996</v>
      </c>
      <c r="H150" s="10">
        <f>+'A) Base RI'!E150</f>
        <v>0</v>
      </c>
      <c r="I150" s="10">
        <f>+'A) Base RI'!F150</f>
        <v>0</v>
      </c>
      <c r="J150" s="10">
        <f>+'A) Base RI'!G150+'A) Base RI'!H150+'A) Base RI'!S150</f>
        <v>20352288.590000004</v>
      </c>
      <c r="K150" s="10">
        <f>+'A) Base RI'!I150</f>
        <v>-886329.76</v>
      </c>
      <c r="L150" s="10">
        <f>+'A) Base RI'!J150</f>
        <v>2165278.56</v>
      </c>
      <c r="M150" s="10">
        <f>+'A) Base RI'!K150</f>
        <v>524306.9</v>
      </c>
      <c r="N150" s="10">
        <f>+'A) Base RI'!Q150</f>
        <v>51028.26</v>
      </c>
      <c r="O150" s="10">
        <f t="shared" si="13"/>
        <v>3380590.7</v>
      </c>
      <c r="P150" s="10">
        <f>+'A) Base RI'!L150</f>
        <v>3380590.7</v>
      </c>
      <c r="Q150" s="402">
        <f>'A) Base RI'!Z150</f>
        <v>1</v>
      </c>
      <c r="R150" s="394">
        <f t="shared" si="14"/>
        <v>66981697.020000003</v>
      </c>
      <c r="S150" s="437">
        <f>+'A) Base RI'!U150</f>
        <v>67</v>
      </c>
      <c r="T150" s="394">
        <f t="shared" si="15"/>
        <v>63076799.420000002</v>
      </c>
      <c r="U150" s="394">
        <f t="shared" si="16"/>
        <v>999726.82119402988</v>
      </c>
      <c r="V150" s="10">
        <f>+'A) Base RI'!O150</f>
        <v>2837589.9</v>
      </c>
      <c r="W150" s="10">
        <f>+'A) Base RI'!P150</f>
        <v>1295627.5</v>
      </c>
      <c r="X150" s="10">
        <f>+'A) Base RI'!R150</f>
        <v>1325952.5</v>
      </c>
      <c r="Y150" s="394">
        <f t="shared" si="17"/>
        <v>5459169.9000000004</v>
      </c>
      <c r="Z150" s="10">
        <f>+'A) Base RI'!N150</f>
        <v>1327116.8999999999</v>
      </c>
      <c r="AA150" s="10">
        <f>'A) Base RI'!V150</f>
        <v>16885</v>
      </c>
    </row>
    <row r="151" spans="1:27" x14ac:dyDescent="0.25">
      <c r="A151" s="8">
        <f>'A) Base RI'!A151</f>
        <v>5643</v>
      </c>
      <c r="B151" s="32" t="str">
        <f>'A) Base RI'!B151</f>
        <v>Préverenges</v>
      </c>
      <c r="C151" s="10">
        <f>'A) Base RI'!C151+'A) Base RI'!D151</f>
        <v>13730012.449999999</v>
      </c>
      <c r="D151" s="10">
        <f>'A) Base RI'!W151</f>
        <v>-160578.53</v>
      </c>
      <c r="E151" s="390">
        <f>'A) Base RI'!X151</f>
        <v>0</v>
      </c>
      <c r="F151" s="390">
        <f>'A) Base RI'!Y151</f>
        <v>-17962.939999999999</v>
      </c>
      <c r="G151" s="394">
        <f t="shared" si="12"/>
        <v>13551470.98</v>
      </c>
      <c r="H151" s="10">
        <f>+'A) Base RI'!E151</f>
        <v>0</v>
      </c>
      <c r="I151" s="10">
        <f>+'A) Base RI'!F151</f>
        <v>0</v>
      </c>
      <c r="J151" s="10">
        <f>+'A) Base RI'!G151+'A) Base RI'!H151+'A) Base RI'!S151</f>
        <v>656737.60000000009</v>
      </c>
      <c r="K151" s="10">
        <f>+'A) Base RI'!I151</f>
        <v>365406.59</v>
      </c>
      <c r="L151" s="10">
        <f>+'A) Base RI'!J151</f>
        <v>196489.56</v>
      </c>
      <c r="M151" s="10">
        <f>+'A) Base RI'!K151</f>
        <v>130915.1</v>
      </c>
      <c r="N151" s="10">
        <f>+'A) Base RI'!Q151</f>
        <v>70180.77</v>
      </c>
      <c r="O151" s="10">
        <f t="shared" si="13"/>
        <v>1138350.72</v>
      </c>
      <c r="P151" s="10">
        <f>+'A) Base RI'!L151</f>
        <v>1138350.72</v>
      </c>
      <c r="Q151" s="402">
        <f>'A) Base RI'!Z151</f>
        <v>1</v>
      </c>
      <c r="R151" s="394">
        <f t="shared" si="14"/>
        <v>16109551.32</v>
      </c>
      <c r="S151" s="437">
        <f>+'A) Base RI'!U151</f>
        <v>62.5</v>
      </c>
      <c r="T151" s="394">
        <f t="shared" si="15"/>
        <v>14840285.5</v>
      </c>
      <c r="U151" s="394">
        <f t="shared" si="16"/>
        <v>257752.82112000001</v>
      </c>
      <c r="V151" s="10">
        <f>+'A) Base RI'!O151</f>
        <v>-50459</v>
      </c>
      <c r="W151" s="10">
        <f>+'A) Base RI'!P151</f>
        <v>454440.25</v>
      </c>
      <c r="X151" s="10">
        <f>+'A) Base RI'!R151</f>
        <v>477859.3</v>
      </c>
      <c r="Y151" s="394">
        <f t="shared" si="17"/>
        <v>881840.55</v>
      </c>
      <c r="Z151" s="10">
        <f>+'A) Base RI'!N151</f>
        <v>200612.9</v>
      </c>
      <c r="AA151" s="10">
        <f>'A) Base RI'!V151</f>
        <v>5208</v>
      </c>
    </row>
    <row r="152" spans="1:27" x14ac:dyDescent="0.25">
      <c r="A152" s="8">
        <f>'A) Base RI'!A152</f>
        <v>5644</v>
      </c>
      <c r="B152" s="32" t="str">
        <f>'A) Base RI'!B152</f>
        <v>Reverolle</v>
      </c>
      <c r="C152" s="10">
        <f>'A) Base RI'!C152+'A) Base RI'!D152</f>
        <v>1124881.8799999999</v>
      </c>
      <c r="D152" s="10">
        <f>'A) Base RI'!W152</f>
        <v>-6773.74</v>
      </c>
      <c r="E152" s="390">
        <f>'A) Base RI'!X152</f>
        <v>0</v>
      </c>
      <c r="F152" s="390">
        <f>'A) Base RI'!Y152</f>
        <v>-210.59</v>
      </c>
      <c r="G152" s="394">
        <f t="shared" si="12"/>
        <v>1117897.5499999998</v>
      </c>
      <c r="H152" s="10">
        <f>+'A) Base RI'!E152</f>
        <v>0</v>
      </c>
      <c r="I152" s="10">
        <f>+'A) Base RI'!F152</f>
        <v>0</v>
      </c>
      <c r="J152" s="10">
        <f>+'A) Base RI'!G152+'A) Base RI'!H152+'A) Base RI'!S152</f>
        <v>-1027.26</v>
      </c>
      <c r="K152" s="10">
        <f>+'A) Base RI'!I152</f>
        <v>0</v>
      </c>
      <c r="L152" s="10">
        <f>+'A) Base RI'!J152</f>
        <v>424.05</v>
      </c>
      <c r="M152" s="10">
        <f>+'A) Base RI'!K152</f>
        <v>0</v>
      </c>
      <c r="N152" s="10">
        <f>+'A) Base RI'!Q152</f>
        <v>7850.9</v>
      </c>
      <c r="O152" s="10">
        <f t="shared" si="13"/>
        <v>85750.65</v>
      </c>
      <c r="P152" s="10">
        <f>+'A) Base RI'!L152</f>
        <v>85750.65</v>
      </c>
      <c r="Q152" s="402">
        <f>'A) Base RI'!Z152</f>
        <v>1</v>
      </c>
      <c r="R152" s="394">
        <f t="shared" si="14"/>
        <v>1210895.8899999997</v>
      </c>
      <c r="S152" s="437">
        <f>+'A) Base RI'!U152</f>
        <v>74</v>
      </c>
      <c r="T152" s="394">
        <f t="shared" si="15"/>
        <v>1125145.2399999998</v>
      </c>
      <c r="U152" s="394">
        <f t="shared" si="16"/>
        <v>16363.457972972968</v>
      </c>
      <c r="V152" s="10">
        <f>+'A) Base RI'!O152</f>
        <v>770</v>
      </c>
      <c r="W152" s="10">
        <f>+'A) Base RI'!P152</f>
        <v>32890</v>
      </c>
      <c r="X152" s="10">
        <f>+'A) Base RI'!R152</f>
        <v>7896.35</v>
      </c>
      <c r="Y152" s="394">
        <f t="shared" si="17"/>
        <v>41556.35</v>
      </c>
      <c r="Z152" s="10">
        <f>+'A) Base RI'!N152</f>
        <v>2764.4</v>
      </c>
      <c r="AA152" s="10">
        <f>'A) Base RI'!V152</f>
        <v>403</v>
      </c>
    </row>
    <row r="153" spans="1:27" x14ac:dyDescent="0.25">
      <c r="A153" s="8">
        <f>'A) Base RI'!A153</f>
        <v>5645</v>
      </c>
      <c r="B153" s="32" t="str">
        <f>'A) Base RI'!B153</f>
        <v>Romanel-sur-Morges</v>
      </c>
      <c r="C153" s="10">
        <f>'A) Base RI'!C153+'A) Base RI'!D153</f>
        <v>1086010.06</v>
      </c>
      <c r="D153" s="10">
        <f>'A) Base RI'!W153</f>
        <v>-9250.36</v>
      </c>
      <c r="E153" s="390">
        <f>'A) Base RI'!X153</f>
        <v>0</v>
      </c>
      <c r="F153" s="390">
        <f>'A) Base RI'!Y153</f>
        <v>-577.80999999999995</v>
      </c>
      <c r="G153" s="394">
        <f t="shared" si="12"/>
        <v>1076181.8899999999</v>
      </c>
      <c r="H153" s="10">
        <f>+'A) Base RI'!E153</f>
        <v>0</v>
      </c>
      <c r="I153" s="10">
        <f>+'A) Base RI'!F153</f>
        <v>0</v>
      </c>
      <c r="J153" s="10">
        <f>+'A) Base RI'!G153+'A) Base RI'!H153+'A) Base RI'!S153</f>
        <v>171331.76</v>
      </c>
      <c r="K153" s="10">
        <f>+'A) Base RI'!I153</f>
        <v>0</v>
      </c>
      <c r="L153" s="10">
        <f>+'A) Base RI'!J153</f>
        <v>55470.86</v>
      </c>
      <c r="M153" s="10">
        <f>+'A) Base RI'!K153</f>
        <v>21581.5</v>
      </c>
      <c r="N153" s="10">
        <f>+'A) Base RI'!Q153</f>
        <v>1707.71</v>
      </c>
      <c r="O153" s="10">
        <f t="shared" si="13"/>
        <v>162543.5</v>
      </c>
      <c r="P153" s="10">
        <f>+'A) Base RI'!L153</f>
        <v>162543.5</v>
      </c>
      <c r="Q153" s="402">
        <f>'A) Base RI'!Z153</f>
        <v>1</v>
      </c>
      <c r="R153" s="394">
        <f t="shared" si="14"/>
        <v>1488817.22</v>
      </c>
      <c r="S153" s="437">
        <f>+'A) Base RI'!U153</f>
        <v>56</v>
      </c>
      <c r="T153" s="394">
        <f t="shared" si="15"/>
        <v>1304692.22</v>
      </c>
      <c r="U153" s="394">
        <f t="shared" si="16"/>
        <v>26586.021785714285</v>
      </c>
      <c r="V153" s="10">
        <f>+'A) Base RI'!O153</f>
        <v>96188.7</v>
      </c>
      <c r="W153" s="10">
        <f>+'A) Base RI'!P153</f>
        <v>35423</v>
      </c>
      <c r="X153" s="10">
        <f>+'A) Base RI'!R153</f>
        <v>55080.4</v>
      </c>
      <c r="Y153" s="394">
        <f t="shared" si="17"/>
        <v>186692.1</v>
      </c>
      <c r="Z153" s="10">
        <f>+'A) Base RI'!N153</f>
        <v>66780.649999999994</v>
      </c>
      <c r="AA153" s="10">
        <f>'A) Base RI'!V153</f>
        <v>466</v>
      </c>
    </row>
    <row r="154" spans="1:27" x14ac:dyDescent="0.25">
      <c r="A154" s="8">
        <f>'A) Base RI'!A154</f>
        <v>5646</v>
      </c>
      <c r="B154" s="32" t="str">
        <f>'A) Base RI'!B154</f>
        <v>Saint-Prex</v>
      </c>
      <c r="C154" s="10">
        <f>'A) Base RI'!C154+'A) Base RI'!D154</f>
        <v>16374865.109999999</v>
      </c>
      <c r="D154" s="10">
        <f>'A) Base RI'!W154</f>
        <v>-104718.29</v>
      </c>
      <c r="E154" s="390">
        <f>'A) Base RI'!X154</f>
        <v>0</v>
      </c>
      <c r="F154" s="390">
        <f>'A) Base RI'!Y154</f>
        <v>-22242.06</v>
      </c>
      <c r="G154" s="394">
        <f t="shared" si="12"/>
        <v>16247904.76</v>
      </c>
      <c r="H154" s="10">
        <f>+'A) Base RI'!E154</f>
        <v>0</v>
      </c>
      <c r="I154" s="10">
        <f>+'A) Base RI'!F154</f>
        <v>0</v>
      </c>
      <c r="J154" s="10">
        <f>+'A) Base RI'!G154+'A) Base RI'!H154+'A) Base RI'!S154</f>
        <v>11873300.870000001</v>
      </c>
      <c r="K154" s="10">
        <f>+'A) Base RI'!I154</f>
        <v>554981.4</v>
      </c>
      <c r="L154" s="10">
        <f>+'A) Base RI'!J154</f>
        <v>621836.80000000005</v>
      </c>
      <c r="M154" s="10">
        <f>+'A) Base RI'!K154</f>
        <v>156366.6</v>
      </c>
      <c r="N154" s="10">
        <f>+'A) Base RI'!Q154</f>
        <v>10829.31</v>
      </c>
      <c r="O154" s="10">
        <f t="shared" si="13"/>
        <v>1685762.5</v>
      </c>
      <c r="P154" s="10">
        <f>+'A) Base RI'!L154</f>
        <v>2022915</v>
      </c>
      <c r="Q154" s="402">
        <f>'A) Base RI'!Z154</f>
        <v>1.2</v>
      </c>
      <c r="R154" s="394">
        <f t="shared" si="14"/>
        <v>31150982.240000002</v>
      </c>
      <c r="S154" s="437">
        <f>+'A) Base RI'!U154</f>
        <v>59</v>
      </c>
      <c r="T154" s="394">
        <f t="shared" si="15"/>
        <v>29308853.140000001</v>
      </c>
      <c r="U154" s="394">
        <f t="shared" si="16"/>
        <v>527982.74983050849</v>
      </c>
      <c r="V154" s="10">
        <f>+'A) Base RI'!O154</f>
        <v>329676.09999999998</v>
      </c>
      <c r="W154" s="10">
        <f>+'A) Base RI'!P154</f>
        <v>1568269.65</v>
      </c>
      <c r="X154" s="10">
        <f>+'A) Base RI'!R154</f>
        <v>1542299.7</v>
      </c>
      <c r="Y154" s="394">
        <f t="shared" si="17"/>
        <v>3440245.45</v>
      </c>
      <c r="Z154" s="10">
        <f>+'A) Base RI'!N154</f>
        <v>663063.1</v>
      </c>
      <c r="AA154" s="10">
        <f>'A) Base RI'!V154</f>
        <v>5866</v>
      </c>
    </row>
    <row r="155" spans="1:27" x14ac:dyDescent="0.25">
      <c r="A155" s="8">
        <f>'A) Base RI'!A155</f>
        <v>5648</v>
      </c>
      <c r="B155" s="32" t="str">
        <f>'A) Base RI'!B155</f>
        <v>Saint-Sulpice</v>
      </c>
      <c r="C155" s="10">
        <f>'A) Base RI'!C155+'A) Base RI'!D155</f>
        <v>17790580.649999999</v>
      </c>
      <c r="D155" s="10">
        <f>'A) Base RI'!W155</f>
        <v>-86714.29</v>
      </c>
      <c r="E155" s="390">
        <f>'A) Base RI'!X155</f>
        <v>0</v>
      </c>
      <c r="F155" s="390">
        <f>'A) Base RI'!Y155</f>
        <v>-41864.28</v>
      </c>
      <c r="G155" s="394">
        <f t="shared" si="12"/>
        <v>17662002.079999998</v>
      </c>
      <c r="H155" s="10">
        <f>+'A) Base RI'!E155</f>
        <v>0</v>
      </c>
      <c r="I155" s="10">
        <f>+'A) Base RI'!F155</f>
        <v>0</v>
      </c>
      <c r="J155" s="10">
        <f>+'A) Base RI'!G155+'A) Base RI'!H155+'A) Base RI'!S155</f>
        <v>1231941.49</v>
      </c>
      <c r="K155" s="10">
        <f>+'A) Base RI'!I155</f>
        <v>375047.25</v>
      </c>
      <c r="L155" s="10">
        <f>+'A) Base RI'!J155</f>
        <v>433976.27</v>
      </c>
      <c r="M155" s="10">
        <f>+'A) Base RI'!K155</f>
        <v>186166.35</v>
      </c>
      <c r="N155" s="10">
        <f>+'A) Base RI'!Q155</f>
        <v>48693.31</v>
      </c>
      <c r="O155" s="10">
        <f t="shared" si="13"/>
        <v>1755641.1374999997</v>
      </c>
      <c r="P155" s="10">
        <f>+'A) Base RI'!L155</f>
        <v>1404512.91</v>
      </c>
      <c r="Q155" s="402">
        <f>'A) Base RI'!Z155</f>
        <v>0.8</v>
      </c>
      <c r="R155" s="394">
        <f t="shared" si="14"/>
        <v>21693467.887499996</v>
      </c>
      <c r="S155" s="437">
        <f>+'A) Base RI'!U155</f>
        <v>55</v>
      </c>
      <c r="T155" s="394">
        <f t="shared" si="15"/>
        <v>19751660.399999995</v>
      </c>
      <c r="U155" s="394">
        <f t="shared" si="16"/>
        <v>394426.68886363629</v>
      </c>
      <c r="V155" s="10">
        <f>+'A) Base RI'!O155</f>
        <v>1216225.3999999999</v>
      </c>
      <c r="W155" s="10">
        <f>+'A) Base RI'!P155</f>
        <v>978139.95</v>
      </c>
      <c r="X155" s="10">
        <f>+'A) Base RI'!R155</f>
        <v>766442.95</v>
      </c>
      <c r="Y155" s="394">
        <f t="shared" si="17"/>
        <v>2960808.3</v>
      </c>
      <c r="Z155" s="10">
        <f>+'A) Base RI'!N155</f>
        <v>75692.7</v>
      </c>
      <c r="AA155" s="10">
        <f>'A) Base RI'!V155</f>
        <v>4932</v>
      </c>
    </row>
    <row r="156" spans="1:27" x14ac:dyDescent="0.25">
      <c r="A156" s="8">
        <f>'A) Base RI'!A156</f>
        <v>5649</v>
      </c>
      <c r="B156" s="32" t="str">
        <f>'A) Base RI'!B156</f>
        <v>Tolochenaz</v>
      </c>
      <c r="C156" s="10">
        <f>'A) Base RI'!C156+'A) Base RI'!D156</f>
        <v>4402410.68</v>
      </c>
      <c r="D156" s="10">
        <f>'A) Base RI'!W156</f>
        <v>-141662.75</v>
      </c>
      <c r="E156" s="390">
        <f>'A) Base RI'!X156</f>
        <v>0</v>
      </c>
      <c r="F156" s="390">
        <f>'A) Base RI'!Y156</f>
        <v>-2649.82</v>
      </c>
      <c r="G156" s="394">
        <f t="shared" si="12"/>
        <v>4258098.1099999994</v>
      </c>
      <c r="H156" s="10">
        <f>+'A) Base RI'!E156</f>
        <v>0</v>
      </c>
      <c r="I156" s="10">
        <f>+'A) Base RI'!F156</f>
        <v>0</v>
      </c>
      <c r="J156" s="10">
        <f>+'A) Base RI'!G156+'A) Base RI'!H156+'A) Base RI'!S156</f>
        <v>4488744.75</v>
      </c>
      <c r="K156" s="10">
        <f>+'A) Base RI'!I156</f>
        <v>63551.6</v>
      </c>
      <c r="L156" s="10">
        <f>+'A) Base RI'!J156</f>
        <v>531421.27</v>
      </c>
      <c r="M156" s="10">
        <f>+'A) Base RI'!K156</f>
        <v>63393.1</v>
      </c>
      <c r="N156" s="10">
        <f>+'A) Base RI'!Q156</f>
        <v>2541.71</v>
      </c>
      <c r="O156" s="10">
        <f t="shared" si="13"/>
        <v>562068.44999999995</v>
      </c>
      <c r="P156" s="10">
        <f>+'A) Base RI'!L156</f>
        <v>562068.44999999995</v>
      </c>
      <c r="Q156" s="402">
        <f>'A) Base RI'!Z156</f>
        <v>1</v>
      </c>
      <c r="R156" s="394">
        <f t="shared" si="14"/>
        <v>9969818.9899999984</v>
      </c>
      <c r="S156" s="437">
        <f>+'A) Base RI'!U156</f>
        <v>64</v>
      </c>
      <c r="T156" s="394">
        <f t="shared" si="15"/>
        <v>9344357.4399999995</v>
      </c>
      <c r="U156" s="394">
        <f t="shared" si="16"/>
        <v>155778.42171874997</v>
      </c>
      <c r="V156" s="10">
        <f>+'A) Base RI'!O156</f>
        <v>76927.199999999997</v>
      </c>
      <c r="W156" s="10">
        <f>+'A) Base RI'!P156</f>
        <v>239799.65</v>
      </c>
      <c r="X156" s="10">
        <f>+'A) Base RI'!R156</f>
        <v>201356.5</v>
      </c>
      <c r="Y156" s="394">
        <f t="shared" si="17"/>
        <v>518083.35</v>
      </c>
      <c r="Z156" s="10">
        <f>+'A) Base RI'!N156</f>
        <v>287080.5</v>
      </c>
      <c r="AA156" s="10">
        <f>'A) Base RI'!V156</f>
        <v>1886</v>
      </c>
    </row>
    <row r="157" spans="1:27" x14ac:dyDescent="0.25">
      <c r="A157" s="8">
        <f>'A) Base RI'!A157</f>
        <v>5650</v>
      </c>
      <c r="B157" s="32" t="str">
        <f>'A) Base RI'!B157</f>
        <v>Vaux-sur-Morges</v>
      </c>
      <c r="C157" s="10">
        <f>'A) Base RI'!C157+'A) Base RI'!D157</f>
        <v>4597988.1100000003</v>
      </c>
      <c r="D157" s="10">
        <f>'A) Base RI'!W157</f>
        <v>-1.19</v>
      </c>
      <c r="E157" s="390">
        <f>'A) Base RI'!X157</f>
        <v>0</v>
      </c>
      <c r="F157" s="390">
        <f>'A) Base RI'!Y157</f>
        <v>-5060.2</v>
      </c>
      <c r="G157" s="394">
        <f t="shared" si="12"/>
        <v>4592926.7199999997</v>
      </c>
      <c r="H157" s="10">
        <f>+'A) Base RI'!E157</f>
        <v>0</v>
      </c>
      <c r="I157" s="10">
        <f>+'A) Base RI'!F157</f>
        <v>0</v>
      </c>
      <c r="J157" s="10">
        <f>+'A) Base RI'!G157+'A) Base RI'!H157+'A) Base RI'!S157</f>
        <v>9197.7200000000012</v>
      </c>
      <c r="K157" s="10">
        <f>+'A) Base RI'!I157</f>
        <v>0</v>
      </c>
      <c r="L157" s="10">
        <f>+'A) Base RI'!J157</f>
        <v>7063.68</v>
      </c>
      <c r="M157" s="10">
        <f>+'A) Base RI'!K157</f>
        <v>0</v>
      </c>
      <c r="N157" s="10">
        <f>+'A) Base RI'!Q157</f>
        <v>0</v>
      </c>
      <c r="O157" s="10">
        <f t="shared" si="13"/>
        <v>45852</v>
      </c>
      <c r="P157" s="10">
        <f>+'A) Base RI'!L157</f>
        <v>57315</v>
      </c>
      <c r="Q157" s="402">
        <f>'A) Base RI'!Z157</f>
        <v>1.25</v>
      </c>
      <c r="R157" s="394">
        <f t="shared" si="14"/>
        <v>4655040.1199999992</v>
      </c>
      <c r="S157" s="437">
        <f>+'A) Base RI'!U157</f>
        <v>56</v>
      </c>
      <c r="T157" s="394">
        <f t="shared" si="15"/>
        <v>4609188.1199999992</v>
      </c>
      <c r="U157" s="394">
        <f t="shared" si="16"/>
        <v>83125.71642857141</v>
      </c>
      <c r="V157" s="10">
        <f>+'A) Base RI'!O157</f>
        <v>1217687.3999999999</v>
      </c>
      <c r="W157" s="10">
        <f>+'A) Base RI'!P157</f>
        <v>18150</v>
      </c>
      <c r="X157" s="10">
        <f>+'A) Base RI'!R157</f>
        <v>27945</v>
      </c>
      <c r="Y157" s="394">
        <f t="shared" si="17"/>
        <v>1263782.3999999999</v>
      </c>
      <c r="Z157" s="10">
        <f>+'A) Base RI'!N157</f>
        <v>137.19999999999999</v>
      </c>
      <c r="AA157" s="10">
        <f>'A) Base RI'!V157</f>
        <v>196</v>
      </c>
    </row>
    <row r="158" spans="1:27" x14ac:dyDescent="0.25">
      <c r="A158" s="8">
        <f>'A) Base RI'!A158</f>
        <v>5651</v>
      </c>
      <c r="B158" s="32" t="str">
        <f>'A) Base RI'!B158</f>
        <v>Villars-Sainte-Croix</v>
      </c>
      <c r="C158" s="10">
        <f>'A) Base RI'!C158+'A) Base RI'!D158</f>
        <v>2584571.04</v>
      </c>
      <c r="D158" s="10">
        <f>'A) Base RI'!W158</f>
        <v>-10039.99</v>
      </c>
      <c r="E158" s="390">
        <f>'A) Base RI'!X158</f>
        <v>0</v>
      </c>
      <c r="F158" s="390">
        <f>'A) Base RI'!Y158</f>
        <v>-13514.42</v>
      </c>
      <c r="G158" s="394">
        <f t="shared" si="12"/>
        <v>2561016.63</v>
      </c>
      <c r="H158" s="10">
        <f>+'A) Base RI'!E158</f>
        <v>0</v>
      </c>
      <c r="I158" s="10">
        <f>+'A) Base RI'!F158</f>
        <v>0</v>
      </c>
      <c r="J158" s="10">
        <f>+'A) Base RI'!G158+'A) Base RI'!H158+'A) Base RI'!S158</f>
        <v>490843.4</v>
      </c>
      <c r="K158" s="10">
        <f>+'A) Base RI'!I158</f>
        <v>0</v>
      </c>
      <c r="L158" s="10">
        <f>+'A) Base RI'!J158</f>
        <v>13586.85</v>
      </c>
      <c r="M158" s="10">
        <f>+'A) Base RI'!K158</f>
        <v>39207.9</v>
      </c>
      <c r="N158" s="10">
        <f>+'A) Base RI'!Q158</f>
        <v>14966.94</v>
      </c>
      <c r="O158" s="10">
        <f t="shared" si="13"/>
        <v>371048.7</v>
      </c>
      <c r="P158" s="10">
        <f>+'A) Base RI'!L158</f>
        <v>371048.7</v>
      </c>
      <c r="Q158" s="402">
        <f>'A) Base RI'!Z158</f>
        <v>1</v>
      </c>
      <c r="R158" s="394">
        <f t="shared" si="14"/>
        <v>3490670.42</v>
      </c>
      <c r="S158" s="437">
        <f>+'A) Base RI'!U158</f>
        <v>60.5</v>
      </c>
      <c r="T158" s="394">
        <f t="shared" si="15"/>
        <v>3080413.82</v>
      </c>
      <c r="U158" s="394">
        <f t="shared" si="16"/>
        <v>57697.031735537188</v>
      </c>
      <c r="V158" s="10">
        <f>+'A) Base RI'!O158</f>
        <v>0</v>
      </c>
      <c r="W158" s="10">
        <f>+'A) Base RI'!P158</f>
        <v>168784</v>
      </c>
      <c r="X158" s="10">
        <f>+'A) Base RI'!R158</f>
        <v>15593.35</v>
      </c>
      <c r="Y158" s="394">
        <f t="shared" si="17"/>
        <v>184377.35</v>
      </c>
      <c r="Z158" s="10">
        <f>+'A) Base RI'!N158</f>
        <v>178489.65</v>
      </c>
      <c r="AA158" s="10">
        <f>'A) Base RI'!V158</f>
        <v>958</v>
      </c>
    </row>
    <row r="159" spans="1:27" x14ac:dyDescent="0.25">
      <c r="A159" s="8">
        <f>'A) Base RI'!A159</f>
        <v>5652</v>
      </c>
      <c r="B159" s="32" t="str">
        <f>'A) Base RI'!B159</f>
        <v>Villars-sous-Yens</v>
      </c>
      <c r="C159" s="10">
        <f>'A) Base RI'!C159+'A) Base RI'!D159</f>
        <v>1868741.03</v>
      </c>
      <c r="D159" s="10">
        <f>'A) Base RI'!W159</f>
        <v>-47588.06</v>
      </c>
      <c r="E159" s="390">
        <f>'A) Base RI'!X159</f>
        <v>0</v>
      </c>
      <c r="F159" s="390">
        <f>'A) Base RI'!Y159</f>
        <v>-546.20000000000005</v>
      </c>
      <c r="G159" s="394">
        <f t="shared" si="12"/>
        <v>1820606.77</v>
      </c>
      <c r="H159" s="10">
        <f>+'A) Base RI'!E159</f>
        <v>0</v>
      </c>
      <c r="I159" s="10">
        <f>+'A) Base RI'!F159</f>
        <v>0</v>
      </c>
      <c r="J159" s="10">
        <f>+'A) Base RI'!G159+'A) Base RI'!H159+'A) Base RI'!S159</f>
        <v>-3713.12</v>
      </c>
      <c r="K159" s="10">
        <f>+'A) Base RI'!I159</f>
        <v>0</v>
      </c>
      <c r="L159" s="10">
        <f>+'A) Base RI'!J159</f>
        <v>33410.160000000003</v>
      </c>
      <c r="M159" s="10">
        <f>+'A) Base RI'!K159</f>
        <v>1037.1500000000001</v>
      </c>
      <c r="N159" s="10">
        <f>+'A) Base RI'!Q159</f>
        <v>725.9</v>
      </c>
      <c r="O159" s="10">
        <f t="shared" si="13"/>
        <v>116533.08333333334</v>
      </c>
      <c r="P159" s="10">
        <f>+'A) Base RI'!L159</f>
        <v>139839.70000000001</v>
      </c>
      <c r="Q159" s="402">
        <f>'A) Base RI'!Z159</f>
        <v>1.2</v>
      </c>
      <c r="R159" s="394">
        <f t="shared" si="14"/>
        <v>1968599.9433333329</v>
      </c>
      <c r="S159" s="437">
        <f>+'A) Base RI'!U159</f>
        <v>76</v>
      </c>
      <c r="T159" s="394">
        <f t="shared" si="15"/>
        <v>1851029.7099999997</v>
      </c>
      <c r="U159" s="394">
        <f t="shared" si="16"/>
        <v>25902.630833333329</v>
      </c>
      <c r="V159" s="10">
        <f>+'A) Base RI'!O159</f>
        <v>0</v>
      </c>
      <c r="W159" s="10">
        <f>+'A) Base RI'!P159</f>
        <v>25787.599999999999</v>
      </c>
      <c r="X159" s="10">
        <f>+'A) Base RI'!R159</f>
        <v>35181.050000000003</v>
      </c>
      <c r="Y159" s="394">
        <f t="shared" si="17"/>
        <v>60968.65</v>
      </c>
      <c r="Z159" s="10">
        <f>+'A) Base RI'!N159</f>
        <v>0</v>
      </c>
      <c r="AA159" s="10">
        <f>'A) Base RI'!V159</f>
        <v>626</v>
      </c>
    </row>
    <row r="160" spans="1:27" x14ac:dyDescent="0.25">
      <c r="A160" s="8">
        <f>'A) Base RI'!A160</f>
        <v>5653</v>
      </c>
      <c r="B160" s="32" t="str">
        <f>'A) Base RI'!B160</f>
        <v>Vufflens-le-Château</v>
      </c>
      <c r="C160" s="10">
        <f>'A) Base RI'!C160+'A) Base RI'!D160</f>
        <v>3493464.67</v>
      </c>
      <c r="D160" s="10">
        <f>'A) Base RI'!W160</f>
        <v>-7926.74</v>
      </c>
      <c r="E160" s="390">
        <f>'A) Base RI'!X160</f>
        <v>0</v>
      </c>
      <c r="F160" s="390">
        <f>'A) Base RI'!Y160</f>
        <v>-38483.769999999997</v>
      </c>
      <c r="G160" s="394">
        <f t="shared" si="12"/>
        <v>3447054.1599999997</v>
      </c>
      <c r="H160" s="10">
        <f>+'A) Base RI'!E160</f>
        <v>0</v>
      </c>
      <c r="I160" s="10">
        <f>+'A) Base RI'!F160</f>
        <v>0</v>
      </c>
      <c r="J160" s="10">
        <f>+'A) Base RI'!G160+'A) Base RI'!H160+'A) Base RI'!S160</f>
        <v>20971.800000000003</v>
      </c>
      <c r="K160" s="10">
        <f>+'A) Base RI'!I160</f>
        <v>186157.8</v>
      </c>
      <c r="L160" s="10">
        <f>+'A) Base RI'!J160</f>
        <v>25311.98</v>
      </c>
      <c r="M160" s="10">
        <f>+'A) Base RI'!K160</f>
        <v>3597.5</v>
      </c>
      <c r="N160" s="10">
        <f>+'A) Base RI'!Q160</f>
        <v>0</v>
      </c>
      <c r="O160" s="10">
        <f t="shared" si="13"/>
        <v>265431.5</v>
      </c>
      <c r="P160" s="10">
        <f>+'A) Base RI'!L160</f>
        <v>212345.2</v>
      </c>
      <c r="Q160" s="402">
        <f>'A) Base RI'!Z160</f>
        <v>0.8</v>
      </c>
      <c r="R160" s="394">
        <f t="shared" si="14"/>
        <v>3948524.7399999993</v>
      </c>
      <c r="S160" s="437">
        <f>+'A) Base RI'!U160</f>
        <v>58.5</v>
      </c>
      <c r="T160" s="394">
        <f t="shared" si="15"/>
        <v>3679495.7399999993</v>
      </c>
      <c r="U160" s="394">
        <f t="shared" si="16"/>
        <v>67496.149401709394</v>
      </c>
      <c r="V160" s="10">
        <f>+'A) Base RI'!O160</f>
        <v>0</v>
      </c>
      <c r="W160" s="10">
        <f>+'A) Base RI'!P160</f>
        <v>113478.7</v>
      </c>
      <c r="X160" s="10">
        <f>+'A) Base RI'!R160</f>
        <v>217114.15</v>
      </c>
      <c r="Y160" s="394">
        <f t="shared" si="17"/>
        <v>330592.84999999998</v>
      </c>
      <c r="Z160" s="10">
        <f>+'A) Base RI'!N160</f>
        <v>4440.8999999999996</v>
      </c>
      <c r="AA160" s="10">
        <f>'A) Base RI'!V160</f>
        <v>894</v>
      </c>
    </row>
    <row r="161" spans="1:27" x14ac:dyDescent="0.25">
      <c r="A161" s="8">
        <f>'A) Base RI'!A161</f>
        <v>5654</v>
      </c>
      <c r="B161" s="32" t="str">
        <f>'A) Base RI'!B161</f>
        <v>Vullierens</v>
      </c>
      <c r="C161" s="10">
        <f>'A) Base RI'!C161+'A) Base RI'!D161</f>
        <v>1415568.51</v>
      </c>
      <c r="D161" s="10">
        <f>'A) Base RI'!W161</f>
        <v>-2734.79</v>
      </c>
      <c r="E161" s="390">
        <f>'A) Base RI'!X161</f>
        <v>0</v>
      </c>
      <c r="F161" s="390">
        <f>'A) Base RI'!Y161</f>
        <v>-1524.66</v>
      </c>
      <c r="G161" s="394">
        <f t="shared" si="12"/>
        <v>1411309.06</v>
      </c>
      <c r="H161" s="10">
        <f>+'A) Base RI'!E161</f>
        <v>0</v>
      </c>
      <c r="I161" s="10">
        <f>+'A) Base RI'!F161</f>
        <v>0</v>
      </c>
      <c r="J161" s="10">
        <f>+'A) Base RI'!G161+'A) Base RI'!H161+'A) Base RI'!S161</f>
        <v>43739.570000000007</v>
      </c>
      <c r="K161" s="10">
        <f>+'A) Base RI'!I161</f>
        <v>0</v>
      </c>
      <c r="L161" s="10">
        <f>+'A) Base RI'!J161</f>
        <v>1589.15</v>
      </c>
      <c r="M161" s="10">
        <f>+'A) Base RI'!K161</f>
        <v>1581</v>
      </c>
      <c r="N161" s="10">
        <f>+'A) Base RI'!Q161</f>
        <v>0</v>
      </c>
      <c r="O161" s="10">
        <f t="shared" si="13"/>
        <v>112373.85</v>
      </c>
      <c r="P161" s="10">
        <f>+'A) Base RI'!L161</f>
        <v>112373.85</v>
      </c>
      <c r="Q161" s="402">
        <f>'A) Base RI'!Z161</f>
        <v>1</v>
      </c>
      <c r="R161" s="394">
        <f t="shared" si="14"/>
        <v>1570592.6300000001</v>
      </c>
      <c r="S161" s="437">
        <f>+'A) Base RI'!U161</f>
        <v>76</v>
      </c>
      <c r="T161" s="394">
        <f t="shared" si="15"/>
        <v>1456637.78</v>
      </c>
      <c r="U161" s="394">
        <f t="shared" si="16"/>
        <v>20665.692500000001</v>
      </c>
      <c r="V161" s="10">
        <f>+'A) Base RI'!O161</f>
        <v>3395.3</v>
      </c>
      <c r="W161" s="10">
        <f>+'A) Base RI'!P161</f>
        <v>85266.7</v>
      </c>
      <c r="X161" s="10">
        <f>+'A) Base RI'!R161</f>
        <v>80384.350000000006</v>
      </c>
      <c r="Y161" s="394">
        <f t="shared" si="17"/>
        <v>169046.35</v>
      </c>
      <c r="Z161" s="10">
        <f>+'A) Base RI'!N161</f>
        <v>6542.3</v>
      </c>
      <c r="AA161" s="10">
        <f>'A) Base RI'!V161</f>
        <v>560</v>
      </c>
    </row>
    <row r="162" spans="1:27" x14ac:dyDescent="0.25">
      <c r="A162" s="8">
        <f>'A) Base RI'!A162</f>
        <v>5655</v>
      </c>
      <c r="B162" s="32" t="str">
        <f>'A) Base RI'!B162</f>
        <v>Yens</v>
      </c>
      <c r="C162" s="10">
        <f>'A) Base RI'!C162+'A) Base RI'!D162</f>
        <v>4942284.08</v>
      </c>
      <c r="D162" s="10">
        <f>'A) Base RI'!W162</f>
        <v>-49474.57</v>
      </c>
      <c r="E162" s="390">
        <f>'A) Base RI'!X162</f>
        <v>0</v>
      </c>
      <c r="F162" s="390">
        <f>'A) Base RI'!Y162</f>
        <v>-11127.59</v>
      </c>
      <c r="G162" s="394">
        <f t="shared" si="12"/>
        <v>4881681.92</v>
      </c>
      <c r="H162" s="10">
        <f>+'A) Base RI'!E162</f>
        <v>0</v>
      </c>
      <c r="I162" s="10">
        <f>+'A) Base RI'!F162</f>
        <v>0</v>
      </c>
      <c r="J162" s="10">
        <f>+'A) Base RI'!G162+'A) Base RI'!H162+'A) Base RI'!S162</f>
        <v>-195702.63</v>
      </c>
      <c r="K162" s="10">
        <f>+'A) Base RI'!I162</f>
        <v>66010.45</v>
      </c>
      <c r="L162" s="10">
        <f>+'A) Base RI'!J162</f>
        <v>50940.13</v>
      </c>
      <c r="M162" s="10">
        <f>+'A) Base RI'!K162</f>
        <v>11547.1</v>
      </c>
      <c r="N162" s="10">
        <f>+'A) Base RI'!Q162</f>
        <v>7360.54</v>
      </c>
      <c r="O162" s="10">
        <f t="shared" si="13"/>
        <v>430184.7</v>
      </c>
      <c r="P162" s="10">
        <f>+'A) Base RI'!L162</f>
        <v>430184.7</v>
      </c>
      <c r="Q162" s="402">
        <f>'A) Base RI'!Z162</f>
        <v>1</v>
      </c>
      <c r="R162" s="394">
        <f t="shared" si="14"/>
        <v>5252022.21</v>
      </c>
      <c r="S162" s="437">
        <f>+'A) Base RI'!U162</f>
        <v>71.5</v>
      </c>
      <c r="T162" s="394">
        <f t="shared" si="15"/>
        <v>4810290.41</v>
      </c>
      <c r="U162" s="394">
        <f t="shared" si="16"/>
        <v>73454.856083916078</v>
      </c>
      <c r="V162" s="10">
        <f>+'A) Base RI'!O162</f>
        <v>12243.4</v>
      </c>
      <c r="W162" s="10">
        <f>+'A) Base RI'!P162</f>
        <v>104769.5</v>
      </c>
      <c r="X162" s="10">
        <f>+'A) Base RI'!R162</f>
        <v>-7759.1</v>
      </c>
      <c r="Y162" s="394">
        <f t="shared" si="17"/>
        <v>109253.79999999999</v>
      </c>
      <c r="Z162" s="10">
        <f>+'A) Base RI'!N162</f>
        <v>80041.2</v>
      </c>
      <c r="AA162" s="10">
        <f>'A) Base RI'!V162</f>
        <v>1499</v>
      </c>
    </row>
    <row r="163" spans="1:27" x14ac:dyDescent="0.25">
      <c r="A163" s="8">
        <f>'A) Base RI'!A163</f>
        <v>5661</v>
      </c>
      <c r="B163" s="32" t="str">
        <f>'A) Base RI'!B163</f>
        <v>Boulens</v>
      </c>
      <c r="C163" s="10">
        <f>'A) Base RI'!C163+'A) Base RI'!D163</f>
        <v>725393.01</v>
      </c>
      <c r="D163" s="10">
        <f>'A) Base RI'!W163</f>
        <v>-1386.94</v>
      </c>
      <c r="E163" s="390">
        <f>'A) Base RI'!X163</f>
        <v>0</v>
      </c>
      <c r="F163" s="390">
        <f>'A) Base RI'!Y163</f>
        <v>0</v>
      </c>
      <c r="G163" s="394">
        <f t="shared" si="12"/>
        <v>724006.07000000007</v>
      </c>
      <c r="H163" s="10">
        <f>+'A) Base RI'!E163</f>
        <v>0</v>
      </c>
      <c r="I163" s="10">
        <f>+'A) Base RI'!F163</f>
        <v>0</v>
      </c>
      <c r="J163" s="10">
        <f>+'A) Base RI'!G163+'A) Base RI'!H163+'A) Base RI'!S163</f>
        <v>6288.21</v>
      </c>
      <c r="K163" s="10">
        <f>+'A) Base RI'!I163</f>
        <v>0</v>
      </c>
      <c r="L163" s="10">
        <f>+'A) Base RI'!J163</f>
        <v>11126.13</v>
      </c>
      <c r="M163" s="10">
        <f>+'A) Base RI'!K163</f>
        <v>555</v>
      </c>
      <c r="N163" s="10">
        <f>+'A) Base RI'!Q163</f>
        <v>60.95</v>
      </c>
      <c r="O163" s="10">
        <f t="shared" si="13"/>
        <v>60664.75</v>
      </c>
      <c r="P163" s="10">
        <f>+'A) Base RI'!L163</f>
        <v>60664.75</v>
      </c>
      <c r="Q163" s="402">
        <f>'A) Base RI'!Z163</f>
        <v>1</v>
      </c>
      <c r="R163" s="394">
        <f t="shared" si="14"/>
        <v>802701.11</v>
      </c>
      <c r="S163" s="437">
        <f>+'A) Base RI'!U163</f>
        <v>71.5</v>
      </c>
      <c r="T163" s="394">
        <f t="shared" si="15"/>
        <v>741481.36</v>
      </c>
      <c r="U163" s="394">
        <f t="shared" si="16"/>
        <v>11226.588951048951</v>
      </c>
      <c r="V163" s="10">
        <f>+'A) Base RI'!O163</f>
        <v>0</v>
      </c>
      <c r="W163" s="10">
        <f>+'A) Base RI'!P163</f>
        <v>27582.5</v>
      </c>
      <c r="X163" s="10">
        <f>+'A) Base RI'!R163</f>
        <v>20575.5</v>
      </c>
      <c r="Y163" s="394">
        <f t="shared" si="17"/>
        <v>48158</v>
      </c>
      <c r="Z163" s="10">
        <f>+'A) Base RI'!N163</f>
        <v>18731.2</v>
      </c>
      <c r="AA163" s="10">
        <f>'A) Base RI'!V163</f>
        <v>371</v>
      </c>
    </row>
    <row r="164" spans="1:27" x14ac:dyDescent="0.25">
      <c r="A164" s="8">
        <f>'A) Base RI'!A164</f>
        <v>5663</v>
      </c>
      <c r="B164" s="32" t="str">
        <f>'A) Base RI'!B164</f>
        <v>Bussy-sur-Moudon</v>
      </c>
      <c r="C164" s="10">
        <f>'A) Base RI'!C164+'A) Base RI'!D164</f>
        <v>364167.67</v>
      </c>
      <c r="D164" s="10">
        <f>'A) Base RI'!W164</f>
        <v>-57.56</v>
      </c>
      <c r="E164" s="390">
        <f>'A) Base RI'!X164</f>
        <v>0</v>
      </c>
      <c r="F164" s="390">
        <f>'A) Base RI'!Y164</f>
        <v>0</v>
      </c>
      <c r="G164" s="394">
        <f t="shared" si="12"/>
        <v>364110.11</v>
      </c>
      <c r="H164" s="10">
        <f>+'A) Base RI'!E164</f>
        <v>0</v>
      </c>
      <c r="I164" s="10">
        <f>+'A) Base RI'!F164</f>
        <v>1350</v>
      </c>
      <c r="J164" s="10">
        <f>+'A) Base RI'!G164+'A) Base RI'!H164+'A) Base RI'!S164</f>
        <v>1574.8200000000002</v>
      </c>
      <c r="K164" s="10">
        <f>+'A) Base RI'!I164</f>
        <v>0</v>
      </c>
      <c r="L164" s="10">
        <f>+'A) Base RI'!J164</f>
        <v>13237.34</v>
      </c>
      <c r="M164" s="10">
        <f>+'A) Base RI'!K164</f>
        <v>325.2</v>
      </c>
      <c r="N164" s="10">
        <f>+'A) Base RI'!Q164</f>
        <v>0</v>
      </c>
      <c r="O164" s="10">
        <f t="shared" si="13"/>
        <v>32601.05</v>
      </c>
      <c r="P164" s="10">
        <f>+'A) Base RI'!L164</f>
        <v>32601.05</v>
      </c>
      <c r="Q164" s="402">
        <f>'A) Base RI'!Z164</f>
        <v>1</v>
      </c>
      <c r="R164" s="394">
        <f t="shared" si="14"/>
        <v>413198.52</v>
      </c>
      <c r="S164" s="437">
        <f>+'A) Base RI'!U164</f>
        <v>78.5</v>
      </c>
      <c r="T164" s="394">
        <f t="shared" si="15"/>
        <v>378922.27</v>
      </c>
      <c r="U164" s="394">
        <f t="shared" si="16"/>
        <v>5263.6754140127387</v>
      </c>
      <c r="V164" s="10">
        <f>+'A) Base RI'!O164</f>
        <v>0</v>
      </c>
      <c r="W164" s="10">
        <f>+'A) Base RI'!P164</f>
        <v>22816.2</v>
      </c>
      <c r="X164" s="10">
        <f>+'A) Base RI'!R164</f>
        <v>2408.15</v>
      </c>
      <c r="Y164" s="394">
        <f t="shared" si="17"/>
        <v>25224.350000000002</v>
      </c>
      <c r="Z164" s="10">
        <f>+'A) Base RI'!N164</f>
        <v>0</v>
      </c>
      <c r="AA164" s="10">
        <f>'A) Base RI'!V164</f>
        <v>236</v>
      </c>
    </row>
    <row r="165" spans="1:27" x14ac:dyDescent="0.25">
      <c r="A165" s="8">
        <f>'A) Base RI'!A165</f>
        <v>5665</v>
      </c>
      <c r="B165" s="32" t="str">
        <f>'A) Base RI'!B165</f>
        <v>Chavannes-sur-Moudon</v>
      </c>
      <c r="C165" s="10">
        <f>'A) Base RI'!C165+'A) Base RI'!D165</f>
        <v>307356.04000000004</v>
      </c>
      <c r="D165" s="10">
        <f>'A) Base RI'!W165</f>
        <v>-45.68</v>
      </c>
      <c r="E165" s="390">
        <f>'A) Base RI'!X165</f>
        <v>0</v>
      </c>
      <c r="F165" s="390">
        <f>'A) Base RI'!Y165</f>
        <v>0</v>
      </c>
      <c r="G165" s="394">
        <f t="shared" si="12"/>
        <v>307310.36000000004</v>
      </c>
      <c r="H165" s="10">
        <f>+'A) Base RI'!E165</f>
        <v>0</v>
      </c>
      <c r="I165" s="10">
        <f>+'A) Base RI'!F165</f>
        <v>0</v>
      </c>
      <c r="J165" s="10">
        <f>+'A) Base RI'!G165+'A) Base RI'!H165+'A) Base RI'!S165</f>
        <v>2576.0300000000002</v>
      </c>
      <c r="K165" s="10">
        <f>+'A) Base RI'!I165</f>
        <v>0</v>
      </c>
      <c r="L165" s="10">
        <f>+'A) Base RI'!J165</f>
        <v>5964.57</v>
      </c>
      <c r="M165" s="10">
        <f>+'A) Base RI'!K165</f>
        <v>4.5</v>
      </c>
      <c r="N165" s="10">
        <f>+'A) Base RI'!Q165</f>
        <v>0</v>
      </c>
      <c r="O165" s="10">
        <f t="shared" si="13"/>
        <v>28605.4</v>
      </c>
      <c r="P165" s="10">
        <f>+'A) Base RI'!L165</f>
        <v>28605.4</v>
      </c>
      <c r="Q165" s="402">
        <f>'A) Base RI'!Z165</f>
        <v>1</v>
      </c>
      <c r="R165" s="394">
        <f t="shared" si="14"/>
        <v>344460.8600000001</v>
      </c>
      <c r="S165" s="437">
        <f>+'A) Base RI'!U165</f>
        <v>70</v>
      </c>
      <c r="T165" s="394">
        <f t="shared" si="15"/>
        <v>315850.96000000008</v>
      </c>
      <c r="U165" s="394">
        <f t="shared" si="16"/>
        <v>4920.86942857143</v>
      </c>
      <c r="V165" s="10">
        <f>+'A) Base RI'!O165</f>
        <v>0</v>
      </c>
      <c r="W165" s="10">
        <f>+'A) Base RI'!P165</f>
        <v>7885.75</v>
      </c>
      <c r="X165" s="10">
        <f>+'A) Base RI'!R165</f>
        <v>2791.65</v>
      </c>
      <c r="Y165" s="394">
        <f t="shared" si="17"/>
        <v>10677.4</v>
      </c>
      <c r="Z165" s="10">
        <f>+'A) Base RI'!N165</f>
        <v>0</v>
      </c>
      <c r="AA165" s="10">
        <f>'A) Base RI'!V165</f>
        <v>222</v>
      </c>
    </row>
    <row r="166" spans="1:27" x14ac:dyDescent="0.25">
      <c r="A166" s="8">
        <f>'A) Base RI'!A166</f>
        <v>5669</v>
      </c>
      <c r="B166" s="32" t="str">
        <f>'A) Base RI'!B166</f>
        <v>Curtilles</v>
      </c>
      <c r="C166" s="10">
        <f>'A) Base RI'!C166+'A) Base RI'!D166</f>
        <v>625219.99</v>
      </c>
      <c r="D166" s="10">
        <f>'A) Base RI'!W166</f>
        <v>-10748.08</v>
      </c>
      <c r="E166" s="390">
        <f>'A) Base RI'!X166</f>
        <v>0</v>
      </c>
      <c r="F166" s="390">
        <f>'A) Base RI'!Y166</f>
        <v>0</v>
      </c>
      <c r="G166" s="394">
        <f t="shared" si="12"/>
        <v>614471.91</v>
      </c>
      <c r="H166" s="10">
        <f>+'A) Base RI'!E166</f>
        <v>0</v>
      </c>
      <c r="I166" s="10">
        <f>+'A) Base RI'!F166</f>
        <v>0</v>
      </c>
      <c r="J166" s="10">
        <f>+'A) Base RI'!G166+'A) Base RI'!H166+'A) Base RI'!S166</f>
        <v>18140.55</v>
      </c>
      <c r="K166" s="10">
        <f>+'A) Base RI'!I166</f>
        <v>0</v>
      </c>
      <c r="L166" s="10">
        <f>+'A) Base RI'!J166</f>
        <v>1884.79</v>
      </c>
      <c r="M166" s="10">
        <f>+'A) Base RI'!K166</f>
        <v>-1050.3</v>
      </c>
      <c r="N166" s="10">
        <f>+'A) Base RI'!Q166</f>
        <v>0</v>
      </c>
      <c r="O166" s="10">
        <f t="shared" si="13"/>
        <v>48254.6</v>
      </c>
      <c r="P166" s="10">
        <f>+'A) Base RI'!L166</f>
        <v>24127.3</v>
      </c>
      <c r="Q166" s="402">
        <f>'A) Base RI'!Z166</f>
        <v>0.5</v>
      </c>
      <c r="R166" s="394">
        <f t="shared" si="14"/>
        <v>681701.55</v>
      </c>
      <c r="S166" s="437">
        <f>+'A) Base RI'!U166</f>
        <v>73</v>
      </c>
      <c r="T166" s="394">
        <f t="shared" si="15"/>
        <v>634497.25000000012</v>
      </c>
      <c r="U166" s="394">
        <f t="shared" si="16"/>
        <v>9338.3773972602739</v>
      </c>
      <c r="V166" s="10">
        <f>+'A) Base RI'!O166</f>
        <v>40750</v>
      </c>
      <c r="W166" s="10">
        <f>+'A) Base RI'!P166</f>
        <v>33489.15</v>
      </c>
      <c r="X166" s="10">
        <f>+'A) Base RI'!R166</f>
        <v>15400</v>
      </c>
      <c r="Y166" s="394">
        <f t="shared" si="17"/>
        <v>89639.15</v>
      </c>
      <c r="Z166" s="10">
        <f>+'A) Base RI'!N166</f>
        <v>0</v>
      </c>
      <c r="AA166" s="10">
        <f>'A) Base RI'!V166</f>
        <v>296</v>
      </c>
    </row>
    <row r="167" spans="1:27" x14ac:dyDescent="0.25">
      <c r="A167" s="8">
        <f>'A) Base RI'!A167</f>
        <v>5671</v>
      </c>
      <c r="B167" s="32" t="str">
        <f>'A) Base RI'!B167</f>
        <v>Dompierre</v>
      </c>
      <c r="C167" s="10">
        <f>'A) Base RI'!C167+'A) Base RI'!D167</f>
        <v>451698.17</v>
      </c>
      <c r="D167" s="10">
        <f>'A) Base RI'!W167</f>
        <v>-660.07</v>
      </c>
      <c r="E167" s="390">
        <f>'A) Base RI'!X167</f>
        <v>0</v>
      </c>
      <c r="F167" s="390">
        <f>'A) Base RI'!Y167</f>
        <v>0</v>
      </c>
      <c r="G167" s="394">
        <f t="shared" si="12"/>
        <v>451038.1</v>
      </c>
      <c r="H167" s="10">
        <f>+'A) Base RI'!E167</f>
        <v>0</v>
      </c>
      <c r="I167" s="10">
        <f>+'A) Base RI'!F167</f>
        <v>1480</v>
      </c>
      <c r="J167" s="10">
        <f>+'A) Base RI'!G167+'A) Base RI'!H167+'A) Base RI'!S167</f>
        <v>12118.029999999999</v>
      </c>
      <c r="K167" s="10">
        <f>+'A) Base RI'!I167</f>
        <v>0</v>
      </c>
      <c r="L167" s="10">
        <f>+'A) Base RI'!J167</f>
        <v>3734.29</v>
      </c>
      <c r="M167" s="10">
        <f>+'A) Base RI'!K167</f>
        <v>223.5</v>
      </c>
      <c r="N167" s="10">
        <f>+'A) Base RI'!Q167</f>
        <v>358.55</v>
      </c>
      <c r="O167" s="10">
        <f t="shared" si="13"/>
        <v>35237.85</v>
      </c>
      <c r="P167" s="10">
        <f>+'A) Base RI'!L167</f>
        <v>35237.85</v>
      </c>
      <c r="Q167" s="402">
        <f>'A) Base RI'!Z167</f>
        <v>1</v>
      </c>
      <c r="R167" s="394">
        <f t="shared" si="14"/>
        <v>504190.31999999995</v>
      </c>
      <c r="S167" s="437">
        <f>+'A) Base RI'!U167</f>
        <v>78</v>
      </c>
      <c r="T167" s="394">
        <f t="shared" si="15"/>
        <v>467248.97</v>
      </c>
      <c r="U167" s="394">
        <f t="shared" si="16"/>
        <v>6463.9784615384606</v>
      </c>
      <c r="V167" s="10">
        <f>+'A) Base RI'!O167</f>
        <v>0</v>
      </c>
      <c r="W167" s="10">
        <f>+'A) Base RI'!P167</f>
        <v>55902.95</v>
      </c>
      <c r="X167" s="10">
        <f>+'A) Base RI'!R167</f>
        <v>47585.2</v>
      </c>
      <c r="Y167" s="394">
        <f t="shared" si="17"/>
        <v>103488.15</v>
      </c>
      <c r="Z167" s="10">
        <f>+'A) Base RI'!N167</f>
        <v>5497.4</v>
      </c>
      <c r="AA167" s="10">
        <f>'A) Base RI'!V167</f>
        <v>246</v>
      </c>
    </row>
    <row r="168" spans="1:27" x14ac:dyDescent="0.25">
      <c r="A168" s="8">
        <f>'A) Base RI'!A168</f>
        <v>5673</v>
      </c>
      <c r="B168" s="32" t="str">
        <f>'A) Base RI'!B168</f>
        <v>Hermenches</v>
      </c>
      <c r="C168" s="10">
        <f>'A) Base RI'!C168+'A) Base RI'!D168</f>
        <v>697564.02</v>
      </c>
      <c r="D168" s="10">
        <f>'A) Base RI'!W168</f>
        <v>-3682.67</v>
      </c>
      <c r="E168" s="390">
        <f>'A) Base RI'!X168</f>
        <v>0</v>
      </c>
      <c r="F168" s="390">
        <f>'A) Base RI'!Y168</f>
        <v>-51.6</v>
      </c>
      <c r="G168" s="394">
        <f t="shared" si="12"/>
        <v>693829.75</v>
      </c>
      <c r="H168" s="10">
        <f>+'A) Base RI'!E168</f>
        <v>0</v>
      </c>
      <c r="I168" s="10">
        <f>+'A) Base RI'!F168</f>
        <v>2200</v>
      </c>
      <c r="J168" s="10">
        <f>+'A) Base RI'!G168+'A) Base RI'!H168+'A) Base RI'!S168</f>
        <v>1849.7400000000002</v>
      </c>
      <c r="K168" s="10">
        <f>+'A) Base RI'!I168</f>
        <v>0</v>
      </c>
      <c r="L168" s="10">
        <f>+'A) Base RI'!J168</f>
        <v>5680.46</v>
      </c>
      <c r="M168" s="10">
        <f>+'A) Base RI'!K168</f>
        <v>408</v>
      </c>
      <c r="N168" s="10">
        <f>+'A) Base RI'!Q168</f>
        <v>0</v>
      </c>
      <c r="O168" s="10">
        <f t="shared" si="13"/>
        <v>47748.25</v>
      </c>
      <c r="P168" s="10">
        <f>+'A) Base RI'!L168</f>
        <v>28648.95</v>
      </c>
      <c r="Q168" s="402">
        <f>'A) Base RI'!Z168</f>
        <v>0.6</v>
      </c>
      <c r="R168" s="394">
        <f t="shared" si="14"/>
        <v>751716.2</v>
      </c>
      <c r="S168" s="437">
        <f>+'A) Base RI'!U168</f>
        <v>73.5</v>
      </c>
      <c r="T168" s="394">
        <f t="shared" si="15"/>
        <v>701359.95</v>
      </c>
      <c r="U168" s="394">
        <f t="shared" si="16"/>
        <v>10227.431292517007</v>
      </c>
      <c r="V168" s="10">
        <f>+'A) Base RI'!O168</f>
        <v>0</v>
      </c>
      <c r="W168" s="10">
        <f>+'A) Base RI'!P168</f>
        <v>3890.2</v>
      </c>
      <c r="X168" s="10">
        <f>+'A) Base RI'!R168</f>
        <v>0</v>
      </c>
      <c r="Y168" s="394">
        <f t="shared" si="17"/>
        <v>3890.2</v>
      </c>
      <c r="Z168" s="10">
        <f>+'A) Base RI'!N168</f>
        <v>11063.95</v>
      </c>
      <c r="AA168" s="10">
        <f>'A) Base RI'!V168</f>
        <v>371</v>
      </c>
    </row>
    <row r="169" spans="1:27" x14ac:dyDescent="0.25">
      <c r="A169" s="8">
        <f>'A) Base RI'!A169</f>
        <v>5674</v>
      </c>
      <c r="B169" s="32" t="str">
        <f>'A) Base RI'!B169</f>
        <v>Lovatens</v>
      </c>
      <c r="C169" s="10">
        <f>'A) Base RI'!C169+'A) Base RI'!D169</f>
        <v>290354.62</v>
      </c>
      <c r="D169" s="10">
        <f>'A) Base RI'!W169</f>
        <v>-516.04</v>
      </c>
      <c r="E169" s="390">
        <f>'A) Base RI'!X169</f>
        <v>0</v>
      </c>
      <c r="F169" s="390">
        <f>'A) Base RI'!Y169</f>
        <v>-76.5</v>
      </c>
      <c r="G169" s="394">
        <f t="shared" si="12"/>
        <v>289762.08</v>
      </c>
      <c r="H169" s="10">
        <f>+'A) Base RI'!E169</f>
        <v>0</v>
      </c>
      <c r="I169" s="10">
        <f>+'A) Base RI'!F169</f>
        <v>0</v>
      </c>
      <c r="J169" s="10">
        <f>+'A) Base RI'!G169+'A) Base RI'!H169+'A) Base RI'!S169</f>
        <v>406.45000000000005</v>
      </c>
      <c r="K169" s="10">
        <f>+'A) Base RI'!I169</f>
        <v>0</v>
      </c>
      <c r="L169" s="10">
        <f>+'A) Base RI'!J169</f>
        <v>454.23</v>
      </c>
      <c r="M169" s="10">
        <f>+'A) Base RI'!K169</f>
        <v>64.099999999999994</v>
      </c>
      <c r="N169" s="10">
        <f>+'A) Base RI'!Q169</f>
        <v>0</v>
      </c>
      <c r="O169" s="10">
        <f t="shared" si="13"/>
        <v>25608.500000000004</v>
      </c>
      <c r="P169" s="10">
        <f>+'A) Base RI'!L169</f>
        <v>17925.95</v>
      </c>
      <c r="Q169" s="402">
        <f>'A) Base RI'!Z169</f>
        <v>0.7</v>
      </c>
      <c r="R169" s="394">
        <f t="shared" si="14"/>
        <v>316295.36</v>
      </c>
      <c r="S169" s="437">
        <f>+'A) Base RI'!U169</f>
        <v>75</v>
      </c>
      <c r="T169" s="394">
        <f t="shared" si="15"/>
        <v>290622.76</v>
      </c>
      <c r="U169" s="394">
        <f t="shared" si="16"/>
        <v>4217.2714666666661</v>
      </c>
      <c r="V169" s="10">
        <f>+'A) Base RI'!O169</f>
        <v>4852.5</v>
      </c>
      <c r="W169" s="10">
        <f>+'A) Base RI'!P169</f>
        <v>16139.75</v>
      </c>
      <c r="X169" s="10">
        <f>+'A) Base RI'!R169</f>
        <v>17011.650000000001</v>
      </c>
      <c r="Y169" s="394">
        <f t="shared" si="17"/>
        <v>38003.9</v>
      </c>
      <c r="Z169" s="10">
        <f>+'A) Base RI'!N169</f>
        <v>0</v>
      </c>
      <c r="AA169" s="10">
        <f>'A) Base RI'!V169</f>
        <v>146</v>
      </c>
    </row>
    <row r="170" spans="1:27" x14ac:dyDescent="0.25">
      <c r="A170" s="8">
        <f>'A) Base RI'!A170</f>
        <v>5675</v>
      </c>
      <c r="B170" s="32" t="str">
        <f>'A) Base RI'!B170</f>
        <v>Lucens</v>
      </c>
      <c r="C170" s="10">
        <f>'A) Base RI'!C170+'A) Base RI'!D170</f>
        <v>5789895.9600000009</v>
      </c>
      <c r="D170" s="10">
        <f>'A) Base RI'!W170</f>
        <v>-220965.2</v>
      </c>
      <c r="E170" s="390">
        <f>'A) Base RI'!X170</f>
        <v>0</v>
      </c>
      <c r="F170" s="390">
        <f>'A) Base RI'!Y170</f>
        <v>-4006.24</v>
      </c>
      <c r="G170" s="394">
        <f t="shared" si="12"/>
        <v>5564924.5200000005</v>
      </c>
      <c r="H170" s="10">
        <f>+'A) Base RI'!E170</f>
        <v>0</v>
      </c>
      <c r="I170" s="10">
        <f>+'A) Base RI'!F170</f>
        <v>0</v>
      </c>
      <c r="J170" s="10">
        <f>+'A) Base RI'!G170+'A) Base RI'!H170+'A) Base RI'!S170</f>
        <v>454643.39</v>
      </c>
      <c r="K170" s="10">
        <f>+'A) Base RI'!I170</f>
        <v>0</v>
      </c>
      <c r="L170" s="10">
        <f>+'A) Base RI'!J170</f>
        <v>260799.76</v>
      </c>
      <c r="M170" s="10">
        <f>+'A) Base RI'!K170</f>
        <v>92100.55</v>
      </c>
      <c r="N170" s="10">
        <f>+'A) Base RI'!Q170</f>
        <v>83927.44</v>
      </c>
      <c r="O170" s="10">
        <f t="shared" si="13"/>
        <v>642618.63636363635</v>
      </c>
      <c r="P170" s="10">
        <f>+'A) Base RI'!L170</f>
        <v>706880.5</v>
      </c>
      <c r="Q170" s="402">
        <f>'A) Base RI'!Z170</f>
        <v>1.1000000000000001</v>
      </c>
      <c r="R170" s="394">
        <f t="shared" si="14"/>
        <v>7099014.2963636369</v>
      </c>
      <c r="S170" s="437">
        <f>+'A) Base RI'!U170</f>
        <v>67.5</v>
      </c>
      <c r="T170" s="394">
        <f t="shared" si="15"/>
        <v>6364295.1100000003</v>
      </c>
      <c r="U170" s="394">
        <f t="shared" si="16"/>
        <v>105170.58216835017</v>
      </c>
      <c r="V170" s="10">
        <f>+'A) Base RI'!O170</f>
        <v>88404.3</v>
      </c>
      <c r="W170" s="10">
        <f>+'A) Base RI'!P170</f>
        <v>613887.94999999995</v>
      </c>
      <c r="X170" s="10">
        <f>+'A) Base RI'!R170</f>
        <v>327262.84999999998</v>
      </c>
      <c r="Y170" s="394">
        <f t="shared" si="17"/>
        <v>1029555.1</v>
      </c>
      <c r="Z170" s="10">
        <f>+'A) Base RI'!N170</f>
        <v>41543.800000000003</v>
      </c>
      <c r="AA170" s="10">
        <f>'A) Base RI'!V170</f>
        <v>4373</v>
      </c>
    </row>
    <row r="171" spans="1:27" x14ac:dyDescent="0.25">
      <c r="A171" s="8">
        <f>'A) Base RI'!A171</f>
        <v>5678</v>
      </c>
      <c r="B171" s="32" t="str">
        <f>'A) Base RI'!B171</f>
        <v>Moudon</v>
      </c>
      <c r="C171" s="10">
        <f>'A) Base RI'!C171+'A) Base RI'!D171</f>
        <v>7450454.4199999999</v>
      </c>
      <c r="D171" s="10">
        <f>'A) Base RI'!W171</f>
        <v>-341427.49</v>
      </c>
      <c r="E171" s="390">
        <f>'A) Base RI'!X171</f>
        <v>0</v>
      </c>
      <c r="F171" s="390">
        <f>'A) Base RI'!Y171</f>
        <v>-4887.5200000000004</v>
      </c>
      <c r="G171" s="394">
        <f t="shared" si="12"/>
        <v>7104139.4100000001</v>
      </c>
      <c r="H171" s="10">
        <f>+'A) Base RI'!E171</f>
        <v>0</v>
      </c>
      <c r="I171" s="10">
        <f>+'A) Base RI'!F171</f>
        <v>34559.300000000003</v>
      </c>
      <c r="J171" s="10">
        <f>+'A) Base RI'!G171+'A) Base RI'!H171+'A) Base RI'!S171</f>
        <v>524233.19</v>
      </c>
      <c r="K171" s="10">
        <f>+'A) Base RI'!I171</f>
        <v>0</v>
      </c>
      <c r="L171" s="10">
        <f>+'A) Base RI'!J171</f>
        <v>427139.97</v>
      </c>
      <c r="M171" s="10">
        <f>+'A) Base RI'!K171</f>
        <v>82929.649999999994</v>
      </c>
      <c r="N171" s="10">
        <f>+'A) Base RI'!Q171</f>
        <v>43932.25</v>
      </c>
      <c r="O171" s="10">
        <f t="shared" si="13"/>
        <v>833738</v>
      </c>
      <c r="P171" s="10">
        <f>+'A) Base RI'!L171</f>
        <v>833738</v>
      </c>
      <c r="Q171" s="402">
        <f>'A) Base RI'!Z171</f>
        <v>1</v>
      </c>
      <c r="R171" s="394">
        <f t="shared" si="14"/>
        <v>9050671.7699999996</v>
      </c>
      <c r="S171" s="437">
        <f>+'A) Base RI'!U171</f>
        <v>72.5</v>
      </c>
      <c r="T171" s="394">
        <f t="shared" si="15"/>
        <v>8099444.8200000003</v>
      </c>
      <c r="U171" s="394">
        <f t="shared" si="16"/>
        <v>124836.852</v>
      </c>
      <c r="V171" s="10">
        <f>+'A) Base RI'!O171</f>
        <v>448635.9</v>
      </c>
      <c r="W171" s="10">
        <f>+'A) Base RI'!P171</f>
        <v>653881.19999999995</v>
      </c>
      <c r="X171" s="10">
        <f>+'A) Base RI'!R171</f>
        <v>641035.19999999995</v>
      </c>
      <c r="Y171" s="394">
        <f t="shared" si="17"/>
        <v>1743552.3</v>
      </c>
      <c r="Z171" s="10">
        <f>+'A) Base RI'!N171</f>
        <v>212026.15</v>
      </c>
      <c r="AA171" s="10">
        <f>'A) Base RI'!V171</f>
        <v>6120</v>
      </c>
    </row>
    <row r="172" spans="1:27" x14ac:dyDescent="0.25">
      <c r="A172" s="8">
        <f>'A) Base RI'!A172</f>
        <v>5680</v>
      </c>
      <c r="B172" s="32" t="str">
        <f>'A) Base RI'!B172</f>
        <v>Ogens</v>
      </c>
      <c r="C172" s="10">
        <f>'A) Base RI'!C172+'A) Base RI'!D172</f>
        <v>611259.66</v>
      </c>
      <c r="D172" s="10">
        <f>'A) Base RI'!W172</f>
        <v>-10045.25</v>
      </c>
      <c r="E172" s="390">
        <f>'A) Base RI'!X172</f>
        <v>0</v>
      </c>
      <c r="F172" s="390">
        <f>'A) Base RI'!Y172</f>
        <v>0</v>
      </c>
      <c r="G172" s="394">
        <f t="shared" si="12"/>
        <v>601214.41</v>
      </c>
      <c r="H172" s="10">
        <f>+'A) Base RI'!E172</f>
        <v>0</v>
      </c>
      <c r="I172" s="10">
        <f>+'A) Base RI'!F172</f>
        <v>0</v>
      </c>
      <c r="J172" s="10">
        <f>+'A) Base RI'!G172+'A) Base RI'!H172+'A) Base RI'!S172</f>
        <v>-133.09</v>
      </c>
      <c r="K172" s="10">
        <f>+'A) Base RI'!I172</f>
        <v>0</v>
      </c>
      <c r="L172" s="10">
        <f>+'A) Base RI'!J172</f>
        <v>10395.280000000001</v>
      </c>
      <c r="M172" s="10">
        <f>+'A) Base RI'!K172</f>
        <v>625</v>
      </c>
      <c r="N172" s="10">
        <f>+'A) Base RI'!Q172</f>
        <v>0.09</v>
      </c>
      <c r="O172" s="10">
        <f t="shared" si="13"/>
        <v>51018.366666666669</v>
      </c>
      <c r="P172" s="10">
        <f>+'A) Base RI'!L172</f>
        <v>76527.55</v>
      </c>
      <c r="Q172" s="402">
        <f>'A) Base RI'!Z172</f>
        <v>1.5</v>
      </c>
      <c r="R172" s="394">
        <f t="shared" si="14"/>
        <v>663120.05666666676</v>
      </c>
      <c r="S172" s="437">
        <f>+'A) Base RI'!U172</f>
        <v>78</v>
      </c>
      <c r="T172" s="394">
        <f t="shared" si="15"/>
        <v>611476.69000000006</v>
      </c>
      <c r="U172" s="394">
        <f t="shared" si="16"/>
        <v>8501.5391880341886</v>
      </c>
      <c r="V172" s="10">
        <f>+'A) Base RI'!O172</f>
        <v>12.2</v>
      </c>
      <c r="W172" s="10">
        <f>+'A) Base RI'!P172</f>
        <v>28101.1</v>
      </c>
      <c r="X172" s="10">
        <f>+'A) Base RI'!R172</f>
        <v>22073.85</v>
      </c>
      <c r="Y172" s="394">
        <f t="shared" si="17"/>
        <v>50187.149999999994</v>
      </c>
      <c r="Z172" s="10">
        <f>+'A) Base RI'!N172</f>
        <v>0</v>
      </c>
      <c r="AA172" s="10">
        <f>'A) Base RI'!V172</f>
        <v>321</v>
      </c>
    </row>
    <row r="173" spans="1:27" x14ac:dyDescent="0.25">
      <c r="A173" s="8">
        <f>'A) Base RI'!A173</f>
        <v>5683</v>
      </c>
      <c r="B173" s="32" t="str">
        <f>'A) Base RI'!B173</f>
        <v>Prévonloup</v>
      </c>
      <c r="C173" s="10">
        <f>'A) Base RI'!C173+'A) Base RI'!D173</f>
        <v>357942.02999999997</v>
      </c>
      <c r="D173" s="10">
        <f>'A) Base RI'!W173</f>
        <v>-1497.32</v>
      </c>
      <c r="E173" s="390">
        <f>'A) Base RI'!X173</f>
        <v>0</v>
      </c>
      <c r="F173" s="390">
        <f>'A) Base RI'!Y173</f>
        <v>0</v>
      </c>
      <c r="G173" s="394">
        <f t="shared" si="12"/>
        <v>356444.70999999996</v>
      </c>
      <c r="H173" s="10">
        <f>+'A) Base RI'!E173</f>
        <v>0</v>
      </c>
      <c r="I173" s="10">
        <f>+'A) Base RI'!F173</f>
        <v>0</v>
      </c>
      <c r="J173" s="10">
        <f>+'A) Base RI'!G173+'A) Base RI'!H173+'A) Base RI'!S173</f>
        <v>1884.8600000000001</v>
      </c>
      <c r="K173" s="10">
        <f>+'A) Base RI'!I173</f>
        <v>0</v>
      </c>
      <c r="L173" s="10">
        <f>+'A) Base RI'!J173</f>
        <v>862.08</v>
      </c>
      <c r="M173" s="10">
        <f>+'A) Base RI'!K173</f>
        <v>2220.5</v>
      </c>
      <c r="N173" s="10">
        <f>+'A) Base RI'!Q173</f>
        <v>0</v>
      </c>
      <c r="O173" s="10">
        <f t="shared" si="13"/>
        <v>29104.75</v>
      </c>
      <c r="P173" s="10">
        <f>+'A) Base RI'!L173</f>
        <v>29104.75</v>
      </c>
      <c r="Q173" s="402">
        <f>'A) Base RI'!Z173</f>
        <v>1</v>
      </c>
      <c r="R173" s="394">
        <f t="shared" si="14"/>
        <v>390516.89999999997</v>
      </c>
      <c r="S173" s="437">
        <f>+'A) Base RI'!U173</f>
        <v>72.5</v>
      </c>
      <c r="T173" s="394">
        <f t="shared" si="15"/>
        <v>359191.64999999997</v>
      </c>
      <c r="U173" s="394">
        <f t="shared" si="16"/>
        <v>5386.44</v>
      </c>
      <c r="V173" s="10">
        <f>+'A) Base RI'!O173</f>
        <v>243.3</v>
      </c>
      <c r="W173" s="10">
        <f>+'A) Base RI'!P173</f>
        <v>20577.75</v>
      </c>
      <c r="X173" s="10">
        <f>+'A) Base RI'!R173</f>
        <v>22067.05</v>
      </c>
      <c r="Y173" s="394">
        <f t="shared" si="17"/>
        <v>42888.1</v>
      </c>
      <c r="Z173" s="10">
        <f>+'A) Base RI'!N173</f>
        <v>0</v>
      </c>
      <c r="AA173" s="10">
        <f>'A) Base RI'!V173</f>
        <v>215</v>
      </c>
    </row>
    <row r="174" spans="1:27" x14ac:dyDescent="0.25">
      <c r="A174" s="8">
        <f>'A) Base RI'!A174</f>
        <v>5684</v>
      </c>
      <c r="B174" s="32" t="str">
        <f>'A) Base RI'!B174</f>
        <v>Rossenges</v>
      </c>
      <c r="C174" s="10">
        <f>'A) Base RI'!C174+'A) Base RI'!D174</f>
        <v>239901.21</v>
      </c>
      <c r="D174" s="10">
        <f>'A) Base RI'!W174</f>
        <v>-5290.27</v>
      </c>
      <c r="E174" s="390">
        <f>'A) Base RI'!X174</f>
        <v>0</v>
      </c>
      <c r="F174" s="390">
        <f>'A) Base RI'!Y174</f>
        <v>-20.29</v>
      </c>
      <c r="G174" s="394">
        <f t="shared" si="12"/>
        <v>234590.65</v>
      </c>
      <c r="H174" s="10">
        <f>+'A) Base RI'!E174</f>
        <v>0</v>
      </c>
      <c r="I174" s="10">
        <f>+'A) Base RI'!F174</f>
        <v>0</v>
      </c>
      <c r="J174" s="10">
        <f>+'A) Base RI'!G174+'A) Base RI'!H174+'A) Base RI'!S174</f>
        <v>1226.48</v>
      </c>
      <c r="K174" s="10">
        <f>+'A) Base RI'!I174</f>
        <v>0</v>
      </c>
      <c r="L174" s="10">
        <f>+'A) Base RI'!J174</f>
        <v>116.62</v>
      </c>
      <c r="M174" s="10">
        <f>+'A) Base RI'!K174</f>
        <v>0</v>
      </c>
      <c r="N174" s="10">
        <f>+'A) Base RI'!Q174</f>
        <v>0</v>
      </c>
      <c r="O174" s="10">
        <f t="shared" si="13"/>
        <v>8077.3749999999991</v>
      </c>
      <c r="P174" s="10">
        <f>+'A) Base RI'!L174</f>
        <v>6461.9</v>
      </c>
      <c r="Q174" s="402">
        <f>'A) Base RI'!Z174</f>
        <v>0.8</v>
      </c>
      <c r="R174" s="394">
        <f t="shared" si="14"/>
        <v>244011.125</v>
      </c>
      <c r="S174" s="437">
        <f>+'A) Base RI'!U174</f>
        <v>75</v>
      </c>
      <c r="T174" s="394">
        <f t="shared" si="15"/>
        <v>235933.75</v>
      </c>
      <c r="U174" s="394">
        <f t="shared" si="16"/>
        <v>3253.4816666666666</v>
      </c>
      <c r="V174" s="10">
        <f>+'A) Base RI'!O174</f>
        <v>0</v>
      </c>
      <c r="W174" s="10">
        <f>+'A) Base RI'!P174</f>
        <v>0</v>
      </c>
      <c r="X174" s="10">
        <f>+'A) Base RI'!R174</f>
        <v>0</v>
      </c>
      <c r="Y174" s="394">
        <f t="shared" si="17"/>
        <v>0</v>
      </c>
      <c r="Z174" s="10">
        <f>+'A) Base RI'!N174</f>
        <v>0</v>
      </c>
      <c r="AA174" s="10">
        <f>'A) Base RI'!V174</f>
        <v>93</v>
      </c>
    </row>
    <row r="175" spans="1:27" x14ac:dyDescent="0.25">
      <c r="A175" s="8">
        <f>'A) Base RI'!A175</f>
        <v>5688</v>
      </c>
      <c r="B175" s="32" t="str">
        <f>'A) Base RI'!B175</f>
        <v>Syens</v>
      </c>
      <c r="C175" s="10">
        <f>'A) Base RI'!C175+'A) Base RI'!D175</f>
        <v>416961.75</v>
      </c>
      <c r="D175" s="10">
        <f>'A) Base RI'!W175</f>
        <v>-13908.64</v>
      </c>
      <c r="E175" s="390">
        <f>'A) Base RI'!X175</f>
        <v>0</v>
      </c>
      <c r="F175" s="390">
        <f>'A) Base RI'!Y175</f>
        <v>0</v>
      </c>
      <c r="G175" s="394">
        <f t="shared" si="12"/>
        <v>403053.11</v>
      </c>
      <c r="H175" s="10">
        <f>+'A) Base RI'!E175</f>
        <v>0</v>
      </c>
      <c r="I175" s="10">
        <f>+'A) Base RI'!F175</f>
        <v>0</v>
      </c>
      <c r="J175" s="10">
        <f>+'A) Base RI'!G175+'A) Base RI'!H175+'A) Base RI'!S175</f>
        <v>-24114.199999999997</v>
      </c>
      <c r="K175" s="10">
        <f>+'A) Base RI'!I175</f>
        <v>0</v>
      </c>
      <c r="L175" s="10">
        <f>+'A) Base RI'!J175</f>
        <v>2193.36</v>
      </c>
      <c r="M175" s="10">
        <f>+'A) Base RI'!K175</f>
        <v>105</v>
      </c>
      <c r="N175" s="10">
        <f>+'A) Base RI'!Q175</f>
        <v>26.03</v>
      </c>
      <c r="O175" s="10">
        <f t="shared" si="13"/>
        <v>24705</v>
      </c>
      <c r="P175" s="10">
        <f>+'A) Base RI'!L175</f>
        <v>24705</v>
      </c>
      <c r="Q175" s="402">
        <f>'A) Base RI'!Z175</f>
        <v>1</v>
      </c>
      <c r="R175" s="394">
        <f t="shared" si="14"/>
        <v>405968.3</v>
      </c>
      <c r="S175" s="437">
        <f>+'A) Base RI'!U175</f>
        <v>65</v>
      </c>
      <c r="T175" s="394">
        <f t="shared" si="15"/>
        <v>381158.3</v>
      </c>
      <c r="U175" s="394">
        <f t="shared" si="16"/>
        <v>6245.666153846154</v>
      </c>
      <c r="V175" s="10">
        <f>+'A) Base RI'!O175</f>
        <v>0</v>
      </c>
      <c r="W175" s="10">
        <f>+'A) Base RI'!P175</f>
        <v>8170.65</v>
      </c>
      <c r="X175" s="10">
        <f>+'A) Base RI'!R175</f>
        <v>17809.55</v>
      </c>
      <c r="Y175" s="394">
        <f t="shared" si="17"/>
        <v>25980.199999999997</v>
      </c>
      <c r="Z175" s="10">
        <f>+'A) Base RI'!N175</f>
        <v>0</v>
      </c>
      <c r="AA175" s="10">
        <f>'A) Base RI'!V175</f>
        <v>161</v>
      </c>
    </row>
    <row r="176" spans="1:27" x14ac:dyDescent="0.25">
      <c r="A176" s="8">
        <f>'A) Base RI'!A176</f>
        <v>5690</v>
      </c>
      <c r="B176" s="32" t="str">
        <f>'A) Base RI'!B176</f>
        <v>Villars-le-Comte</v>
      </c>
      <c r="C176" s="10">
        <f>'A) Base RI'!C176+'A) Base RI'!D176</f>
        <v>224587.97999999998</v>
      </c>
      <c r="D176" s="10">
        <f>'A) Base RI'!W176</f>
        <v>-2328.0500000000002</v>
      </c>
      <c r="E176" s="390">
        <f>'A) Base RI'!X176</f>
        <v>0</v>
      </c>
      <c r="F176" s="390">
        <f>'A) Base RI'!Y176</f>
        <v>0</v>
      </c>
      <c r="G176" s="394">
        <f t="shared" si="12"/>
        <v>222259.93</v>
      </c>
      <c r="H176" s="10">
        <f>+'A) Base RI'!E176</f>
        <v>0</v>
      </c>
      <c r="I176" s="10">
        <f>+'A) Base RI'!F176</f>
        <v>730</v>
      </c>
      <c r="J176" s="10">
        <f>+'A) Base RI'!G176+'A) Base RI'!H176+'A) Base RI'!S176</f>
        <v>1554.5600000000002</v>
      </c>
      <c r="K176" s="10">
        <f>+'A) Base RI'!I176</f>
        <v>0</v>
      </c>
      <c r="L176" s="10">
        <f>+'A) Base RI'!J176</f>
        <v>0</v>
      </c>
      <c r="M176" s="10">
        <f>+'A) Base RI'!K176</f>
        <v>184.1</v>
      </c>
      <c r="N176" s="10">
        <f>+'A) Base RI'!Q176</f>
        <v>0</v>
      </c>
      <c r="O176" s="10">
        <f t="shared" si="13"/>
        <v>20973.916666666668</v>
      </c>
      <c r="P176" s="10">
        <f>+'A) Base RI'!L176</f>
        <v>25168.7</v>
      </c>
      <c r="Q176" s="402">
        <f>'A) Base RI'!Z176</f>
        <v>1.2</v>
      </c>
      <c r="R176" s="394">
        <f t="shared" si="14"/>
        <v>245702.50666666665</v>
      </c>
      <c r="S176" s="437">
        <f>+'A) Base RI'!U176</f>
        <v>70</v>
      </c>
      <c r="T176" s="394">
        <f t="shared" si="15"/>
        <v>223814.49</v>
      </c>
      <c r="U176" s="394">
        <f t="shared" si="16"/>
        <v>3510.0358095238093</v>
      </c>
      <c r="V176" s="10">
        <f>+'A) Base RI'!O176</f>
        <v>17912.2</v>
      </c>
      <c r="W176" s="10">
        <f>+'A) Base RI'!P176</f>
        <v>996.55</v>
      </c>
      <c r="X176" s="10">
        <f>+'A) Base RI'!R176</f>
        <v>505.75</v>
      </c>
      <c r="Y176" s="394">
        <f t="shared" si="17"/>
        <v>19414.5</v>
      </c>
      <c r="Z176" s="10">
        <f>+'A) Base RI'!N176</f>
        <v>0</v>
      </c>
      <c r="AA176" s="10">
        <f>'A) Base RI'!V176</f>
        <v>133</v>
      </c>
    </row>
    <row r="177" spans="1:27" x14ac:dyDescent="0.25">
      <c r="A177" s="8">
        <f>'A) Base RI'!A177</f>
        <v>5692</v>
      </c>
      <c r="B177" s="32" t="str">
        <f>'A) Base RI'!B177</f>
        <v>Vucherens</v>
      </c>
      <c r="C177" s="10">
        <f>'A) Base RI'!C177+'A) Base RI'!D177</f>
        <v>1348315.74</v>
      </c>
      <c r="D177" s="10">
        <f>'A) Base RI'!W177</f>
        <v>-33446.31</v>
      </c>
      <c r="E177" s="390">
        <f>'A) Base RI'!X177</f>
        <v>0</v>
      </c>
      <c r="F177" s="390">
        <f>'A) Base RI'!Y177</f>
        <v>0</v>
      </c>
      <c r="G177" s="394">
        <f t="shared" si="12"/>
        <v>1314869.43</v>
      </c>
      <c r="H177" s="10">
        <f>+'A) Base RI'!E177</f>
        <v>0</v>
      </c>
      <c r="I177" s="10">
        <f>+'A) Base RI'!F177</f>
        <v>0</v>
      </c>
      <c r="J177" s="10">
        <f>+'A) Base RI'!G177+'A) Base RI'!H177+'A) Base RI'!S177</f>
        <v>15215.899999999998</v>
      </c>
      <c r="K177" s="10">
        <f>+'A) Base RI'!I177</f>
        <v>0</v>
      </c>
      <c r="L177" s="10">
        <f>+'A) Base RI'!J177</f>
        <v>14293.11</v>
      </c>
      <c r="M177" s="10">
        <f>+'A) Base RI'!K177</f>
        <v>2474.4499999999998</v>
      </c>
      <c r="N177" s="10">
        <f>+'A) Base RI'!Q177</f>
        <v>1087.77</v>
      </c>
      <c r="O177" s="10">
        <f t="shared" si="13"/>
        <v>99134.9</v>
      </c>
      <c r="P177" s="10">
        <f>+'A) Base RI'!L177</f>
        <v>99134.9</v>
      </c>
      <c r="Q177" s="402">
        <f>'A) Base RI'!Z177</f>
        <v>1</v>
      </c>
      <c r="R177" s="394">
        <f t="shared" si="14"/>
        <v>1447075.5599999998</v>
      </c>
      <c r="S177" s="437">
        <f>+'A) Base RI'!U177</f>
        <v>77</v>
      </c>
      <c r="T177" s="394">
        <f t="shared" si="15"/>
        <v>1345466.21</v>
      </c>
      <c r="U177" s="394">
        <f t="shared" si="16"/>
        <v>18793.189090909087</v>
      </c>
      <c r="V177" s="10">
        <f>+'A) Base RI'!O177</f>
        <v>0</v>
      </c>
      <c r="W177" s="10">
        <f>+'A) Base RI'!P177</f>
        <v>99618</v>
      </c>
      <c r="X177" s="10">
        <f>+'A) Base RI'!R177</f>
        <v>94542.7</v>
      </c>
      <c r="Y177" s="394">
        <f t="shared" si="17"/>
        <v>194160.7</v>
      </c>
      <c r="Z177" s="10">
        <f>+'A) Base RI'!N177</f>
        <v>10724.2</v>
      </c>
      <c r="AA177" s="10">
        <f>'A) Base RI'!V177</f>
        <v>623</v>
      </c>
    </row>
    <row r="178" spans="1:27" x14ac:dyDescent="0.25">
      <c r="A178" s="8">
        <f>'A) Base RI'!A178</f>
        <v>5693</v>
      </c>
      <c r="B178" s="32" t="str">
        <f>'A) Base RI'!B178</f>
        <v>Montanaire</v>
      </c>
      <c r="C178" s="10">
        <f>'A) Base RI'!C178+'A) Base RI'!D178</f>
        <v>4724883.0999999996</v>
      </c>
      <c r="D178" s="10">
        <f>'A) Base RI'!W178</f>
        <v>-93836.39</v>
      </c>
      <c r="E178" s="390">
        <f>'A) Base RI'!X178</f>
        <v>0</v>
      </c>
      <c r="F178" s="390">
        <f>'A) Base RI'!Y178</f>
        <v>-261.51</v>
      </c>
      <c r="G178" s="394">
        <f t="shared" si="12"/>
        <v>4630785.2</v>
      </c>
      <c r="H178" s="10">
        <f>+'A) Base RI'!E178</f>
        <v>0</v>
      </c>
      <c r="I178" s="10">
        <f>+'A) Base RI'!F178</f>
        <v>0</v>
      </c>
      <c r="J178" s="10">
        <f>+'A) Base RI'!G178+'A) Base RI'!H178+'A) Base RI'!S178</f>
        <v>132523.44999999998</v>
      </c>
      <c r="K178" s="10">
        <f>+'A) Base RI'!I178</f>
        <v>0</v>
      </c>
      <c r="L178" s="10">
        <f>+'A) Base RI'!J178</f>
        <v>70814.34</v>
      </c>
      <c r="M178" s="10">
        <f>+'A) Base RI'!K178</f>
        <v>9962</v>
      </c>
      <c r="N178" s="10">
        <f>+'A) Base RI'!Q178</f>
        <v>25511.61</v>
      </c>
      <c r="O178" s="10">
        <f t="shared" si="13"/>
        <v>428714.75</v>
      </c>
      <c r="P178" s="10">
        <f>+'A) Base RI'!L178</f>
        <v>428714.75</v>
      </c>
      <c r="Q178" s="402">
        <f>'A) Base RI'!Z178</f>
        <v>1</v>
      </c>
      <c r="R178" s="394">
        <f t="shared" si="14"/>
        <v>5298311.3500000006</v>
      </c>
      <c r="S178" s="437">
        <f>+'A) Base RI'!U178</f>
        <v>70</v>
      </c>
      <c r="T178" s="394">
        <f t="shared" si="15"/>
        <v>4859634.6000000006</v>
      </c>
      <c r="U178" s="394">
        <f t="shared" si="16"/>
        <v>75690.162142857153</v>
      </c>
      <c r="V178" s="10">
        <f>+'A) Base RI'!O178</f>
        <v>162899.4</v>
      </c>
      <c r="W178" s="10">
        <f>+'A) Base RI'!P178</f>
        <v>178469.45</v>
      </c>
      <c r="X178" s="10">
        <f>+'A) Base RI'!R178</f>
        <v>143986.65</v>
      </c>
      <c r="Y178" s="394">
        <f t="shared" si="17"/>
        <v>485355.5</v>
      </c>
      <c r="Z178" s="10">
        <f>+'A) Base RI'!N178</f>
        <v>63509.05</v>
      </c>
      <c r="AA178" s="10">
        <f>'A) Base RI'!V178</f>
        <v>2768</v>
      </c>
    </row>
    <row r="179" spans="1:27" x14ac:dyDescent="0.25">
      <c r="A179" s="8">
        <f>'A) Base RI'!A179</f>
        <v>5701</v>
      </c>
      <c r="B179" s="32" t="str">
        <f>'A) Base RI'!B179</f>
        <v>Arnex-sur-Nyon</v>
      </c>
      <c r="C179" s="10">
        <f>'A) Base RI'!C179+'A) Base RI'!D179</f>
        <v>853200.27</v>
      </c>
      <c r="D179" s="10">
        <f>'A) Base RI'!W179</f>
        <v>-1274.97</v>
      </c>
      <c r="E179" s="390">
        <f>'A) Base RI'!X179</f>
        <v>0</v>
      </c>
      <c r="F179" s="390">
        <f>'A) Base RI'!Y179</f>
        <v>-581.19000000000005</v>
      </c>
      <c r="G179" s="394">
        <f t="shared" si="12"/>
        <v>851344.1100000001</v>
      </c>
      <c r="H179" s="10">
        <f>+'A) Base RI'!E179</f>
        <v>0</v>
      </c>
      <c r="I179" s="10">
        <f>+'A) Base RI'!F179</f>
        <v>0</v>
      </c>
      <c r="J179" s="10">
        <f>+'A) Base RI'!G179+'A) Base RI'!H179+'A) Base RI'!S179</f>
        <v>1875.9</v>
      </c>
      <c r="K179" s="10">
        <f>+'A) Base RI'!I179</f>
        <v>65333.35</v>
      </c>
      <c r="L179" s="10">
        <f>+'A) Base RI'!J179</f>
        <v>21681.83</v>
      </c>
      <c r="M179" s="10">
        <f>+'A) Base RI'!K179</f>
        <v>508.25</v>
      </c>
      <c r="N179" s="10">
        <f>+'A) Base RI'!Q179</f>
        <v>0</v>
      </c>
      <c r="O179" s="10">
        <f t="shared" si="13"/>
        <v>73466.600000000006</v>
      </c>
      <c r="P179" s="10">
        <f>+'A) Base RI'!L179</f>
        <v>73466.600000000006</v>
      </c>
      <c r="Q179" s="402">
        <f>'A) Base RI'!Z179</f>
        <v>1</v>
      </c>
      <c r="R179" s="394">
        <f t="shared" si="14"/>
        <v>1014210.04</v>
      </c>
      <c r="S179" s="437">
        <f>+'A) Base RI'!U179</f>
        <v>70</v>
      </c>
      <c r="T179" s="394">
        <f t="shared" si="15"/>
        <v>940235.19000000006</v>
      </c>
      <c r="U179" s="394">
        <f t="shared" si="16"/>
        <v>14488.714857142857</v>
      </c>
      <c r="V179" s="10">
        <f>+'A) Base RI'!O179</f>
        <v>78125</v>
      </c>
      <c r="W179" s="10">
        <f>+'A) Base RI'!P179</f>
        <v>15950</v>
      </c>
      <c r="X179" s="10">
        <f>+'A) Base RI'!R179</f>
        <v>68557</v>
      </c>
      <c r="Y179" s="394">
        <f t="shared" si="17"/>
        <v>162632</v>
      </c>
      <c r="Z179" s="10">
        <f>+'A) Base RI'!N179</f>
        <v>1264.6500000000001</v>
      </c>
      <c r="AA179" s="10">
        <f>'A) Base RI'!V179</f>
        <v>226</v>
      </c>
    </row>
    <row r="180" spans="1:27" x14ac:dyDescent="0.25">
      <c r="A180" s="8">
        <f>'A) Base RI'!A180</f>
        <v>5702</v>
      </c>
      <c r="B180" s="32" t="str">
        <f>'A) Base RI'!B180</f>
        <v>Arzier-Le Muids</v>
      </c>
      <c r="C180" s="10">
        <f>'A) Base RI'!C180+'A) Base RI'!D180</f>
        <v>9648524.6400000006</v>
      </c>
      <c r="D180" s="10">
        <f>'A) Base RI'!W180</f>
        <v>-186322.45</v>
      </c>
      <c r="E180" s="390">
        <f>'A) Base RI'!X180</f>
        <v>0</v>
      </c>
      <c r="F180" s="390">
        <f>'A) Base RI'!Y180</f>
        <v>-23057.17</v>
      </c>
      <c r="G180" s="394">
        <f t="shared" si="12"/>
        <v>9439145.0200000014</v>
      </c>
      <c r="H180" s="10">
        <f>+'A) Base RI'!E180</f>
        <v>0</v>
      </c>
      <c r="I180" s="10">
        <f>+'A) Base RI'!F180</f>
        <v>0</v>
      </c>
      <c r="J180" s="10">
        <f>+'A) Base RI'!G180+'A) Base RI'!H180+'A) Base RI'!S180</f>
        <v>157192.22</v>
      </c>
      <c r="K180" s="10">
        <f>+'A) Base RI'!I180</f>
        <v>414594.65</v>
      </c>
      <c r="L180" s="10">
        <f>+'A) Base RI'!J180</f>
        <v>186766.5</v>
      </c>
      <c r="M180" s="10">
        <f>+'A) Base RI'!K180</f>
        <v>1851.65</v>
      </c>
      <c r="N180" s="10">
        <f>+'A) Base RI'!Q180</f>
        <v>149621.63</v>
      </c>
      <c r="O180" s="10">
        <f t="shared" si="13"/>
        <v>842057.93333333323</v>
      </c>
      <c r="P180" s="10">
        <f>+'A) Base RI'!L180</f>
        <v>1263086.8999999999</v>
      </c>
      <c r="Q180" s="402">
        <f>'A) Base RI'!Z180</f>
        <v>1.5</v>
      </c>
      <c r="R180" s="394">
        <f t="shared" si="14"/>
        <v>11191229.603333337</v>
      </c>
      <c r="S180" s="437">
        <f>+'A) Base RI'!U180</f>
        <v>64</v>
      </c>
      <c r="T180" s="394">
        <f t="shared" si="15"/>
        <v>10347320.020000003</v>
      </c>
      <c r="U180" s="394">
        <f t="shared" si="16"/>
        <v>174862.96255208339</v>
      </c>
      <c r="V180" s="10">
        <f>+'A) Base RI'!O180</f>
        <v>111916.4</v>
      </c>
      <c r="W180" s="10">
        <f>+'A) Base RI'!P180</f>
        <v>811611.15</v>
      </c>
      <c r="X180" s="10">
        <f>+'A) Base RI'!R180</f>
        <v>543079.1</v>
      </c>
      <c r="Y180" s="394">
        <f t="shared" si="17"/>
        <v>1466606.65</v>
      </c>
      <c r="Z180" s="10">
        <f>+'A) Base RI'!N180</f>
        <v>76946.45</v>
      </c>
      <c r="AA180" s="10">
        <f>'A) Base RI'!V180</f>
        <v>2947</v>
      </c>
    </row>
    <row r="181" spans="1:27" x14ac:dyDescent="0.25">
      <c r="A181" s="8">
        <f>'A) Base RI'!A181</f>
        <v>5703</v>
      </c>
      <c r="B181" s="32" t="str">
        <f>'A) Base RI'!B181</f>
        <v>Bassins</v>
      </c>
      <c r="C181" s="10">
        <f>'A) Base RI'!C181+'A) Base RI'!D181</f>
        <v>4466594.5</v>
      </c>
      <c r="D181" s="10">
        <f>'A) Base RI'!W181</f>
        <v>-33422.980000000003</v>
      </c>
      <c r="E181" s="390">
        <f>'A) Base RI'!X181</f>
        <v>0</v>
      </c>
      <c r="F181" s="390">
        <f>'A) Base RI'!Y181</f>
        <v>-2500.88</v>
      </c>
      <c r="G181" s="394">
        <f t="shared" si="12"/>
        <v>4430670.6399999997</v>
      </c>
      <c r="H181" s="10">
        <f>+'A) Base RI'!E181</f>
        <v>0</v>
      </c>
      <c r="I181" s="10">
        <f>+'A) Base RI'!F181</f>
        <v>0</v>
      </c>
      <c r="J181" s="10">
        <f>+'A) Base RI'!G181+'A) Base RI'!H181+'A) Base RI'!S181</f>
        <v>34579.200000000004</v>
      </c>
      <c r="K181" s="10">
        <f>+'A) Base RI'!I181</f>
        <v>0</v>
      </c>
      <c r="L181" s="10">
        <f>+'A) Base RI'!J181</f>
        <v>31253.81</v>
      </c>
      <c r="M181" s="10">
        <f>+'A) Base RI'!K181</f>
        <v>927.75</v>
      </c>
      <c r="N181" s="10">
        <f>+'A) Base RI'!Q181</f>
        <v>6774.96</v>
      </c>
      <c r="O181" s="10">
        <f t="shared" si="13"/>
        <v>338811.60714285716</v>
      </c>
      <c r="P181" s="10">
        <f>+'A) Base RI'!L181</f>
        <v>474336.25</v>
      </c>
      <c r="Q181" s="402">
        <f>'A) Base RI'!Z181</f>
        <v>1.4</v>
      </c>
      <c r="R181" s="394">
        <f t="shared" si="14"/>
        <v>4843017.9671428567</v>
      </c>
      <c r="S181" s="437">
        <f>+'A) Base RI'!U181</f>
        <v>72.5</v>
      </c>
      <c r="T181" s="394">
        <f t="shared" si="15"/>
        <v>4503278.6099999994</v>
      </c>
      <c r="U181" s="394">
        <f t="shared" si="16"/>
        <v>66800.247822660094</v>
      </c>
      <c r="V181" s="10">
        <f>+'A) Base RI'!O181</f>
        <v>0</v>
      </c>
      <c r="W181" s="10">
        <f>+'A) Base RI'!P181</f>
        <v>298205.34999999998</v>
      </c>
      <c r="X181" s="10">
        <f>+'A) Base RI'!R181</f>
        <v>181551.1</v>
      </c>
      <c r="Y181" s="394">
        <f t="shared" si="17"/>
        <v>479756.44999999995</v>
      </c>
      <c r="Z181" s="10">
        <f>+'A) Base RI'!N181</f>
        <v>30033.35</v>
      </c>
      <c r="AA181" s="10">
        <f>'A) Base RI'!V181</f>
        <v>1487</v>
      </c>
    </row>
    <row r="182" spans="1:27" x14ac:dyDescent="0.25">
      <c r="A182" s="8">
        <f>'A) Base RI'!A182</f>
        <v>5704</v>
      </c>
      <c r="B182" s="32" t="str">
        <f>'A) Base RI'!B182</f>
        <v>Begnins</v>
      </c>
      <c r="C182" s="10">
        <f>'A) Base RI'!C182+'A) Base RI'!D182</f>
        <v>11725910.300000001</v>
      </c>
      <c r="D182" s="10">
        <f>'A) Base RI'!W182</f>
        <v>-55365.69</v>
      </c>
      <c r="E182" s="390">
        <f>'A) Base RI'!X182</f>
        <v>0</v>
      </c>
      <c r="F182" s="390">
        <f>'A) Base RI'!Y182</f>
        <v>-122321.3</v>
      </c>
      <c r="G182" s="394">
        <f t="shared" si="12"/>
        <v>11548223.310000001</v>
      </c>
      <c r="H182" s="10">
        <f>+'A) Base RI'!E182</f>
        <v>0</v>
      </c>
      <c r="I182" s="10">
        <f>+'A) Base RI'!F182</f>
        <v>0</v>
      </c>
      <c r="J182" s="10">
        <f>+'A) Base RI'!G182+'A) Base RI'!H182+'A) Base RI'!S182</f>
        <v>74556.06</v>
      </c>
      <c r="K182" s="10">
        <f>+'A) Base RI'!I182</f>
        <v>331610.95</v>
      </c>
      <c r="L182" s="10">
        <f>+'A) Base RI'!J182</f>
        <v>134617.20000000001</v>
      </c>
      <c r="M182" s="10">
        <f>+'A) Base RI'!K182</f>
        <v>15685.15</v>
      </c>
      <c r="N182" s="10">
        <f>+'A) Base RI'!Q182</f>
        <v>12522.13</v>
      </c>
      <c r="O182" s="10">
        <f t="shared" si="13"/>
        <v>529244.79999999993</v>
      </c>
      <c r="P182" s="10">
        <f>+'A) Base RI'!L182</f>
        <v>793867.2</v>
      </c>
      <c r="Q182" s="402">
        <f>'A) Base RI'!Z182</f>
        <v>1.5</v>
      </c>
      <c r="R182" s="394">
        <f t="shared" si="14"/>
        <v>12646459.600000001</v>
      </c>
      <c r="S182" s="437">
        <f>+'A) Base RI'!U182</f>
        <v>62.5</v>
      </c>
      <c r="T182" s="394">
        <f t="shared" si="15"/>
        <v>12101529.65</v>
      </c>
      <c r="U182" s="394">
        <f t="shared" si="16"/>
        <v>202343.35360000003</v>
      </c>
      <c r="V182" s="10">
        <f>+'A) Base RI'!O182</f>
        <v>119098.2</v>
      </c>
      <c r="W182" s="10">
        <f>+'A) Base RI'!P182</f>
        <v>311473.3</v>
      </c>
      <c r="X182" s="10">
        <f>+'A) Base RI'!R182</f>
        <v>194104</v>
      </c>
      <c r="Y182" s="394">
        <f t="shared" si="17"/>
        <v>624675.5</v>
      </c>
      <c r="Z182" s="10">
        <f>+'A) Base RI'!N182</f>
        <v>24992.05</v>
      </c>
      <c r="AA182" s="10">
        <f>'A) Base RI'!V182</f>
        <v>1941</v>
      </c>
    </row>
    <row r="183" spans="1:27" x14ac:dyDescent="0.25">
      <c r="A183" s="8">
        <f>'A) Base RI'!A183</f>
        <v>5705</v>
      </c>
      <c r="B183" s="32" t="str">
        <f>'A) Base RI'!B183</f>
        <v>Bogis-Bossey</v>
      </c>
      <c r="C183" s="10">
        <f>'A) Base RI'!C183+'A) Base RI'!D183</f>
        <v>3451768.12</v>
      </c>
      <c r="D183" s="10">
        <f>'A) Base RI'!W183</f>
        <v>-15256.03</v>
      </c>
      <c r="E183" s="390">
        <f>'A) Base RI'!X183</f>
        <v>0</v>
      </c>
      <c r="F183" s="390">
        <f>'A) Base RI'!Y183</f>
        <v>-6470.74</v>
      </c>
      <c r="G183" s="394">
        <f t="shared" si="12"/>
        <v>3430041.35</v>
      </c>
      <c r="H183" s="10">
        <f>+'A) Base RI'!E183</f>
        <v>0</v>
      </c>
      <c r="I183" s="10">
        <f>+'A) Base RI'!F183</f>
        <v>0</v>
      </c>
      <c r="J183" s="10">
        <f>+'A) Base RI'!G183+'A) Base RI'!H183+'A) Base RI'!S183</f>
        <v>67707.38</v>
      </c>
      <c r="K183" s="10">
        <f>+'A) Base RI'!I183</f>
        <v>106832.5</v>
      </c>
      <c r="L183" s="10">
        <f>+'A) Base RI'!J183</f>
        <v>21583.82</v>
      </c>
      <c r="M183" s="10">
        <f>+'A) Base RI'!K183</f>
        <v>11017.25</v>
      </c>
      <c r="N183" s="10">
        <f>+'A) Base RI'!Q183</f>
        <v>1831.91</v>
      </c>
      <c r="O183" s="10">
        <f t="shared" si="13"/>
        <v>231509.5</v>
      </c>
      <c r="P183" s="10">
        <f>+'A) Base RI'!L183</f>
        <v>231509.5</v>
      </c>
      <c r="Q183" s="402">
        <f>'A) Base RI'!Z183</f>
        <v>1</v>
      </c>
      <c r="R183" s="394">
        <f t="shared" si="14"/>
        <v>3870523.71</v>
      </c>
      <c r="S183" s="437">
        <f>+'A) Base RI'!U183</f>
        <v>74.5</v>
      </c>
      <c r="T183" s="394">
        <f t="shared" si="15"/>
        <v>3627996.96</v>
      </c>
      <c r="U183" s="394">
        <f t="shared" si="16"/>
        <v>51953.338389261742</v>
      </c>
      <c r="V183" s="10">
        <f>+'A) Base RI'!O183</f>
        <v>0</v>
      </c>
      <c r="W183" s="10">
        <f>+'A) Base RI'!P183</f>
        <v>332784.75</v>
      </c>
      <c r="X183" s="10">
        <f>+'A) Base RI'!R183</f>
        <v>211433.65</v>
      </c>
      <c r="Y183" s="394">
        <f t="shared" si="17"/>
        <v>544218.4</v>
      </c>
      <c r="Z183" s="10">
        <f>+'A) Base RI'!N183</f>
        <v>47048.800000000003</v>
      </c>
      <c r="AA183" s="10">
        <f>'A) Base RI'!V183</f>
        <v>888</v>
      </c>
    </row>
    <row r="184" spans="1:27" x14ac:dyDescent="0.25">
      <c r="A184" s="8">
        <f>'A) Base RI'!A184</f>
        <v>5706</v>
      </c>
      <c r="B184" s="32" t="str">
        <f>'A) Base RI'!B184</f>
        <v>Borex</v>
      </c>
      <c r="C184" s="10">
        <f>'A) Base RI'!C184+'A) Base RI'!D184</f>
        <v>3720810.93</v>
      </c>
      <c r="D184" s="10">
        <f>'A) Base RI'!W184</f>
        <v>-7286.69</v>
      </c>
      <c r="E184" s="390">
        <f>'A) Base RI'!X184</f>
        <v>0</v>
      </c>
      <c r="F184" s="390">
        <f>'A) Base RI'!Y184</f>
        <v>-7727.67</v>
      </c>
      <c r="G184" s="394">
        <f t="shared" si="12"/>
        <v>3705796.5700000003</v>
      </c>
      <c r="H184" s="10">
        <f>+'A) Base RI'!E184</f>
        <v>0</v>
      </c>
      <c r="I184" s="10">
        <f>+'A) Base RI'!F184</f>
        <v>0</v>
      </c>
      <c r="J184" s="10">
        <f>+'A) Base RI'!G184+'A) Base RI'!H184+'A) Base RI'!S184</f>
        <v>4926.3499999999995</v>
      </c>
      <c r="K184" s="10">
        <f>+'A) Base RI'!I184</f>
        <v>14964.7</v>
      </c>
      <c r="L184" s="10">
        <f>+'A) Base RI'!J184</f>
        <v>32456.15</v>
      </c>
      <c r="M184" s="10">
        <f>+'A) Base RI'!K184</f>
        <v>10637.7</v>
      </c>
      <c r="N184" s="10">
        <f>+'A) Base RI'!Q184</f>
        <v>0</v>
      </c>
      <c r="O184" s="10">
        <f t="shared" si="13"/>
        <v>290074.3</v>
      </c>
      <c r="P184" s="10">
        <f>+'A) Base RI'!L184</f>
        <v>435111.45</v>
      </c>
      <c r="Q184" s="402">
        <f>'A) Base RI'!Z184</f>
        <v>1.5</v>
      </c>
      <c r="R184" s="394">
        <f t="shared" si="14"/>
        <v>4058855.7700000005</v>
      </c>
      <c r="S184" s="437">
        <f>+'A) Base RI'!U184</f>
        <v>57</v>
      </c>
      <c r="T184" s="394">
        <f t="shared" si="15"/>
        <v>3758143.7700000005</v>
      </c>
      <c r="U184" s="394">
        <f t="shared" si="16"/>
        <v>71207.99596491229</v>
      </c>
      <c r="V184" s="10">
        <f>+'A) Base RI'!O184</f>
        <v>0</v>
      </c>
      <c r="W184" s="10">
        <f>+'A) Base RI'!P184</f>
        <v>201410</v>
      </c>
      <c r="X184" s="10">
        <f>+'A) Base RI'!R184</f>
        <v>118489.60000000001</v>
      </c>
      <c r="Y184" s="394">
        <f t="shared" si="17"/>
        <v>319899.59999999998</v>
      </c>
      <c r="Z184" s="10">
        <f>+'A) Base RI'!N184</f>
        <v>10314.15</v>
      </c>
      <c r="AA184" s="10">
        <f>'A) Base RI'!V184</f>
        <v>1165</v>
      </c>
    </row>
    <row r="185" spans="1:27" x14ac:dyDescent="0.25">
      <c r="A185" s="8">
        <f>'A) Base RI'!A185</f>
        <v>5707</v>
      </c>
      <c r="B185" s="32" t="str">
        <f>'A) Base RI'!B185</f>
        <v>Chavannes-de-Bogis</v>
      </c>
      <c r="C185" s="10">
        <f>'A) Base RI'!C185+'A) Base RI'!D185</f>
        <v>4163268.49</v>
      </c>
      <c r="D185" s="10">
        <f>'A) Base RI'!W185</f>
        <v>-13446.05</v>
      </c>
      <c r="E185" s="390">
        <f>'A) Base RI'!X185</f>
        <v>0</v>
      </c>
      <c r="F185" s="390">
        <f>'A) Base RI'!Y185</f>
        <v>-11373.21</v>
      </c>
      <c r="G185" s="394">
        <f t="shared" si="12"/>
        <v>4138449.2300000004</v>
      </c>
      <c r="H185" s="10">
        <f>+'A) Base RI'!E185</f>
        <v>0</v>
      </c>
      <c r="I185" s="10">
        <f>+'A) Base RI'!F185</f>
        <v>0</v>
      </c>
      <c r="J185" s="10">
        <f>+'A) Base RI'!G185+'A) Base RI'!H185+'A) Base RI'!S185</f>
        <v>316701.03000000003</v>
      </c>
      <c r="K185" s="10">
        <f>+'A) Base RI'!I185</f>
        <v>36135.800000000003</v>
      </c>
      <c r="L185" s="10">
        <f>+'A) Base RI'!J185</f>
        <v>70076.149999999994</v>
      </c>
      <c r="M185" s="10">
        <f>+'A) Base RI'!K185</f>
        <v>60635.1</v>
      </c>
      <c r="N185" s="10">
        <f>+'A) Base RI'!Q185</f>
        <v>4114.8599999999997</v>
      </c>
      <c r="O185" s="10">
        <f t="shared" si="13"/>
        <v>479129.93333333335</v>
      </c>
      <c r="P185" s="10">
        <f>+'A) Base RI'!L185</f>
        <v>718694.9</v>
      </c>
      <c r="Q185" s="402">
        <f>'A) Base RI'!Z185</f>
        <v>1.5</v>
      </c>
      <c r="R185" s="394">
        <f t="shared" si="14"/>
        <v>5105242.1033333344</v>
      </c>
      <c r="S185" s="437">
        <f>+'A) Base RI'!U185</f>
        <v>58</v>
      </c>
      <c r="T185" s="394">
        <f t="shared" si="15"/>
        <v>4565477.0700000012</v>
      </c>
      <c r="U185" s="394">
        <f t="shared" si="16"/>
        <v>88021.415574712664</v>
      </c>
      <c r="V185" s="10">
        <f>+'A) Base RI'!O185</f>
        <v>0</v>
      </c>
      <c r="W185" s="10">
        <f>+'A) Base RI'!P185</f>
        <v>517016.35</v>
      </c>
      <c r="X185" s="10">
        <f>+'A) Base RI'!R185</f>
        <v>331529.5</v>
      </c>
      <c r="Y185" s="394">
        <f t="shared" si="17"/>
        <v>848545.85</v>
      </c>
      <c r="Z185" s="10">
        <f>+'A) Base RI'!N185</f>
        <v>706882.95</v>
      </c>
      <c r="AA185" s="10">
        <f>'A) Base RI'!V185</f>
        <v>1330</v>
      </c>
    </row>
    <row r="186" spans="1:27" x14ac:dyDescent="0.25">
      <c r="A186" s="8">
        <f>'A) Base RI'!A186</f>
        <v>5708</v>
      </c>
      <c r="B186" s="32" t="str">
        <f>'A) Base RI'!B186</f>
        <v>Chavannes-des-Bois</v>
      </c>
      <c r="C186" s="10">
        <f>'A) Base RI'!C186+'A) Base RI'!D186</f>
        <v>4236156.66</v>
      </c>
      <c r="D186" s="10">
        <f>'A) Base RI'!W186</f>
        <v>-404.54</v>
      </c>
      <c r="E186" s="390">
        <f>'A) Base RI'!X186</f>
        <v>0</v>
      </c>
      <c r="F186" s="390">
        <f>'A) Base RI'!Y186</f>
        <v>-4610.09</v>
      </c>
      <c r="G186" s="394">
        <f t="shared" si="12"/>
        <v>4231142.03</v>
      </c>
      <c r="H186" s="10">
        <f>+'A) Base RI'!E186</f>
        <v>0</v>
      </c>
      <c r="I186" s="10">
        <f>+'A) Base RI'!F186</f>
        <v>0</v>
      </c>
      <c r="J186" s="10">
        <f>+'A) Base RI'!G186+'A) Base RI'!H186+'A) Base RI'!S186</f>
        <v>170969.73</v>
      </c>
      <c r="K186" s="10">
        <f>+'A) Base RI'!I186</f>
        <v>0</v>
      </c>
      <c r="L186" s="10">
        <f>+'A) Base RI'!J186</f>
        <v>-140648.74</v>
      </c>
      <c r="M186" s="10">
        <f>+'A) Base RI'!K186</f>
        <v>2504.3000000000002</v>
      </c>
      <c r="N186" s="10">
        <f>+'A) Base RI'!Q186</f>
        <v>0</v>
      </c>
      <c r="O186" s="10">
        <f t="shared" si="13"/>
        <v>292144.2</v>
      </c>
      <c r="P186" s="10">
        <f>+'A) Base RI'!L186</f>
        <v>438216.3</v>
      </c>
      <c r="Q186" s="402">
        <f>'A) Base RI'!Z186</f>
        <v>1.5</v>
      </c>
      <c r="R186" s="394">
        <f t="shared" si="14"/>
        <v>4556111.5200000005</v>
      </c>
      <c r="S186" s="437">
        <f>+'A) Base RI'!U186</f>
        <v>68</v>
      </c>
      <c r="T186" s="394">
        <f t="shared" si="15"/>
        <v>4261463.0200000005</v>
      </c>
      <c r="U186" s="394">
        <f t="shared" si="16"/>
        <v>67001.640000000014</v>
      </c>
      <c r="V186" s="10">
        <f>+'A) Base RI'!O186</f>
        <v>0</v>
      </c>
      <c r="W186" s="10">
        <f>+'A) Base RI'!P186</f>
        <v>149748.1</v>
      </c>
      <c r="X186" s="10">
        <f>+'A) Base RI'!R186</f>
        <v>133122</v>
      </c>
      <c r="Y186" s="394">
        <f t="shared" si="17"/>
        <v>282870.09999999998</v>
      </c>
      <c r="Z186" s="10">
        <f>+'A) Base RI'!N186</f>
        <v>11789.25</v>
      </c>
      <c r="AA186" s="10">
        <f>'A) Base RI'!V186</f>
        <v>1005</v>
      </c>
    </row>
    <row r="187" spans="1:27" x14ac:dyDescent="0.25">
      <c r="A187" s="8">
        <f>'A) Base RI'!A187</f>
        <v>5709</v>
      </c>
      <c r="B187" s="32" t="str">
        <f>'A) Base RI'!B187</f>
        <v>Chéserex</v>
      </c>
      <c r="C187" s="10">
        <f>'A) Base RI'!C187+'A) Base RI'!D187</f>
        <v>4074912.46</v>
      </c>
      <c r="D187" s="10">
        <f>'A) Base RI'!W187</f>
        <v>-37331.360000000001</v>
      </c>
      <c r="E187" s="390">
        <f>'A) Base RI'!X187</f>
        <v>0</v>
      </c>
      <c r="F187" s="390">
        <f>'A) Base RI'!Y187</f>
        <v>-5867.36</v>
      </c>
      <c r="G187" s="394">
        <f t="shared" si="12"/>
        <v>4031713.74</v>
      </c>
      <c r="H187" s="10">
        <f>+'A) Base RI'!E187</f>
        <v>0</v>
      </c>
      <c r="I187" s="10">
        <f>+'A) Base RI'!F187</f>
        <v>0</v>
      </c>
      <c r="J187" s="10">
        <f>+'A) Base RI'!G187+'A) Base RI'!H187+'A) Base RI'!S187</f>
        <v>25537.84</v>
      </c>
      <c r="K187" s="10">
        <f>+'A) Base RI'!I187</f>
        <v>544660.1</v>
      </c>
      <c r="L187" s="10">
        <f>+'A) Base RI'!J187</f>
        <v>33643.4</v>
      </c>
      <c r="M187" s="10">
        <f>+'A) Base RI'!K187</f>
        <v>6284.05</v>
      </c>
      <c r="N187" s="10">
        <f>+'A) Base RI'!Q187</f>
        <v>0</v>
      </c>
      <c r="O187" s="10">
        <f t="shared" si="13"/>
        <v>393676.85</v>
      </c>
      <c r="P187" s="10">
        <f>+'A) Base RI'!L187</f>
        <v>393676.85</v>
      </c>
      <c r="Q187" s="402">
        <f>'A) Base RI'!Z187</f>
        <v>1</v>
      </c>
      <c r="R187" s="394">
        <f t="shared" si="14"/>
        <v>5035515.9799999995</v>
      </c>
      <c r="S187" s="437">
        <f>+'A) Base RI'!U187</f>
        <v>57</v>
      </c>
      <c r="T187" s="394">
        <f t="shared" si="15"/>
        <v>4635555.08</v>
      </c>
      <c r="U187" s="394">
        <f t="shared" si="16"/>
        <v>88342.385614035084</v>
      </c>
      <c r="V187" s="10">
        <f>+'A) Base RI'!O187</f>
        <v>0</v>
      </c>
      <c r="W187" s="10">
        <f>+'A) Base RI'!P187</f>
        <v>170346.85</v>
      </c>
      <c r="X187" s="10">
        <f>+'A) Base RI'!R187</f>
        <v>1665970.35</v>
      </c>
      <c r="Y187" s="394">
        <f t="shared" si="17"/>
        <v>1836317.2000000002</v>
      </c>
      <c r="Z187" s="10">
        <f>+'A) Base RI'!N187</f>
        <v>45594</v>
      </c>
      <c r="AA187" s="10">
        <f>'A) Base RI'!V187</f>
        <v>1263</v>
      </c>
    </row>
    <row r="188" spans="1:27" x14ac:dyDescent="0.25">
      <c r="A188" s="8">
        <f>'A) Base RI'!A188</f>
        <v>5710</v>
      </c>
      <c r="B188" s="32" t="str">
        <f>'A) Base RI'!B188</f>
        <v>Coinsins</v>
      </c>
      <c r="C188" s="10">
        <f>'A) Base RI'!C188+'A) Base RI'!D188</f>
        <v>1611610.1400000001</v>
      </c>
      <c r="D188" s="10">
        <f>'A) Base RI'!W188</f>
        <v>-10534.21</v>
      </c>
      <c r="E188" s="390">
        <f>'A) Base RI'!X188</f>
        <v>0</v>
      </c>
      <c r="F188" s="390">
        <f>'A) Base RI'!Y188</f>
        <v>-8196.23</v>
      </c>
      <c r="G188" s="394">
        <f t="shared" si="12"/>
        <v>1592879.7000000002</v>
      </c>
      <c r="H188" s="10">
        <f>+'A) Base RI'!E188</f>
        <v>0</v>
      </c>
      <c r="I188" s="10">
        <f>+'A) Base RI'!F188</f>
        <v>0</v>
      </c>
      <c r="J188" s="10">
        <f>+'A) Base RI'!G188+'A) Base RI'!H188+'A) Base RI'!S188</f>
        <v>388687.67999999993</v>
      </c>
      <c r="K188" s="10">
        <f>+'A) Base RI'!I188</f>
        <v>110957.8</v>
      </c>
      <c r="L188" s="10">
        <f>+'A) Base RI'!J188</f>
        <v>13621.24</v>
      </c>
      <c r="M188" s="10">
        <f>+'A) Base RI'!K188</f>
        <v>-26200.55</v>
      </c>
      <c r="N188" s="10">
        <f>+'A) Base RI'!Q188</f>
        <v>11.45</v>
      </c>
      <c r="O188" s="10">
        <f t="shared" si="13"/>
        <v>134068.20000000001</v>
      </c>
      <c r="P188" s="10">
        <f>+'A) Base RI'!L188</f>
        <v>134068.20000000001</v>
      </c>
      <c r="Q188" s="402">
        <f>'A) Base RI'!Z188</f>
        <v>1</v>
      </c>
      <c r="R188" s="394">
        <f t="shared" si="14"/>
        <v>2214025.5200000005</v>
      </c>
      <c r="S188" s="437">
        <f>+'A) Base RI'!U188</f>
        <v>51</v>
      </c>
      <c r="T188" s="394">
        <f t="shared" si="15"/>
        <v>2106157.8700000006</v>
      </c>
      <c r="U188" s="394">
        <f t="shared" si="16"/>
        <v>43412.265098039228</v>
      </c>
      <c r="V188" s="10">
        <f>+'A) Base RI'!O188</f>
        <v>0</v>
      </c>
      <c r="W188" s="10">
        <f>+'A) Base RI'!P188</f>
        <v>102602.5</v>
      </c>
      <c r="X188" s="10">
        <f>+'A) Base RI'!R188</f>
        <v>55699.25</v>
      </c>
      <c r="Y188" s="394">
        <f t="shared" si="17"/>
        <v>158301.75</v>
      </c>
      <c r="Z188" s="10">
        <f>+'A) Base RI'!N188</f>
        <v>46509.95</v>
      </c>
      <c r="AA188" s="10">
        <f>'A) Base RI'!V188</f>
        <v>508</v>
      </c>
    </row>
    <row r="189" spans="1:27" x14ac:dyDescent="0.25">
      <c r="A189" s="8">
        <f>'A) Base RI'!A189</f>
        <v>5711</v>
      </c>
      <c r="B189" s="32" t="str">
        <f>'A) Base RI'!B189</f>
        <v>Commugny</v>
      </c>
      <c r="C189" s="10">
        <f>'A) Base RI'!C189+'A) Base RI'!D189</f>
        <v>14531595.949999999</v>
      </c>
      <c r="D189" s="10">
        <f>'A) Base RI'!W189</f>
        <v>4758.5200000000004</v>
      </c>
      <c r="E189" s="390">
        <f>'A) Base RI'!X189</f>
        <v>0</v>
      </c>
      <c r="F189" s="390">
        <f>'A) Base RI'!Y189</f>
        <v>-30955.25</v>
      </c>
      <c r="G189" s="394">
        <f t="shared" si="12"/>
        <v>14505399.219999999</v>
      </c>
      <c r="H189" s="10">
        <f>+'A) Base RI'!E189</f>
        <v>0</v>
      </c>
      <c r="I189" s="10">
        <f>+'A) Base RI'!F189</f>
        <v>0</v>
      </c>
      <c r="J189" s="10">
        <f>+'A) Base RI'!G189+'A) Base RI'!H189+'A) Base RI'!S189</f>
        <v>100358.41</v>
      </c>
      <c r="K189" s="10">
        <f>+'A) Base RI'!I189</f>
        <v>162941.45000000001</v>
      </c>
      <c r="L189" s="10">
        <f>+'A) Base RI'!J189</f>
        <v>150861.20000000001</v>
      </c>
      <c r="M189" s="10">
        <f>+'A) Base RI'!K189</f>
        <v>17437.5</v>
      </c>
      <c r="N189" s="10">
        <f>+'A) Base RI'!Q189</f>
        <v>-3967.2</v>
      </c>
      <c r="O189" s="10">
        <f t="shared" si="13"/>
        <v>955122.84615384613</v>
      </c>
      <c r="P189" s="10">
        <f>+'A) Base RI'!L189</f>
        <v>1241659.7</v>
      </c>
      <c r="Q189" s="402">
        <f>'A) Base RI'!Z189</f>
        <v>1.3</v>
      </c>
      <c r="R189" s="394">
        <f t="shared" si="14"/>
        <v>15888153.426153844</v>
      </c>
      <c r="S189" s="437">
        <f>+'A) Base RI'!U189</f>
        <v>55.5</v>
      </c>
      <c r="T189" s="394">
        <f t="shared" si="15"/>
        <v>14915593.079999998</v>
      </c>
      <c r="U189" s="394">
        <f t="shared" si="16"/>
        <v>286273.03470547468</v>
      </c>
      <c r="V189" s="10">
        <f>+'A) Base RI'!O189</f>
        <v>56023.8</v>
      </c>
      <c r="W189" s="10">
        <f>+'A) Base RI'!P189</f>
        <v>1095794.3</v>
      </c>
      <c r="X189" s="10">
        <f>+'A) Base RI'!R189</f>
        <v>1039147.95</v>
      </c>
      <c r="Y189" s="394">
        <f t="shared" si="17"/>
        <v>2190966.0499999998</v>
      </c>
      <c r="Z189" s="10">
        <f>+'A) Base RI'!N189</f>
        <v>25768.5</v>
      </c>
      <c r="AA189" s="10">
        <f>'A) Base RI'!V189</f>
        <v>3001</v>
      </c>
    </row>
    <row r="190" spans="1:27" x14ac:dyDescent="0.25">
      <c r="A190" s="8">
        <f>'A) Base RI'!A190</f>
        <v>5712</v>
      </c>
      <c r="B190" s="32" t="str">
        <f>'A) Base RI'!B190</f>
        <v>Coppet</v>
      </c>
      <c r="C190" s="10">
        <f>'A) Base RI'!C190+'A) Base RI'!D190</f>
        <v>15371832.18</v>
      </c>
      <c r="D190" s="10">
        <f>'A) Base RI'!W190</f>
        <v>-56289.72</v>
      </c>
      <c r="E190" s="390">
        <f>'A) Base RI'!X190</f>
        <v>0</v>
      </c>
      <c r="F190" s="390">
        <f>'A) Base RI'!Y190</f>
        <v>-53393.47</v>
      </c>
      <c r="G190" s="394">
        <f t="shared" si="12"/>
        <v>15262148.989999998</v>
      </c>
      <c r="H190" s="10">
        <f>+'A) Base RI'!E190</f>
        <v>0</v>
      </c>
      <c r="I190" s="10">
        <f>+'A) Base RI'!F190</f>
        <v>0</v>
      </c>
      <c r="J190" s="10">
        <f>+'A) Base RI'!G190+'A) Base RI'!H190+'A) Base RI'!S190</f>
        <v>190405.9</v>
      </c>
      <c r="K190" s="10">
        <f>+'A) Base RI'!I190</f>
        <v>1088137.19</v>
      </c>
      <c r="L190" s="10">
        <f>+'A) Base RI'!J190</f>
        <v>-86074.68</v>
      </c>
      <c r="M190" s="10">
        <f>+'A) Base RI'!K190</f>
        <v>25170.5</v>
      </c>
      <c r="N190" s="10">
        <f>+'A) Base RI'!Q190</f>
        <v>2167.21</v>
      </c>
      <c r="O190" s="10">
        <f t="shared" si="13"/>
        <v>1207027.8</v>
      </c>
      <c r="P190" s="10">
        <f>+'A) Base RI'!L190</f>
        <v>1810541.7</v>
      </c>
      <c r="Q190" s="402">
        <f>'A) Base RI'!Z190</f>
        <v>1.5</v>
      </c>
      <c r="R190" s="394">
        <f t="shared" si="14"/>
        <v>17688982.91</v>
      </c>
      <c r="S190" s="437">
        <f>+'A) Base RI'!U190</f>
        <v>53</v>
      </c>
      <c r="T190" s="394">
        <f t="shared" si="15"/>
        <v>16456784.609999999</v>
      </c>
      <c r="U190" s="394">
        <f t="shared" si="16"/>
        <v>333754.3945283019</v>
      </c>
      <c r="V190" s="10">
        <f>+'A) Base RI'!O190</f>
        <v>510250</v>
      </c>
      <c r="W190" s="10">
        <f>+'A) Base RI'!P190</f>
        <v>972593.2</v>
      </c>
      <c r="X190" s="10">
        <f>+'A) Base RI'!R190</f>
        <v>570732.44999999995</v>
      </c>
      <c r="Y190" s="394">
        <f t="shared" si="17"/>
        <v>2053575.65</v>
      </c>
      <c r="Z190" s="10">
        <f>+'A) Base RI'!N190</f>
        <v>136878.75</v>
      </c>
      <c r="AA190" s="10">
        <f>'A) Base RI'!V190</f>
        <v>3211</v>
      </c>
    </row>
    <row r="191" spans="1:27" x14ac:dyDescent="0.25">
      <c r="A191" s="8">
        <f>'A) Base RI'!A191</f>
        <v>5713</v>
      </c>
      <c r="B191" s="32" t="str">
        <f>'A) Base RI'!B191</f>
        <v>Crans</v>
      </c>
      <c r="C191" s="10">
        <f>'A) Base RI'!C191+'A) Base RI'!D191</f>
        <v>15000171.49</v>
      </c>
      <c r="D191" s="10">
        <f>'A) Base RI'!W191</f>
        <v>-10790.21</v>
      </c>
      <c r="E191" s="390">
        <f>'A) Base RI'!X191</f>
        <v>0</v>
      </c>
      <c r="F191" s="390">
        <f>'A) Base RI'!Y191</f>
        <v>-103164.71</v>
      </c>
      <c r="G191" s="394">
        <f t="shared" si="12"/>
        <v>14886216.569999998</v>
      </c>
      <c r="H191" s="10">
        <f>+'A) Base RI'!E191</f>
        <v>0</v>
      </c>
      <c r="I191" s="10">
        <f>+'A) Base RI'!F191</f>
        <v>0</v>
      </c>
      <c r="J191" s="10">
        <f>+'A) Base RI'!G191+'A) Base RI'!H191+'A) Base RI'!S191</f>
        <v>55106.2</v>
      </c>
      <c r="K191" s="10">
        <f>+'A) Base RI'!I191</f>
        <v>535479.17000000004</v>
      </c>
      <c r="L191" s="10">
        <f>+'A) Base RI'!J191</f>
        <v>541679.1</v>
      </c>
      <c r="M191" s="10">
        <f>+'A) Base RI'!K191</f>
        <v>18938.05</v>
      </c>
      <c r="N191" s="10">
        <f>+'A) Base RI'!Q191</f>
        <v>3865.85</v>
      </c>
      <c r="O191" s="10">
        <f t="shared" si="13"/>
        <v>898983.85</v>
      </c>
      <c r="P191" s="10">
        <f>+'A) Base RI'!L191</f>
        <v>898983.85</v>
      </c>
      <c r="Q191" s="402">
        <f>'A) Base RI'!Z191</f>
        <v>1</v>
      </c>
      <c r="R191" s="394">
        <f t="shared" si="14"/>
        <v>16940268.789999999</v>
      </c>
      <c r="S191" s="437">
        <f>+'A) Base RI'!U191</f>
        <v>56</v>
      </c>
      <c r="T191" s="394">
        <f t="shared" si="15"/>
        <v>16022346.889999997</v>
      </c>
      <c r="U191" s="394">
        <f t="shared" si="16"/>
        <v>302504.79982142855</v>
      </c>
      <c r="V191" s="10">
        <f>+'A) Base RI'!O191</f>
        <v>1474721.4</v>
      </c>
      <c r="W191" s="10">
        <f>+'A) Base RI'!P191</f>
        <v>677094</v>
      </c>
      <c r="X191" s="10">
        <f>+'A) Base RI'!R191</f>
        <v>1134337.6000000001</v>
      </c>
      <c r="Y191" s="394">
        <f t="shared" si="17"/>
        <v>3286153</v>
      </c>
      <c r="Z191" s="10">
        <f>+'A) Base RI'!N191</f>
        <v>40096.699999999997</v>
      </c>
      <c r="AA191" s="10">
        <f>'A) Base RI'!V191</f>
        <v>2373</v>
      </c>
    </row>
    <row r="192" spans="1:27" x14ac:dyDescent="0.25">
      <c r="A192" s="8">
        <f>'A) Base RI'!A192</f>
        <v>5714</v>
      </c>
      <c r="B192" s="32" t="str">
        <f>'A) Base RI'!B192</f>
        <v>Crassier</v>
      </c>
      <c r="C192" s="10">
        <f>'A) Base RI'!C192+'A) Base RI'!D192</f>
        <v>3693730.9</v>
      </c>
      <c r="D192" s="10">
        <f>'A) Base RI'!W192</f>
        <v>-7574.24</v>
      </c>
      <c r="E192" s="390">
        <f>'A) Base RI'!X192</f>
        <v>0</v>
      </c>
      <c r="F192" s="390">
        <f>'A) Base RI'!Y192</f>
        <v>-3239.4</v>
      </c>
      <c r="G192" s="394">
        <f t="shared" si="12"/>
        <v>3682917.26</v>
      </c>
      <c r="H192" s="10">
        <f>+'A) Base RI'!E192</f>
        <v>0</v>
      </c>
      <c r="I192" s="10">
        <f>+'A) Base RI'!F192</f>
        <v>0</v>
      </c>
      <c r="J192" s="10">
        <f>+'A) Base RI'!G192+'A) Base RI'!H192+'A) Base RI'!S192</f>
        <v>52446.280000000006</v>
      </c>
      <c r="K192" s="10">
        <f>+'A) Base RI'!I192</f>
        <v>111001</v>
      </c>
      <c r="L192" s="10">
        <f>+'A) Base RI'!J192</f>
        <v>72501.87</v>
      </c>
      <c r="M192" s="10">
        <f>+'A) Base RI'!K192</f>
        <v>7238.3</v>
      </c>
      <c r="N192" s="10">
        <f>+'A) Base RI'!Q192</f>
        <v>3088.67</v>
      </c>
      <c r="O192" s="10">
        <f t="shared" si="13"/>
        <v>296056.65000000002</v>
      </c>
      <c r="P192" s="10">
        <f>+'A) Base RI'!L192</f>
        <v>296056.65000000002</v>
      </c>
      <c r="Q192" s="402">
        <f>'A) Base RI'!Z192</f>
        <v>1</v>
      </c>
      <c r="R192" s="394">
        <f t="shared" si="14"/>
        <v>4225250.0299999993</v>
      </c>
      <c r="S192" s="437">
        <f>+'A) Base RI'!U192</f>
        <v>68</v>
      </c>
      <c r="T192" s="394">
        <f t="shared" si="15"/>
        <v>3921955.0799999996</v>
      </c>
      <c r="U192" s="394">
        <f t="shared" si="16"/>
        <v>62136.029852941167</v>
      </c>
      <c r="V192" s="10">
        <f>+'A) Base RI'!O192</f>
        <v>3583.5</v>
      </c>
      <c r="W192" s="10">
        <f>+'A) Base RI'!P192</f>
        <v>410571.7</v>
      </c>
      <c r="X192" s="10">
        <f>+'A) Base RI'!R192</f>
        <v>201409.35</v>
      </c>
      <c r="Y192" s="394">
        <f t="shared" si="17"/>
        <v>615564.55000000005</v>
      </c>
      <c r="Z192" s="10">
        <f>+'A) Base RI'!N192</f>
        <v>144109.9</v>
      </c>
      <c r="AA192" s="10">
        <f>'A) Base RI'!V192</f>
        <v>1228</v>
      </c>
    </row>
    <row r="193" spans="1:27" x14ac:dyDescent="0.25">
      <c r="A193" s="8">
        <f>'A) Base RI'!A193</f>
        <v>5715</v>
      </c>
      <c r="B193" s="32" t="str">
        <f>'A) Base RI'!B193</f>
        <v>Duillier</v>
      </c>
      <c r="C193" s="10">
        <f>'A) Base RI'!C193+'A) Base RI'!D193</f>
        <v>4303262.63</v>
      </c>
      <c r="D193" s="10">
        <f>'A) Base RI'!W193</f>
        <v>-31477.46</v>
      </c>
      <c r="E193" s="390">
        <f>'A) Base RI'!X193</f>
        <v>0</v>
      </c>
      <c r="F193" s="390">
        <f>'A) Base RI'!Y193</f>
        <v>-2172.73</v>
      </c>
      <c r="G193" s="394">
        <f t="shared" si="12"/>
        <v>4269612.4399999995</v>
      </c>
      <c r="H193" s="10">
        <f>+'A) Base RI'!E193</f>
        <v>0</v>
      </c>
      <c r="I193" s="10">
        <f>+'A) Base RI'!F193</f>
        <v>0</v>
      </c>
      <c r="J193" s="10">
        <f>+'A) Base RI'!G193+'A) Base RI'!H193+'A) Base RI'!S193</f>
        <v>49709.159999999996</v>
      </c>
      <c r="K193" s="10">
        <f>+'A) Base RI'!I193</f>
        <v>0</v>
      </c>
      <c r="L193" s="10">
        <f>+'A) Base RI'!J193</f>
        <v>38423.9</v>
      </c>
      <c r="M193" s="10">
        <f>+'A) Base RI'!K193</f>
        <v>2974.5</v>
      </c>
      <c r="N193" s="10">
        <f>+'A) Base RI'!Q193</f>
        <v>1872.64</v>
      </c>
      <c r="O193" s="10">
        <f t="shared" si="13"/>
        <v>283485.90000000002</v>
      </c>
      <c r="P193" s="10">
        <f>+'A) Base RI'!L193</f>
        <v>283485.90000000002</v>
      </c>
      <c r="Q193" s="402">
        <f>'A) Base RI'!Z193</f>
        <v>1</v>
      </c>
      <c r="R193" s="394">
        <f t="shared" si="14"/>
        <v>4646078.54</v>
      </c>
      <c r="S193" s="437">
        <f>+'A) Base RI'!U193</f>
        <v>66</v>
      </c>
      <c r="T193" s="394">
        <f t="shared" si="15"/>
        <v>4359618.1399999997</v>
      </c>
      <c r="U193" s="394">
        <f t="shared" si="16"/>
        <v>70395.129393939395</v>
      </c>
      <c r="V193" s="10">
        <f>+'A) Base RI'!O193</f>
        <v>0</v>
      </c>
      <c r="W193" s="10">
        <f>+'A) Base RI'!P193</f>
        <v>424957.5</v>
      </c>
      <c r="X193" s="10">
        <f>+'A) Base RI'!R193</f>
        <v>431528.05</v>
      </c>
      <c r="Y193" s="394">
        <f t="shared" si="17"/>
        <v>856485.55</v>
      </c>
      <c r="Z193" s="10">
        <f>+'A) Base RI'!N193</f>
        <v>115813.65</v>
      </c>
      <c r="AA193" s="10">
        <f>'A) Base RI'!V193</f>
        <v>1146</v>
      </c>
    </row>
    <row r="194" spans="1:27" x14ac:dyDescent="0.25">
      <c r="A194" s="8">
        <f>'A) Base RI'!A194</f>
        <v>5716</v>
      </c>
      <c r="B194" s="32" t="str">
        <f>'A) Base RI'!B194</f>
        <v>Eysins</v>
      </c>
      <c r="C194" s="10">
        <f>'A) Base RI'!C194+'A) Base RI'!D194</f>
        <v>4651577.4800000004</v>
      </c>
      <c r="D194" s="10">
        <f>'A) Base RI'!W194</f>
        <v>-743221.16</v>
      </c>
      <c r="E194" s="390">
        <f>'A) Base RI'!X194</f>
        <v>0</v>
      </c>
      <c r="F194" s="390">
        <f>'A) Base RI'!Y194</f>
        <v>-340941.98</v>
      </c>
      <c r="G194" s="394">
        <f t="shared" si="12"/>
        <v>3567414.3400000003</v>
      </c>
      <c r="H194" s="10">
        <f>+'A) Base RI'!E194</f>
        <v>0</v>
      </c>
      <c r="I194" s="10">
        <f>+'A) Base RI'!F194</f>
        <v>0</v>
      </c>
      <c r="J194" s="10">
        <f>+'A) Base RI'!G194+'A) Base RI'!H194+'A) Base RI'!S194</f>
        <v>7426915.8000000007</v>
      </c>
      <c r="K194" s="10">
        <f>+'A) Base RI'!I194</f>
        <v>0</v>
      </c>
      <c r="L194" s="10">
        <f>+'A) Base RI'!J194</f>
        <v>300606.15000000002</v>
      </c>
      <c r="M194" s="10">
        <f>+'A) Base RI'!K194</f>
        <v>115376.75</v>
      </c>
      <c r="N194" s="10">
        <f>+'A) Base RI'!Q194</f>
        <v>5265.49</v>
      </c>
      <c r="O194" s="10">
        <f t="shared" si="13"/>
        <v>713756.25</v>
      </c>
      <c r="P194" s="10">
        <f>+'A) Base RI'!L194</f>
        <v>713756.25</v>
      </c>
      <c r="Q194" s="402">
        <f>'A) Base RI'!Z194</f>
        <v>1</v>
      </c>
      <c r="R194" s="394">
        <f t="shared" si="14"/>
        <v>12129334.780000001</v>
      </c>
      <c r="S194" s="437">
        <f>+'A) Base RI'!U194</f>
        <v>59.5</v>
      </c>
      <c r="T194" s="394">
        <f t="shared" si="15"/>
        <v>11300201.780000001</v>
      </c>
      <c r="U194" s="394">
        <f t="shared" si="16"/>
        <v>203854.36605042018</v>
      </c>
      <c r="V194" s="10">
        <f>+'A) Base RI'!O194</f>
        <v>6939.6</v>
      </c>
      <c r="W194" s="10">
        <f>+'A) Base RI'!P194</f>
        <v>127321.35</v>
      </c>
      <c r="X194" s="10">
        <f>+'A) Base RI'!R194</f>
        <v>64215.8</v>
      </c>
      <c r="Y194" s="394">
        <f t="shared" si="17"/>
        <v>198476.75</v>
      </c>
      <c r="Z194" s="10">
        <f>+'A) Base RI'!N194</f>
        <v>412218.95</v>
      </c>
      <c r="AA194" s="10">
        <f>'A) Base RI'!V194</f>
        <v>1736</v>
      </c>
    </row>
    <row r="195" spans="1:27" x14ac:dyDescent="0.25">
      <c r="A195" s="8">
        <f>'A) Base RI'!A195</f>
        <v>5717</v>
      </c>
      <c r="B195" s="32" t="str">
        <f>'A) Base RI'!B195</f>
        <v>Founex</v>
      </c>
      <c r="C195" s="10">
        <f>'A) Base RI'!C195+'A) Base RI'!D195</f>
        <v>19522773.259999998</v>
      </c>
      <c r="D195" s="10">
        <f>'A) Base RI'!W195</f>
        <v>-56354.57</v>
      </c>
      <c r="E195" s="390">
        <f>'A) Base RI'!X195</f>
        <v>0</v>
      </c>
      <c r="F195" s="390">
        <f>'A) Base RI'!Y195</f>
        <v>-93291.24</v>
      </c>
      <c r="G195" s="394">
        <f t="shared" si="12"/>
        <v>19373127.449999999</v>
      </c>
      <c r="H195" s="10">
        <f>+'A) Base RI'!E195</f>
        <v>0</v>
      </c>
      <c r="I195" s="10">
        <f>+'A) Base RI'!F195</f>
        <v>0</v>
      </c>
      <c r="J195" s="10">
        <f>+'A) Base RI'!G195+'A) Base RI'!H195+'A) Base RI'!S195</f>
        <v>200916.2</v>
      </c>
      <c r="K195" s="10">
        <f>+'A) Base RI'!I195</f>
        <v>1014904.3</v>
      </c>
      <c r="L195" s="10">
        <f>+'A) Base RI'!J195</f>
        <v>262009.59</v>
      </c>
      <c r="M195" s="10">
        <f>+'A) Base RI'!K195</f>
        <v>51020</v>
      </c>
      <c r="N195" s="10">
        <f>+'A) Base RI'!Q195</f>
        <v>3672.1</v>
      </c>
      <c r="O195" s="10">
        <f t="shared" si="13"/>
        <v>1365887.4</v>
      </c>
      <c r="P195" s="10">
        <f>+'A) Base RI'!L195</f>
        <v>1365887.4</v>
      </c>
      <c r="Q195" s="402">
        <f>'A) Base RI'!Z195</f>
        <v>1</v>
      </c>
      <c r="R195" s="394">
        <f t="shared" si="14"/>
        <v>22271537.039999999</v>
      </c>
      <c r="S195" s="437">
        <f>+'A) Base RI'!U195</f>
        <v>57</v>
      </c>
      <c r="T195" s="394">
        <f t="shared" si="15"/>
        <v>20854629.640000001</v>
      </c>
      <c r="U195" s="394">
        <f t="shared" si="16"/>
        <v>390728.72</v>
      </c>
      <c r="V195" s="10">
        <f>+'A) Base RI'!O195</f>
        <v>69451</v>
      </c>
      <c r="W195" s="10">
        <f>+'A) Base RI'!P195</f>
        <v>1000159.2</v>
      </c>
      <c r="X195" s="10">
        <f>+'A) Base RI'!R195</f>
        <v>596113.35</v>
      </c>
      <c r="Y195" s="394">
        <f t="shared" si="17"/>
        <v>1665723.5499999998</v>
      </c>
      <c r="Z195" s="10">
        <f>+'A) Base RI'!N195</f>
        <v>202572.75</v>
      </c>
      <c r="AA195" s="10">
        <f>'A) Base RI'!V195</f>
        <v>3822</v>
      </c>
    </row>
    <row r="196" spans="1:27" x14ac:dyDescent="0.25">
      <c r="A196" s="8">
        <f>'A) Base RI'!A196</f>
        <v>5718</v>
      </c>
      <c r="B196" s="32" t="str">
        <f>'A) Base RI'!B196</f>
        <v>Genolier</v>
      </c>
      <c r="C196" s="10">
        <f>'A) Base RI'!C196+'A) Base RI'!D196</f>
        <v>9311556.4100000001</v>
      </c>
      <c r="D196" s="10">
        <f>'A) Base RI'!W196</f>
        <v>-33872.870000000003</v>
      </c>
      <c r="E196" s="390">
        <f>'A) Base RI'!X196</f>
        <v>0</v>
      </c>
      <c r="F196" s="390">
        <f>'A) Base RI'!Y196</f>
        <v>-8228.6299999999992</v>
      </c>
      <c r="G196" s="394">
        <f t="shared" si="12"/>
        <v>9269454.9100000001</v>
      </c>
      <c r="H196" s="10">
        <f>+'A) Base RI'!E196</f>
        <v>0</v>
      </c>
      <c r="I196" s="10">
        <f>+'A) Base RI'!F196</f>
        <v>0</v>
      </c>
      <c r="J196" s="10">
        <f>+'A) Base RI'!G196+'A) Base RI'!H196+'A) Base RI'!S196</f>
        <v>291269.56</v>
      </c>
      <c r="K196" s="10">
        <f>+'A) Base RI'!I196</f>
        <v>204264.25</v>
      </c>
      <c r="L196" s="10">
        <f>+'A) Base RI'!J196</f>
        <v>52761.65</v>
      </c>
      <c r="M196" s="10">
        <f>+'A) Base RI'!K196</f>
        <v>43944.1</v>
      </c>
      <c r="N196" s="10">
        <f>+'A) Base RI'!Q196</f>
        <v>5302.28</v>
      </c>
      <c r="O196" s="10">
        <f t="shared" si="13"/>
        <v>708104.75</v>
      </c>
      <c r="P196" s="10">
        <f>+'A) Base RI'!L196</f>
        <v>708104.75</v>
      </c>
      <c r="Q196" s="402">
        <f>'A) Base RI'!Z196</f>
        <v>1</v>
      </c>
      <c r="R196" s="394">
        <f t="shared" si="14"/>
        <v>10575101.5</v>
      </c>
      <c r="S196" s="437">
        <f>+'A) Base RI'!U196</f>
        <v>55</v>
      </c>
      <c r="T196" s="394">
        <f t="shared" si="15"/>
        <v>9823052.6500000004</v>
      </c>
      <c r="U196" s="394">
        <f t="shared" si="16"/>
        <v>192274.57272727272</v>
      </c>
      <c r="V196" s="10">
        <f>+'A) Base RI'!O196</f>
        <v>106136.4</v>
      </c>
      <c r="W196" s="10">
        <f>+'A) Base RI'!P196</f>
        <v>585089.19999999995</v>
      </c>
      <c r="X196" s="10">
        <f>+'A) Base RI'!R196</f>
        <v>543922.30000000005</v>
      </c>
      <c r="Y196" s="394">
        <f t="shared" si="17"/>
        <v>1235147.8999999999</v>
      </c>
      <c r="Z196" s="10">
        <f>+'A) Base RI'!N196</f>
        <v>221075.95</v>
      </c>
      <c r="AA196" s="10">
        <f>'A) Base RI'!V196</f>
        <v>2022</v>
      </c>
    </row>
    <row r="197" spans="1:27" x14ac:dyDescent="0.25">
      <c r="A197" s="8">
        <f>'A) Base RI'!A197</f>
        <v>5719</v>
      </c>
      <c r="B197" s="32" t="str">
        <f>'A) Base RI'!B197</f>
        <v>Gingins</v>
      </c>
      <c r="C197" s="10">
        <f>'A) Base RI'!C197+'A) Base RI'!D197</f>
        <v>8384099.8599999994</v>
      </c>
      <c r="D197" s="10">
        <f>'A) Base RI'!W197</f>
        <v>-7257.49</v>
      </c>
      <c r="E197" s="390">
        <f>'A) Base RI'!X197</f>
        <v>0</v>
      </c>
      <c r="F197" s="390">
        <f>'A) Base RI'!Y197</f>
        <v>-7328.09</v>
      </c>
      <c r="G197" s="394">
        <f t="shared" si="12"/>
        <v>8369514.2799999993</v>
      </c>
      <c r="H197" s="10">
        <f>+'A) Base RI'!E197</f>
        <v>0</v>
      </c>
      <c r="I197" s="10">
        <f>+'A) Base RI'!F197</f>
        <v>0</v>
      </c>
      <c r="J197" s="10">
        <f>+'A) Base RI'!G197+'A) Base RI'!H197+'A) Base RI'!S197</f>
        <v>74089.38</v>
      </c>
      <c r="K197" s="10">
        <f>+'A) Base RI'!I197</f>
        <v>131790.54999999999</v>
      </c>
      <c r="L197" s="10">
        <f>+'A) Base RI'!J197</f>
        <v>65374.67</v>
      </c>
      <c r="M197" s="10">
        <f>+'A) Base RI'!K197</f>
        <v>11673.3</v>
      </c>
      <c r="N197" s="10">
        <f>+'A) Base RI'!Q197</f>
        <v>0</v>
      </c>
      <c r="O197" s="10">
        <f t="shared" si="13"/>
        <v>425359.50000000006</v>
      </c>
      <c r="P197" s="10">
        <f>+'A) Base RI'!L197</f>
        <v>255215.7</v>
      </c>
      <c r="Q197" s="402">
        <f>'A) Base RI'!Z197</f>
        <v>0.6</v>
      </c>
      <c r="R197" s="394">
        <f t="shared" si="14"/>
        <v>9077801.6800000016</v>
      </c>
      <c r="S197" s="437">
        <f>+'A) Base RI'!U197</f>
        <v>60</v>
      </c>
      <c r="T197" s="394">
        <f t="shared" si="15"/>
        <v>8640768.8800000008</v>
      </c>
      <c r="U197" s="394">
        <f t="shared" si="16"/>
        <v>151296.69466666671</v>
      </c>
      <c r="V197" s="10">
        <f>+'A) Base RI'!O197</f>
        <v>9290.4</v>
      </c>
      <c r="W197" s="10">
        <f>+'A) Base RI'!P197</f>
        <v>451399.6</v>
      </c>
      <c r="X197" s="10">
        <f>+'A) Base RI'!R197</f>
        <v>312599.34999999998</v>
      </c>
      <c r="Y197" s="394">
        <f t="shared" si="17"/>
        <v>773289.35</v>
      </c>
      <c r="Z197" s="10">
        <f>+'A) Base RI'!N197</f>
        <v>49842.05</v>
      </c>
      <c r="AA197" s="10">
        <f>'A) Base RI'!V197</f>
        <v>1265</v>
      </c>
    </row>
    <row r="198" spans="1:27" x14ac:dyDescent="0.25">
      <c r="A198" s="8">
        <f>'A) Base RI'!A198</f>
        <v>5720</v>
      </c>
      <c r="B198" s="32" t="str">
        <f>'A) Base RI'!B198</f>
        <v>Givrins</v>
      </c>
      <c r="C198" s="10">
        <f>'A) Base RI'!C198+'A) Base RI'!D198</f>
        <v>4240671.4000000004</v>
      </c>
      <c r="D198" s="10">
        <f>'A) Base RI'!W198</f>
        <v>-26363.84</v>
      </c>
      <c r="E198" s="390">
        <f>'A) Base RI'!X198</f>
        <v>0</v>
      </c>
      <c r="F198" s="390">
        <f>'A) Base RI'!Y198</f>
        <v>-4920.6899999999996</v>
      </c>
      <c r="G198" s="394">
        <f t="shared" si="12"/>
        <v>4209386.87</v>
      </c>
      <c r="H198" s="10">
        <f>+'A) Base RI'!E198</f>
        <v>0</v>
      </c>
      <c r="I198" s="10">
        <f>+'A) Base RI'!F198</f>
        <v>0</v>
      </c>
      <c r="J198" s="10">
        <f>+'A) Base RI'!G198+'A) Base RI'!H198+'A) Base RI'!S198</f>
        <v>5328.74</v>
      </c>
      <c r="K198" s="10">
        <f>+'A) Base RI'!I198</f>
        <v>430543.2</v>
      </c>
      <c r="L198" s="10">
        <f>+'A) Base RI'!J198</f>
        <v>27421.4</v>
      </c>
      <c r="M198" s="10">
        <f>+'A) Base RI'!K198</f>
        <v>0</v>
      </c>
      <c r="N198" s="10">
        <f>+'A) Base RI'!Q198</f>
        <v>16691.669999999998</v>
      </c>
      <c r="O198" s="10">
        <f t="shared" si="13"/>
        <v>321546.72222222219</v>
      </c>
      <c r="P198" s="10">
        <f>+'A) Base RI'!L198</f>
        <v>289392.05</v>
      </c>
      <c r="Q198" s="402">
        <f>'A) Base RI'!Z198</f>
        <v>0.9</v>
      </c>
      <c r="R198" s="394">
        <f t="shared" si="14"/>
        <v>5010918.6022222228</v>
      </c>
      <c r="S198" s="437">
        <f>+'A) Base RI'!U198</f>
        <v>67</v>
      </c>
      <c r="T198" s="394">
        <f t="shared" si="15"/>
        <v>4689371.8800000008</v>
      </c>
      <c r="U198" s="394">
        <f t="shared" si="16"/>
        <v>74789.829883913771</v>
      </c>
      <c r="V198" s="10">
        <f>+'A) Base RI'!O198</f>
        <v>0</v>
      </c>
      <c r="W198" s="10">
        <f>+'A) Base RI'!P198</f>
        <v>303627.40000000002</v>
      </c>
      <c r="X198" s="10">
        <f>+'A) Base RI'!R198</f>
        <v>229048.7</v>
      </c>
      <c r="Y198" s="394">
        <f t="shared" si="17"/>
        <v>532676.10000000009</v>
      </c>
      <c r="Z198" s="10">
        <f>+'A) Base RI'!N198</f>
        <v>16468.349999999999</v>
      </c>
      <c r="AA198" s="10">
        <f>'A) Base RI'!V198</f>
        <v>1010</v>
      </c>
    </row>
    <row r="199" spans="1:27" x14ac:dyDescent="0.25">
      <c r="A199" s="8">
        <f>'A) Base RI'!A199</f>
        <v>5721</v>
      </c>
      <c r="B199" s="32" t="str">
        <f>'A) Base RI'!B199</f>
        <v>Gland</v>
      </c>
      <c r="C199" s="10">
        <f>'A) Base RI'!C199+'A) Base RI'!D199</f>
        <v>31817702.960000001</v>
      </c>
      <c r="D199" s="10">
        <f>'A) Base RI'!W199</f>
        <v>-387058.15</v>
      </c>
      <c r="E199" s="390">
        <f>'A) Base RI'!X199</f>
        <v>0</v>
      </c>
      <c r="F199" s="390">
        <f>'A) Base RI'!Y199</f>
        <v>-30345.08</v>
      </c>
      <c r="G199" s="394">
        <f t="shared" ref="G199:G262" si="18">SUM(C199:F199)</f>
        <v>31400299.730000004</v>
      </c>
      <c r="H199" s="10">
        <f>+'A) Base RI'!E199</f>
        <v>0</v>
      </c>
      <c r="I199" s="10">
        <f>+'A) Base RI'!F199</f>
        <v>0</v>
      </c>
      <c r="J199" s="10">
        <f>+'A) Base RI'!G199+'A) Base RI'!H199+'A) Base RI'!S199</f>
        <v>7560305.25</v>
      </c>
      <c r="K199" s="10">
        <f>+'A) Base RI'!I199</f>
        <v>724657.05</v>
      </c>
      <c r="L199" s="10">
        <f>+'A) Base RI'!J199</f>
        <v>823754.6</v>
      </c>
      <c r="M199" s="10">
        <f>+'A) Base RI'!K199</f>
        <v>561432.44999999995</v>
      </c>
      <c r="N199" s="10">
        <f>+'A) Base RI'!Q199</f>
        <v>63811.65</v>
      </c>
      <c r="O199" s="10">
        <f t="shared" ref="O199:O262" si="19">(P199/Q199)*1</f>
        <v>2970191.8</v>
      </c>
      <c r="P199" s="10">
        <f>+'A) Base RI'!L199</f>
        <v>2970191.8</v>
      </c>
      <c r="Q199" s="402">
        <f>'A) Base RI'!Z199</f>
        <v>1</v>
      </c>
      <c r="R199" s="394">
        <f t="shared" ref="R199:R262" si="20">SUM(G199:O199)</f>
        <v>44104452.530000001</v>
      </c>
      <c r="S199" s="437">
        <f>+'A) Base RI'!U199</f>
        <v>61</v>
      </c>
      <c r="T199" s="394">
        <f t="shared" ref="T199:T262" si="21">(G199+H199+J199+K199+L199+N199)</f>
        <v>40572828.280000001</v>
      </c>
      <c r="U199" s="394">
        <f t="shared" ref="U199:U262" si="22">R199/S199</f>
        <v>723023.81196721317</v>
      </c>
      <c r="V199" s="10">
        <f>+'A) Base RI'!O199</f>
        <v>234150.9</v>
      </c>
      <c r="W199" s="10">
        <f>+'A) Base RI'!P199</f>
        <v>1971826</v>
      </c>
      <c r="X199" s="10">
        <f>+'A) Base RI'!R199</f>
        <v>1483161.4</v>
      </c>
      <c r="Y199" s="394">
        <f t="shared" ref="Y199:Y262" si="23">SUM(V199:X199)</f>
        <v>3689138.3</v>
      </c>
      <c r="Z199" s="10">
        <f>+'A) Base RI'!N199</f>
        <v>2270512.4</v>
      </c>
      <c r="AA199" s="10">
        <f>'A) Base RI'!V199</f>
        <v>13306</v>
      </c>
    </row>
    <row r="200" spans="1:27" x14ac:dyDescent="0.25">
      <c r="A200" s="8">
        <f>'A) Base RI'!A200</f>
        <v>5722</v>
      </c>
      <c r="B200" s="32" t="str">
        <f>'A) Base RI'!B200</f>
        <v>Grens</v>
      </c>
      <c r="C200" s="10">
        <f>'A) Base RI'!C200+'A) Base RI'!D200</f>
        <v>1275552.57</v>
      </c>
      <c r="D200" s="10">
        <f>'A) Base RI'!W200</f>
        <v>-6795.66</v>
      </c>
      <c r="E200" s="390">
        <f>'A) Base RI'!X200</f>
        <v>0</v>
      </c>
      <c r="F200" s="390">
        <f>'A) Base RI'!Y200</f>
        <v>-1516.22</v>
      </c>
      <c r="G200" s="394">
        <f t="shared" si="18"/>
        <v>1267240.6900000002</v>
      </c>
      <c r="H200" s="10">
        <f>+'A) Base RI'!E200</f>
        <v>0</v>
      </c>
      <c r="I200" s="10">
        <f>+'A) Base RI'!F200</f>
        <v>0</v>
      </c>
      <c r="J200" s="10">
        <f>+'A) Base RI'!G200+'A) Base RI'!H200+'A) Base RI'!S200</f>
        <v>10571.26</v>
      </c>
      <c r="K200" s="10">
        <f>+'A) Base RI'!I200</f>
        <v>0</v>
      </c>
      <c r="L200" s="10">
        <f>+'A) Base RI'!J200</f>
        <v>9244.85</v>
      </c>
      <c r="M200" s="10">
        <f>+'A) Base RI'!K200</f>
        <v>6180.6</v>
      </c>
      <c r="N200" s="10">
        <f>+'A) Base RI'!Q200</f>
        <v>1639.74</v>
      </c>
      <c r="O200" s="10">
        <f t="shared" si="19"/>
        <v>88762.05</v>
      </c>
      <c r="P200" s="10">
        <f>+'A) Base RI'!L200</f>
        <v>88762.05</v>
      </c>
      <c r="Q200" s="402">
        <f>'A) Base RI'!Z200</f>
        <v>1</v>
      </c>
      <c r="R200" s="394">
        <f t="shared" si="20"/>
        <v>1383639.1900000004</v>
      </c>
      <c r="S200" s="437">
        <f>+'A) Base RI'!U200</f>
        <v>62</v>
      </c>
      <c r="T200" s="394">
        <f t="shared" si="21"/>
        <v>1288696.5400000003</v>
      </c>
      <c r="U200" s="394">
        <f t="shared" si="22"/>
        <v>22316.761129032264</v>
      </c>
      <c r="V200" s="10">
        <f>+'A) Base RI'!O200</f>
        <v>0</v>
      </c>
      <c r="W200" s="10">
        <f>+'A) Base RI'!P200</f>
        <v>4746.8999999999996</v>
      </c>
      <c r="X200" s="10">
        <f>+'A) Base RI'!R200</f>
        <v>12177.1</v>
      </c>
      <c r="Y200" s="394">
        <f t="shared" si="23"/>
        <v>16924</v>
      </c>
      <c r="Z200" s="10">
        <f>+'A) Base RI'!N200</f>
        <v>13044.45</v>
      </c>
      <c r="AA200" s="10">
        <f>'A) Base RI'!V200</f>
        <v>401</v>
      </c>
    </row>
    <row r="201" spans="1:27" x14ac:dyDescent="0.25">
      <c r="A201" s="8">
        <f>'A) Base RI'!A201</f>
        <v>5723</v>
      </c>
      <c r="B201" s="32" t="str">
        <f>'A) Base RI'!B201</f>
        <v>Mies</v>
      </c>
      <c r="C201" s="10">
        <f>'A) Base RI'!C201+'A) Base RI'!D201</f>
        <v>11044054.84</v>
      </c>
      <c r="D201" s="10">
        <f>'A) Base RI'!W201</f>
        <v>-28842.3</v>
      </c>
      <c r="E201" s="390">
        <f>'A) Base RI'!X201</f>
        <v>0</v>
      </c>
      <c r="F201" s="390">
        <f>'A) Base RI'!Y201</f>
        <v>-30381.17</v>
      </c>
      <c r="G201" s="394">
        <f t="shared" si="18"/>
        <v>10984831.369999999</v>
      </c>
      <c r="H201" s="10">
        <f>+'A) Base RI'!E201</f>
        <v>0</v>
      </c>
      <c r="I201" s="10">
        <f>+'A) Base RI'!F201</f>
        <v>0</v>
      </c>
      <c r="J201" s="10">
        <f>+'A) Base RI'!G201+'A) Base RI'!H201+'A) Base RI'!S201</f>
        <v>193137.68</v>
      </c>
      <c r="K201" s="10">
        <f>+'A) Base RI'!I201</f>
        <v>611612.88</v>
      </c>
      <c r="L201" s="10">
        <f>+'A) Base RI'!J201</f>
        <v>69587.520000000004</v>
      </c>
      <c r="M201" s="10">
        <f>+'A) Base RI'!K201</f>
        <v>45951.85</v>
      </c>
      <c r="N201" s="10">
        <f>+'A) Base RI'!Q201</f>
        <v>2133.86</v>
      </c>
      <c r="O201" s="10">
        <f t="shared" si="19"/>
        <v>883436.8</v>
      </c>
      <c r="P201" s="10">
        <f>+'A) Base RI'!L201</f>
        <v>883436.8</v>
      </c>
      <c r="Q201" s="402">
        <f>'A) Base RI'!Z201</f>
        <v>1</v>
      </c>
      <c r="R201" s="394">
        <f t="shared" si="20"/>
        <v>12790691.959999999</v>
      </c>
      <c r="S201" s="437">
        <f>+'A) Base RI'!U201</f>
        <v>52</v>
      </c>
      <c r="T201" s="394">
        <f t="shared" si="21"/>
        <v>11861303.309999999</v>
      </c>
      <c r="U201" s="394">
        <f t="shared" si="22"/>
        <v>245974.84538461536</v>
      </c>
      <c r="V201" s="10">
        <f>+'A) Base RI'!O201</f>
        <v>136241.60000000001</v>
      </c>
      <c r="W201" s="10">
        <f>+'A) Base RI'!P201</f>
        <v>1358053.1</v>
      </c>
      <c r="X201" s="10">
        <f>+'A) Base RI'!R201</f>
        <v>1694542.35</v>
      </c>
      <c r="Y201" s="394">
        <f t="shared" si="23"/>
        <v>3188837.0500000003</v>
      </c>
      <c r="Z201" s="10">
        <f>+'A) Base RI'!N201</f>
        <v>267148.3</v>
      </c>
      <c r="AA201" s="10">
        <f>'A) Base RI'!V201</f>
        <v>2195</v>
      </c>
    </row>
    <row r="202" spans="1:27" x14ac:dyDescent="0.25">
      <c r="A202" s="8">
        <f>'A) Base RI'!A202</f>
        <v>5724</v>
      </c>
      <c r="B202" s="32" t="str">
        <f>'A) Base RI'!B202</f>
        <v>Nyon</v>
      </c>
      <c r="C202" s="10">
        <f>'A) Base RI'!C202+'A) Base RI'!D202</f>
        <v>69940649.179999992</v>
      </c>
      <c r="D202" s="10">
        <f>'A) Base RI'!W202</f>
        <v>-785292.09</v>
      </c>
      <c r="E202" s="390">
        <f>'A) Base RI'!X202</f>
        <v>0</v>
      </c>
      <c r="F202" s="390">
        <f>'A) Base RI'!Y202</f>
        <v>-638722.21</v>
      </c>
      <c r="G202" s="394">
        <f t="shared" si="18"/>
        <v>68516634.879999995</v>
      </c>
      <c r="H202" s="10">
        <f>+'A) Base RI'!E202</f>
        <v>0</v>
      </c>
      <c r="I202" s="10">
        <f>+'A) Base RI'!F202</f>
        <v>0</v>
      </c>
      <c r="J202" s="10">
        <f>+'A) Base RI'!G202+'A) Base RI'!H202+'A) Base RI'!S202</f>
        <v>9397879.6499999985</v>
      </c>
      <c r="K202" s="10">
        <f>+'A) Base RI'!I202</f>
        <v>1696649.13</v>
      </c>
      <c r="L202" s="10">
        <f>+'A) Base RI'!J202</f>
        <v>2858634.74</v>
      </c>
      <c r="M202" s="10">
        <f>+'A) Base RI'!K202</f>
        <v>871263.4</v>
      </c>
      <c r="N202" s="10">
        <f>+'A) Base RI'!Q202</f>
        <v>209728.74</v>
      </c>
      <c r="O202" s="10">
        <f t="shared" si="19"/>
        <v>5623464.5666666664</v>
      </c>
      <c r="P202" s="10">
        <f>+'A) Base RI'!L202</f>
        <v>8435196.8499999996</v>
      </c>
      <c r="Q202" s="402">
        <f>'A) Base RI'!Z202</f>
        <v>1.5</v>
      </c>
      <c r="R202" s="394">
        <f t="shared" si="20"/>
        <v>89174255.106666654</v>
      </c>
      <c r="S202" s="437">
        <f>+'A) Base RI'!U202</f>
        <v>61</v>
      </c>
      <c r="T202" s="394">
        <f t="shared" si="21"/>
        <v>82679527.139999986</v>
      </c>
      <c r="U202" s="394">
        <f t="shared" si="22"/>
        <v>1461873.0345355188</v>
      </c>
      <c r="V202" s="10">
        <f>+'A) Base RI'!O202</f>
        <v>3136048.1</v>
      </c>
      <c r="W202" s="10">
        <f>+'A) Base RI'!P202</f>
        <v>4698565.8</v>
      </c>
      <c r="X202" s="10">
        <f>+'A) Base RI'!R202</f>
        <v>2607909.7000000002</v>
      </c>
      <c r="Y202" s="394">
        <f t="shared" si="23"/>
        <v>10442523.600000001</v>
      </c>
      <c r="Z202" s="10">
        <f>+'A) Base RI'!N202</f>
        <v>5207617.95</v>
      </c>
      <c r="AA202" s="10">
        <f>'A) Base RI'!V202</f>
        <v>22124</v>
      </c>
    </row>
    <row r="203" spans="1:27" x14ac:dyDescent="0.25">
      <c r="A203" s="8">
        <f>'A) Base RI'!A203</f>
        <v>5725</v>
      </c>
      <c r="B203" s="32" t="str">
        <f>'A) Base RI'!B203</f>
        <v>Prangins</v>
      </c>
      <c r="C203" s="10">
        <f>'A) Base RI'!C203+'A) Base RI'!D203</f>
        <v>15971409.260000002</v>
      </c>
      <c r="D203" s="10">
        <f>'A) Base RI'!W203</f>
        <v>-85048.31</v>
      </c>
      <c r="E203" s="390">
        <f>'A) Base RI'!X203</f>
        <v>0</v>
      </c>
      <c r="F203" s="390">
        <f>'A) Base RI'!Y203</f>
        <v>-31517.41</v>
      </c>
      <c r="G203" s="394">
        <f t="shared" si="18"/>
        <v>15854843.540000001</v>
      </c>
      <c r="H203" s="10">
        <f>+'A) Base RI'!E203</f>
        <v>0</v>
      </c>
      <c r="I203" s="10">
        <f>+'A) Base RI'!F203</f>
        <v>0</v>
      </c>
      <c r="J203" s="10">
        <f>+'A) Base RI'!G203+'A) Base RI'!H203+'A) Base RI'!S203</f>
        <v>2088460.38</v>
      </c>
      <c r="K203" s="10">
        <f>+'A) Base RI'!I203</f>
        <v>273222.59999999998</v>
      </c>
      <c r="L203" s="10">
        <f>+'A) Base RI'!J203</f>
        <v>35398.269999999997</v>
      </c>
      <c r="M203" s="10">
        <f>+'A) Base RI'!K203</f>
        <v>72188.800000000003</v>
      </c>
      <c r="N203" s="10">
        <f>+'A) Base RI'!Q203</f>
        <v>9165.94</v>
      </c>
      <c r="O203" s="10">
        <f t="shared" si="19"/>
        <v>1196262.8214285714</v>
      </c>
      <c r="P203" s="10">
        <f>+'A) Base RI'!L203</f>
        <v>1674767.95</v>
      </c>
      <c r="Q203" s="402">
        <f>'A) Base RI'!Z203</f>
        <v>1.4</v>
      </c>
      <c r="R203" s="394">
        <f t="shared" si="20"/>
        <v>19529542.351428576</v>
      </c>
      <c r="S203" s="437">
        <f>+'A) Base RI'!U203</f>
        <v>55</v>
      </c>
      <c r="T203" s="394">
        <f t="shared" si="21"/>
        <v>18261090.730000004</v>
      </c>
      <c r="U203" s="394">
        <f t="shared" si="22"/>
        <v>355082.58820779232</v>
      </c>
      <c r="V203" s="10">
        <f>+'A) Base RI'!O203</f>
        <v>119069.2</v>
      </c>
      <c r="W203" s="10">
        <f>+'A) Base RI'!P203</f>
        <v>745850.1</v>
      </c>
      <c r="X203" s="10">
        <f>+'A) Base RI'!R203</f>
        <v>445664.65</v>
      </c>
      <c r="Y203" s="394">
        <f t="shared" si="23"/>
        <v>1310583.95</v>
      </c>
      <c r="Z203" s="10">
        <f>+'A) Base RI'!N203</f>
        <v>1315566.8999999999</v>
      </c>
      <c r="AA203" s="10">
        <f>'A) Base RI'!V203</f>
        <v>4060</v>
      </c>
    </row>
    <row r="204" spans="1:27" x14ac:dyDescent="0.25">
      <c r="A204" s="8">
        <f>'A) Base RI'!A204</f>
        <v>5726</v>
      </c>
      <c r="B204" s="32" t="str">
        <f>'A) Base RI'!B204</f>
        <v>La Rippe</v>
      </c>
      <c r="C204" s="10">
        <f>'A) Base RI'!C204+'A) Base RI'!D204</f>
        <v>4245197.7</v>
      </c>
      <c r="D204" s="10">
        <f>'A) Base RI'!W204</f>
        <v>-9014.5300000000007</v>
      </c>
      <c r="E204" s="390">
        <f>'A) Base RI'!X204</f>
        <v>0</v>
      </c>
      <c r="F204" s="390">
        <f>'A) Base RI'!Y204</f>
        <v>-11000</v>
      </c>
      <c r="G204" s="394">
        <f t="shared" si="18"/>
        <v>4225183.17</v>
      </c>
      <c r="H204" s="10">
        <f>+'A) Base RI'!E204</f>
        <v>0</v>
      </c>
      <c r="I204" s="10">
        <f>+'A) Base RI'!F204</f>
        <v>0</v>
      </c>
      <c r="J204" s="10">
        <f>+'A) Base RI'!G204+'A) Base RI'!H204+'A) Base RI'!S204</f>
        <v>47254.36</v>
      </c>
      <c r="K204" s="10">
        <f>+'A) Base RI'!I204</f>
        <v>0</v>
      </c>
      <c r="L204" s="10">
        <f>+'A) Base RI'!J204</f>
        <v>-49286.12</v>
      </c>
      <c r="M204" s="10">
        <f>+'A) Base RI'!K204</f>
        <v>6470.65</v>
      </c>
      <c r="N204" s="10">
        <f>+'A) Base RI'!Q204</f>
        <v>0</v>
      </c>
      <c r="O204" s="10">
        <f t="shared" si="19"/>
        <v>273832</v>
      </c>
      <c r="P204" s="10">
        <f>+'A) Base RI'!L204</f>
        <v>273832</v>
      </c>
      <c r="Q204" s="402">
        <f>'A) Base RI'!Z204</f>
        <v>1</v>
      </c>
      <c r="R204" s="394">
        <f t="shared" si="20"/>
        <v>4503454.0600000005</v>
      </c>
      <c r="S204" s="437">
        <f>+'A) Base RI'!U204</f>
        <v>64</v>
      </c>
      <c r="T204" s="394">
        <f t="shared" si="21"/>
        <v>4223151.41</v>
      </c>
      <c r="U204" s="394">
        <f t="shared" si="22"/>
        <v>70366.469687500008</v>
      </c>
      <c r="V204" s="10">
        <f>+'A) Base RI'!O204</f>
        <v>0</v>
      </c>
      <c r="W204" s="10">
        <f>+'A) Base RI'!P204</f>
        <v>244670.95</v>
      </c>
      <c r="X204" s="10">
        <f>+'A) Base RI'!R204</f>
        <v>223588</v>
      </c>
      <c r="Y204" s="394">
        <f t="shared" si="23"/>
        <v>468258.95</v>
      </c>
      <c r="Z204" s="10">
        <f>+'A) Base RI'!N204</f>
        <v>42138.55</v>
      </c>
      <c r="AA204" s="10">
        <f>'A) Base RI'!V204</f>
        <v>1165</v>
      </c>
    </row>
    <row r="205" spans="1:27" x14ac:dyDescent="0.25">
      <c r="A205" s="8">
        <f>'A) Base RI'!A205</f>
        <v>5727</v>
      </c>
      <c r="B205" s="32" t="str">
        <f>'A) Base RI'!B205</f>
        <v>Saint-Cergue</v>
      </c>
      <c r="C205" s="10">
        <f>'A) Base RI'!C205+'A) Base RI'!D205</f>
        <v>6216764.8700000001</v>
      </c>
      <c r="D205" s="10">
        <f>'A) Base RI'!W205</f>
        <v>-131519.56</v>
      </c>
      <c r="E205" s="390">
        <f>'A) Base RI'!X205</f>
        <v>0</v>
      </c>
      <c r="F205" s="390">
        <f>'A) Base RI'!Y205</f>
        <v>-5622.79</v>
      </c>
      <c r="G205" s="394">
        <f t="shared" si="18"/>
        <v>6079622.5200000005</v>
      </c>
      <c r="H205" s="10">
        <f>+'A) Base RI'!E205</f>
        <v>0</v>
      </c>
      <c r="I205" s="10">
        <f>+'A) Base RI'!F205</f>
        <v>0</v>
      </c>
      <c r="J205" s="10">
        <f>+'A) Base RI'!G205+'A) Base RI'!H205+'A) Base RI'!S205</f>
        <v>41775.160000000003</v>
      </c>
      <c r="K205" s="10">
        <f>+'A) Base RI'!I205</f>
        <v>125706.95</v>
      </c>
      <c r="L205" s="10">
        <f>+'A) Base RI'!J205</f>
        <v>172741.08</v>
      </c>
      <c r="M205" s="10">
        <f>+'A) Base RI'!K205</f>
        <v>12866.65</v>
      </c>
      <c r="N205" s="10">
        <f>+'A) Base RI'!Q205</f>
        <v>40135.339999999997</v>
      </c>
      <c r="O205" s="10">
        <f t="shared" si="19"/>
        <v>534590.3666666667</v>
      </c>
      <c r="P205" s="10">
        <f>+'A) Base RI'!L205</f>
        <v>801885.55</v>
      </c>
      <c r="Q205" s="402">
        <f>'A) Base RI'!Z205</f>
        <v>1.5</v>
      </c>
      <c r="R205" s="394">
        <f t="shared" si="20"/>
        <v>7007438.0666666683</v>
      </c>
      <c r="S205" s="437">
        <f>+'A) Base RI'!U205</f>
        <v>66</v>
      </c>
      <c r="T205" s="394">
        <f t="shared" si="21"/>
        <v>6459981.0500000007</v>
      </c>
      <c r="U205" s="394">
        <f t="shared" si="22"/>
        <v>106173.30404040407</v>
      </c>
      <c r="V205" s="10">
        <f>+'A) Base RI'!O205</f>
        <v>198753.2</v>
      </c>
      <c r="W205" s="10">
        <f>+'A) Base RI'!P205</f>
        <v>722230.4</v>
      </c>
      <c r="X205" s="10">
        <f>+'A) Base RI'!R205</f>
        <v>442501.1</v>
      </c>
      <c r="Y205" s="394">
        <f t="shared" si="23"/>
        <v>1363484.7000000002</v>
      </c>
      <c r="Z205" s="10">
        <f>+'A) Base RI'!N205</f>
        <v>182727.2</v>
      </c>
      <c r="AA205" s="10">
        <f>'A) Base RI'!V205</f>
        <v>2755</v>
      </c>
    </row>
    <row r="206" spans="1:27" x14ac:dyDescent="0.25">
      <c r="A206" s="8">
        <f>'A) Base RI'!A206</f>
        <v>5728</v>
      </c>
      <c r="B206" s="32" t="str">
        <f>'A) Base RI'!B206</f>
        <v>Signy-Avenex</v>
      </c>
      <c r="C206" s="10">
        <f>'A) Base RI'!C206+'A) Base RI'!D206</f>
        <v>1987716.1400000001</v>
      </c>
      <c r="D206" s="10">
        <f>'A) Base RI'!W206</f>
        <v>-20737.400000000001</v>
      </c>
      <c r="E206" s="390">
        <f>'A) Base RI'!X206</f>
        <v>0</v>
      </c>
      <c r="F206" s="390">
        <f>'A) Base RI'!Y206</f>
        <v>-442.63</v>
      </c>
      <c r="G206" s="394">
        <f t="shared" si="18"/>
        <v>1966536.1100000003</v>
      </c>
      <c r="H206" s="10">
        <f>+'A) Base RI'!E206</f>
        <v>0</v>
      </c>
      <c r="I206" s="10">
        <f>+'A) Base RI'!F206</f>
        <v>0</v>
      </c>
      <c r="J206" s="10">
        <f>+'A) Base RI'!G206+'A) Base RI'!H206+'A) Base RI'!S206</f>
        <v>917620.89</v>
      </c>
      <c r="K206" s="10">
        <f>+'A) Base RI'!I206</f>
        <v>35307.15</v>
      </c>
      <c r="L206" s="10">
        <f>+'A) Base RI'!J206</f>
        <v>59682.92</v>
      </c>
      <c r="M206" s="10">
        <f>+'A) Base RI'!K206</f>
        <v>56802.45</v>
      </c>
      <c r="N206" s="10">
        <f>+'A) Base RI'!Q206</f>
        <v>0</v>
      </c>
      <c r="O206" s="10">
        <f t="shared" si="19"/>
        <v>239718</v>
      </c>
      <c r="P206" s="10">
        <f>+'A) Base RI'!L206</f>
        <v>239718</v>
      </c>
      <c r="Q206" s="402">
        <f>'A) Base RI'!Z206</f>
        <v>1</v>
      </c>
      <c r="R206" s="394">
        <f t="shared" si="20"/>
        <v>3275667.5200000005</v>
      </c>
      <c r="S206" s="437">
        <f>+'A) Base RI'!U206</f>
        <v>58</v>
      </c>
      <c r="T206" s="394">
        <f t="shared" si="21"/>
        <v>2979147.0700000003</v>
      </c>
      <c r="U206" s="394">
        <f t="shared" si="22"/>
        <v>56477.02620689656</v>
      </c>
      <c r="V206" s="10">
        <f>+'A) Base RI'!O206</f>
        <v>0</v>
      </c>
      <c r="W206" s="10">
        <f>+'A) Base RI'!P206</f>
        <v>155631.04999999999</v>
      </c>
      <c r="X206" s="10">
        <f>+'A) Base RI'!R206</f>
        <v>94214.6</v>
      </c>
      <c r="Y206" s="394">
        <f t="shared" si="23"/>
        <v>249845.65</v>
      </c>
      <c r="Z206" s="10">
        <f>+'A) Base RI'!N206</f>
        <v>172706.65</v>
      </c>
      <c r="AA206" s="10">
        <f>'A) Base RI'!V206</f>
        <v>584</v>
      </c>
    </row>
    <row r="207" spans="1:27" x14ac:dyDescent="0.25">
      <c r="A207" s="8">
        <f>'A) Base RI'!A207</f>
        <v>5729</v>
      </c>
      <c r="B207" s="32" t="str">
        <f>'A) Base RI'!B207</f>
        <v>Tannay</v>
      </c>
      <c r="C207" s="10">
        <f>'A) Base RI'!C207+'A) Base RI'!D207</f>
        <v>8653736.3499999996</v>
      </c>
      <c r="D207" s="10">
        <f>'A) Base RI'!W207</f>
        <v>-56959.65</v>
      </c>
      <c r="E207" s="390">
        <f>'A) Base RI'!X207</f>
        <v>0</v>
      </c>
      <c r="F207" s="390">
        <f>'A) Base RI'!Y207</f>
        <v>-15816.67</v>
      </c>
      <c r="G207" s="394">
        <f t="shared" si="18"/>
        <v>8580960.0299999993</v>
      </c>
      <c r="H207" s="10">
        <f>+'A) Base RI'!E207</f>
        <v>0</v>
      </c>
      <c r="I207" s="10">
        <f>+'A) Base RI'!F207</f>
        <v>0</v>
      </c>
      <c r="J207" s="10">
        <f>+'A) Base RI'!G207+'A) Base RI'!H207+'A) Base RI'!S207</f>
        <v>375298.25</v>
      </c>
      <c r="K207" s="10">
        <f>+'A) Base RI'!I207</f>
        <v>175769.27</v>
      </c>
      <c r="L207" s="10">
        <f>+'A) Base RI'!J207</f>
        <v>44851.68</v>
      </c>
      <c r="M207" s="10">
        <f>+'A) Base RI'!K207</f>
        <v>4623.75</v>
      </c>
      <c r="N207" s="10">
        <f>+'A) Base RI'!Q207</f>
        <v>0</v>
      </c>
      <c r="O207" s="10">
        <f t="shared" si="19"/>
        <v>600623.46666666667</v>
      </c>
      <c r="P207" s="10">
        <f>+'A) Base RI'!L207</f>
        <v>900935.2</v>
      </c>
      <c r="Q207" s="402">
        <f>'A) Base RI'!Z207</f>
        <v>1.5</v>
      </c>
      <c r="R207" s="394">
        <f t="shared" si="20"/>
        <v>9782126.4466666654</v>
      </c>
      <c r="S207" s="437">
        <f>+'A) Base RI'!U207</f>
        <v>60.5</v>
      </c>
      <c r="T207" s="394">
        <f t="shared" si="21"/>
        <v>9176879.2299999986</v>
      </c>
      <c r="U207" s="394">
        <f t="shared" si="22"/>
        <v>161688.04044077132</v>
      </c>
      <c r="V207" s="10">
        <f>+'A) Base RI'!O207</f>
        <v>3761.9</v>
      </c>
      <c r="W207" s="10">
        <f>+'A) Base RI'!P207</f>
        <v>755997.9</v>
      </c>
      <c r="X207" s="10">
        <f>+'A) Base RI'!R207</f>
        <v>494127.3</v>
      </c>
      <c r="Y207" s="394">
        <f t="shared" si="23"/>
        <v>1253887.1000000001</v>
      </c>
      <c r="Z207" s="10">
        <f>+'A) Base RI'!N207</f>
        <v>17196.75</v>
      </c>
      <c r="AA207" s="10">
        <f>'A) Base RI'!V207</f>
        <v>1644</v>
      </c>
    </row>
    <row r="208" spans="1:27" x14ac:dyDescent="0.25">
      <c r="A208" s="8">
        <f>'A) Base RI'!A208</f>
        <v>5730</v>
      </c>
      <c r="B208" s="32" t="str">
        <f>'A) Base RI'!B208</f>
        <v>Trélex</v>
      </c>
      <c r="C208" s="10">
        <f>'A) Base RI'!C208+'A) Base RI'!D208</f>
        <v>6651999.7600000007</v>
      </c>
      <c r="D208" s="10">
        <f>'A) Base RI'!W208</f>
        <v>-63456.639999999999</v>
      </c>
      <c r="E208" s="390">
        <f>'A) Base RI'!X208</f>
        <v>0</v>
      </c>
      <c r="F208" s="390">
        <f>'A) Base RI'!Y208</f>
        <v>-108930.09</v>
      </c>
      <c r="G208" s="394">
        <f t="shared" si="18"/>
        <v>6479613.0300000012</v>
      </c>
      <c r="H208" s="10">
        <f>+'A) Base RI'!E208</f>
        <v>0</v>
      </c>
      <c r="I208" s="10">
        <f>+'A) Base RI'!F208</f>
        <v>0</v>
      </c>
      <c r="J208" s="10">
        <f>+'A) Base RI'!G208+'A) Base RI'!H208+'A) Base RI'!S208</f>
        <v>24311.079999999998</v>
      </c>
      <c r="K208" s="10">
        <f>+'A) Base RI'!I208</f>
        <v>-58921.7</v>
      </c>
      <c r="L208" s="10">
        <f>+'A) Base RI'!J208</f>
        <v>27005.279999999999</v>
      </c>
      <c r="M208" s="10">
        <f>+'A) Base RI'!K208</f>
        <v>7569.7</v>
      </c>
      <c r="N208" s="10">
        <f>+'A) Base RI'!Q208</f>
        <v>1308.8399999999999</v>
      </c>
      <c r="O208" s="10">
        <f t="shared" si="19"/>
        <v>461367.27777777775</v>
      </c>
      <c r="P208" s="10">
        <f>+'A) Base RI'!L208</f>
        <v>415230.55</v>
      </c>
      <c r="Q208" s="402">
        <f>'A) Base RI'!Z208</f>
        <v>0.9</v>
      </c>
      <c r="R208" s="394">
        <f t="shared" si="20"/>
        <v>6942253.5077777794</v>
      </c>
      <c r="S208" s="437">
        <f>+'A) Base RI'!U208</f>
        <v>55.5</v>
      </c>
      <c r="T208" s="394">
        <f t="shared" si="21"/>
        <v>6473316.5300000012</v>
      </c>
      <c r="U208" s="394">
        <f t="shared" si="22"/>
        <v>125085.64878878882</v>
      </c>
      <c r="V208" s="10">
        <f>+'A) Base RI'!O208</f>
        <v>0</v>
      </c>
      <c r="W208" s="10">
        <f>+'A) Base RI'!P208</f>
        <v>487547.55</v>
      </c>
      <c r="X208" s="10">
        <f>+'A) Base RI'!R208</f>
        <v>1066158.05</v>
      </c>
      <c r="Y208" s="394">
        <f t="shared" si="23"/>
        <v>1553705.6</v>
      </c>
      <c r="Z208" s="10">
        <f>+'A) Base RI'!N208</f>
        <v>18029.25</v>
      </c>
      <c r="AA208" s="10">
        <f>'A) Base RI'!V208</f>
        <v>1439</v>
      </c>
    </row>
    <row r="209" spans="1:27" x14ac:dyDescent="0.25">
      <c r="A209" s="8">
        <f>'A) Base RI'!A209</f>
        <v>5731</v>
      </c>
      <c r="B209" s="32" t="str">
        <f>'A) Base RI'!B209</f>
        <v>Le Vaud</v>
      </c>
      <c r="C209" s="10">
        <f>'A) Base RI'!C209+'A) Base RI'!D209</f>
        <v>4823091.34</v>
      </c>
      <c r="D209" s="10">
        <f>'A) Base RI'!W209</f>
        <v>-31223.040000000001</v>
      </c>
      <c r="E209" s="390">
        <f>'A) Base RI'!X209</f>
        <v>0</v>
      </c>
      <c r="F209" s="390">
        <f>'A) Base RI'!Y209</f>
        <v>-1446.61</v>
      </c>
      <c r="G209" s="394">
        <f t="shared" si="18"/>
        <v>4790421.6899999995</v>
      </c>
      <c r="H209" s="10">
        <f>+'A) Base RI'!E209</f>
        <v>0</v>
      </c>
      <c r="I209" s="10">
        <f>+'A) Base RI'!F209</f>
        <v>0</v>
      </c>
      <c r="J209" s="10">
        <f>+'A) Base RI'!G209+'A) Base RI'!H209+'A) Base RI'!S209</f>
        <v>44083.289999999994</v>
      </c>
      <c r="K209" s="10">
        <f>+'A) Base RI'!I209</f>
        <v>0</v>
      </c>
      <c r="L209" s="10">
        <f>+'A) Base RI'!J209</f>
        <v>29711.61</v>
      </c>
      <c r="M209" s="10">
        <f>+'A) Base RI'!K209</f>
        <v>3522</v>
      </c>
      <c r="N209" s="10">
        <f>+'A) Base RI'!Q209</f>
        <v>-2264.94</v>
      </c>
      <c r="O209" s="10">
        <f t="shared" si="19"/>
        <v>284675.73333333334</v>
      </c>
      <c r="P209" s="10">
        <f>+'A) Base RI'!L209</f>
        <v>427013.6</v>
      </c>
      <c r="Q209" s="402">
        <f>'A) Base RI'!Z209</f>
        <v>1.5</v>
      </c>
      <c r="R209" s="394">
        <f t="shared" si="20"/>
        <v>5150149.3833333328</v>
      </c>
      <c r="S209" s="437">
        <f>+'A) Base RI'!U209</f>
        <v>74</v>
      </c>
      <c r="T209" s="394">
        <f t="shared" si="21"/>
        <v>4861951.6499999994</v>
      </c>
      <c r="U209" s="394">
        <f t="shared" si="22"/>
        <v>69596.613288288281</v>
      </c>
      <c r="V209" s="10">
        <f>+'A) Base RI'!O209</f>
        <v>0</v>
      </c>
      <c r="W209" s="10">
        <f>+'A) Base RI'!P209</f>
        <v>156017.20000000001</v>
      </c>
      <c r="X209" s="10">
        <f>+'A) Base RI'!R209</f>
        <v>77501.2</v>
      </c>
      <c r="Y209" s="394">
        <f t="shared" si="23"/>
        <v>233518.40000000002</v>
      </c>
      <c r="Z209" s="10">
        <f>+'A) Base RI'!N209</f>
        <v>62795.199999999997</v>
      </c>
      <c r="AA209" s="10">
        <f>'A) Base RI'!V209</f>
        <v>1387</v>
      </c>
    </row>
    <row r="210" spans="1:27" x14ac:dyDescent="0.25">
      <c r="A210" s="8">
        <f>'A) Base RI'!A210</f>
        <v>5732</v>
      </c>
      <c r="B210" s="32" t="str">
        <f>'A) Base RI'!B210</f>
        <v>Vich</v>
      </c>
      <c r="C210" s="10">
        <f>'A) Base RI'!C210+'A) Base RI'!D210</f>
        <v>4754155.0999999996</v>
      </c>
      <c r="D210" s="10">
        <f>'A) Base RI'!W210</f>
        <v>-28501.95</v>
      </c>
      <c r="E210" s="390">
        <f>'A) Base RI'!X210</f>
        <v>0</v>
      </c>
      <c r="F210" s="390">
        <f>'A) Base RI'!Y210</f>
        <v>-10729.12</v>
      </c>
      <c r="G210" s="394">
        <f t="shared" si="18"/>
        <v>4714924.0299999993</v>
      </c>
      <c r="H210" s="10">
        <f>+'A) Base RI'!E210</f>
        <v>0</v>
      </c>
      <c r="I210" s="10">
        <f>+'A) Base RI'!F210</f>
        <v>0</v>
      </c>
      <c r="J210" s="10">
        <f>+'A) Base RI'!G210+'A) Base RI'!H210+'A) Base RI'!S210</f>
        <v>127437.73000000001</v>
      </c>
      <c r="K210" s="10">
        <f>+'A) Base RI'!I210</f>
        <v>192467.85</v>
      </c>
      <c r="L210" s="10">
        <f>+'A) Base RI'!J210</f>
        <v>24472.84</v>
      </c>
      <c r="M210" s="10">
        <f>+'A) Base RI'!K210</f>
        <v>6779.15</v>
      </c>
      <c r="N210" s="10">
        <f>+'A) Base RI'!Q210</f>
        <v>5102.84</v>
      </c>
      <c r="O210" s="10">
        <f t="shared" si="19"/>
        <v>380711.55</v>
      </c>
      <c r="P210" s="10">
        <f>+'A) Base RI'!L210</f>
        <v>380711.55</v>
      </c>
      <c r="Q210" s="402">
        <f>'A) Base RI'!Z210</f>
        <v>1</v>
      </c>
      <c r="R210" s="394">
        <f t="shared" si="20"/>
        <v>5451895.9899999993</v>
      </c>
      <c r="S210" s="437">
        <f>+'A) Base RI'!U210</f>
        <v>63</v>
      </c>
      <c r="T210" s="394">
        <f t="shared" si="21"/>
        <v>5064405.2899999991</v>
      </c>
      <c r="U210" s="394">
        <f t="shared" si="22"/>
        <v>86538.031587301579</v>
      </c>
      <c r="V210" s="10">
        <f>+'A) Base RI'!O210</f>
        <v>0</v>
      </c>
      <c r="W210" s="10">
        <f>+'A) Base RI'!P210</f>
        <v>143684.9</v>
      </c>
      <c r="X210" s="10">
        <f>+'A) Base RI'!R210</f>
        <v>42977.05</v>
      </c>
      <c r="Y210" s="394">
        <f t="shared" si="23"/>
        <v>186661.95</v>
      </c>
      <c r="Z210" s="10">
        <f>+'A) Base RI'!N210</f>
        <v>129498.6</v>
      </c>
      <c r="AA210" s="10">
        <f>'A) Base RI'!V210</f>
        <v>1157</v>
      </c>
    </row>
    <row r="211" spans="1:27" x14ac:dyDescent="0.25">
      <c r="A211" s="8">
        <f>'A) Base RI'!A211</f>
        <v>5741</v>
      </c>
      <c r="B211" s="32" t="str">
        <f>'A) Base RI'!B211</f>
        <v>L'Abergement</v>
      </c>
      <c r="C211" s="10">
        <f>'A) Base RI'!C211+'A) Base RI'!D211</f>
        <v>679369.6</v>
      </c>
      <c r="D211" s="10">
        <f>'A) Base RI'!W211</f>
        <v>-4207.6899999999996</v>
      </c>
      <c r="E211" s="390">
        <f>'A) Base RI'!X211</f>
        <v>0</v>
      </c>
      <c r="F211" s="390">
        <f>'A) Base RI'!Y211</f>
        <v>0</v>
      </c>
      <c r="G211" s="394">
        <f t="shared" si="18"/>
        <v>675161.91</v>
      </c>
      <c r="H211" s="10">
        <f>+'A) Base RI'!E211</f>
        <v>0</v>
      </c>
      <c r="I211" s="10">
        <f>+'A) Base RI'!F211</f>
        <v>1450</v>
      </c>
      <c r="J211" s="10">
        <f>+'A) Base RI'!G211+'A) Base RI'!H211+'A) Base RI'!S211</f>
        <v>6139.42</v>
      </c>
      <c r="K211" s="10">
        <f>+'A) Base RI'!I211</f>
        <v>0</v>
      </c>
      <c r="L211" s="10">
        <f>+'A) Base RI'!J211</f>
        <v>46.88</v>
      </c>
      <c r="M211" s="10">
        <f>+'A) Base RI'!K211</f>
        <v>0</v>
      </c>
      <c r="N211" s="10">
        <f>+'A) Base RI'!Q211</f>
        <v>3734.14</v>
      </c>
      <c r="O211" s="10">
        <f t="shared" si="19"/>
        <v>41445.291666666664</v>
      </c>
      <c r="P211" s="10">
        <f>+'A) Base RI'!L211</f>
        <v>49734.35</v>
      </c>
      <c r="Q211" s="402">
        <f>'A) Base RI'!Z211</f>
        <v>1.2</v>
      </c>
      <c r="R211" s="394">
        <f t="shared" si="20"/>
        <v>727977.64166666672</v>
      </c>
      <c r="S211" s="437">
        <f>+'A) Base RI'!U211</f>
        <v>81</v>
      </c>
      <c r="T211" s="394">
        <f t="shared" si="21"/>
        <v>685082.35000000009</v>
      </c>
      <c r="U211" s="394">
        <f t="shared" si="22"/>
        <v>8987.3782921810707</v>
      </c>
      <c r="V211" s="10">
        <f>+'A) Base RI'!O211</f>
        <v>1828.8</v>
      </c>
      <c r="W211" s="10">
        <f>+'A) Base RI'!P211</f>
        <v>29084</v>
      </c>
      <c r="X211" s="10">
        <f>+'A) Base RI'!R211</f>
        <v>27959.8</v>
      </c>
      <c r="Y211" s="394">
        <f t="shared" si="23"/>
        <v>58872.6</v>
      </c>
      <c r="Z211" s="10">
        <f>+'A) Base RI'!N211</f>
        <v>6322.15</v>
      </c>
      <c r="AA211" s="10">
        <f>'A) Base RI'!V211</f>
        <v>256</v>
      </c>
    </row>
    <row r="212" spans="1:27" x14ac:dyDescent="0.25">
      <c r="A212" s="8">
        <f>'A) Base RI'!A212</f>
        <v>5742</v>
      </c>
      <c r="B212" s="32" t="str">
        <f>'A) Base RI'!B212</f>
        <v>Agiez</v>
      </c>
      <c r="C212" s="10">
        <f>'A) Base RI'!C212+'A) Base RI'!D212</f>
        <v>680535.80999999994</v>
      </c>
      <c r="D212" s="10">
        <f>'A) Base RI'!W212</f>
        <v>-497.2</v>
      </c>
      <c r="E212" s="390">
        <f>'A) Base RI'!X212</f>
        <v>0</v>
      </c>
      <c r="F212" s="390">
        <f>'A) Base RI'!Y212</f>
        <v>0</v>
      </c>
      <c r="G212" s="394">
        <f t="shared" si="18"/>
        <v>680038.61</v>
      </c>
      <c r="H212" s="10">
        <f>+'A) Base RI'!E212</f>
        <v>0</v>
      </c>
      <c r="I212" s="10">
        <f>+'A) Base RI'!F212</f>
        <v>0</v>
      </c>
      <c r="J212" s="10">
        <f>+'A) Base RI'!G212+'A) Base RI'!H212+'A) Base RI'!S212</f>
        <v>7797.23</v>
      </c>
      <c r="K212" s="10">
        <f>+'A) Base RI'!I212</f>
        <v>0</v>
      </c>
      <c r="L212" s="10">
        <f>+'A) Base RI'!J212</f>
        <v>23813.74</v>
      </c>
      <c r="M212" s="10">
        <f>+'A) Base RI'!K212</f>
        <v>1672.3</v>
      </c>
      <c r="N212" s="10">
        <f>+'A) Base RI'!Q212</f>
        <v>196.51</v>
      </c>
      <c r="O212" s="10">
        <f t="shared" si="19"/>
        <v>58646.9</v>
      </c>
      <c r="P212" s="10">
        <f>+'A) Base RI'!L212</f>
        <v>29323.45</v>
      </c>
      <c r="Q212" s="402">
        <f>'A) Base RI'!Z212</f>
        <v>0.5</v>
      </c>
      <c r="R212" s="394">
        <f t="shared" si="20"/>
        <v>772165.29</v>
      </c>
      <c r="S212" s="437">
        <f>+'A) Base RI'!U212</f>
        <v>76</v>
      </c>
      <c r="T212" s="394">
        <f t="shared" si="21"/>
        <v>711846.09</v>
      </c>
      <c r="U212" s="394">
        <f t="shared" si="22"/>
        <v>10160.069605263159</v>
      </c>
      <c r="V212" s="10">
        <f>+'A) Base RI'!O212</f>
        <v>2632.2</v>
      </c>
      <c r="W212" s="10">
        <f>+'A) Base RI'!P212</f>
        <v>173</v>
      </c>
      <c r="X212" s="10">
        <f>+'A) Base RI'!R212</f>
        <v>0</v>
      </c>
      <c r="Y212" s="394">
        <f t="shared" si="23"/>
        <v>2805.2</v>
      </c>
      <c r="Z212" s="10">
        <f>+'A) Base RI'!N212</f>
        <v>2863.2</v>
      </c>
      <c r="AA212" s="10">
        <f>'A) Base RI'!V212</f>
        <v>375</v>
      </c>
    </row>
    <row r="213" spans="1:27" x14ac:dyDescent="0.25">
      <c r="A213" s="8">
        <f>'A) Base RI'!A213</f>
        <v>5743</v>
      </c>
      <c r="B213" s="32" t="str">
        <f>'A) Base RI'!B213</f>
        <v>Arnex-sur-Orbe</v>
      </c>
      <c r="C213" s="10">
        <f>'A) Base RI'!C213+'A) Base RI'!D213</f>
        <v>1228101.78</v>
      </c>
      <c r="D213" s="10">
        <f>'A) Base RI'!W213</f>
        <v>-9332.67</v>
      </c>
      <c r="E213" s="390">
        <f>'A) Base RI'!X213</f>
        <v>0</v>
      </c>
      <c r="F213" s="390">
        <f>'A) Base RI'!Y213</f>
        <v>-33.47</v>
      </c>
      <c r="G213" s="394">
        <f t="shared" si="18"/>
        <v>1218735.6400000001</v>
      </c>
      <c r="H213" s="10">
        <f>+'A) Base RI'!E213</f>
        <v>0</v>
      </c>
      <c r="I213" s="10">
        <f>+'A) Base RI'!F213</f>
        <v>0</v>
      </c>
      <c r="J213" s="10">
        <f>+'A) Base RI'!G213+'A) Base RI'!H213+'A) Base RI'!S213</f>
        <v>2609.1</v>
      </c>
      <c r="K213" s="10">
        <f>+'A) Base RI'!I213</f>
        <v>0</v>
      </c>
      <c r="L213" s="10">
        <f>+'A) Base RI'!J213</f>
        <v>5680.32</v>
      </c>
      <c r="M213" s="10">
        <f>+'A) Base RI'!K213</f>
        <v>0</v>
      </c>
      <c r="N213" s="10">
        <f>+'A) Base RI'!Q213</f>
        <v>1118.93</v>
      </c>
      <c r="O213" s="10">
        <f t="shared" si="19"/>
        <v>87707.374999999985</v>
      </c>
      <c r="P213" s="10">
        <f>+'A) Base RI'!L213</f>
        <v>70165.899999999994</v>
      </c>
      <c r="Q213" s="402">
        <f>'A) Base RI'!Z213</f>
        <v>0.8</v>
      </c>
      <c r="R213" s="394">
        <f t="shared" si="20"/>
        <v>1315851.3650000002</v>
      </c>
      <c r="S213" s="437">
        <f>+'A) Base RI'!U213</f>
        <v>71</v>
      </c>
      <c r="T213" s="394">
        <f t="shared" si="21"/>
        <v>1228143.9900000002</v>
      </c>
      <c r="U213" s="394">
        <f t="shared" si="22"/>
        <v>18533.117816901413</v>
      </c>
      <c r="V213" s="10">
        <f>+'A) Base RI'!O213</f>
        <v>15172.7</v>
      </c>
      <c r="W213" s="10">
        <f>+'A) Base RI'!P213</f>
        <v>37230.65</v>
      </c>
      <c r="X213" s="10">
        <f>+'A) Base RI'!R213</f>
        <v>29535.65</v>
      </c>
      <c r="Y213" s="394">
        <f t="shared" si="23"/>
        <v>81939</v>
      </c>
      <c r="Z213" s="10">
        <f>+'A) Base RI'!N213</f>
        <v>20766.900000000001</v>
      </c>
      <c r="AA213" s="10">
        <f>'A) Base RI'!V213</f>
        <v>665</v>
      </c>
    </row>
    <row r="214" spans="1:27" x14ac:dyDescent="0.25">
      <c r="A214" s="8">
        <f>'A) Base RI'!A214</f>
        <v>5744</v>
      </c>
      <c r="B214" s="32" t="str">
        <f>'A) Base RI'!B214</f>
        <v>Ballaigues</v>
      </c>
      <c r="C214" s="10">
        <f>'A) Base RI'!C214+'A) Base RI'!D214</f>
        <v>1566495.73</v>
      </c>
      <c r="D214" s="10">
        <f>'A) Base RI'!W214</f>
        <v>-31713.72</v>
      </c>
      <c r="E214" s="390">
        <f>'A) Base RI'!X214</f>
        <v>0</v>
      </c>
      <c r="F214" s="390">
        <f>'A) Base RI'!Y214</f>
        <v>-2366.9499999999998</v>
      </c>
      <c r="G214" s="394">
        <f t="shared" si="18"/>
        <v>1532415.06</v>
      </c>
      <c r="H214" s="10">
        <f>+'A) Base RI'!E214</f>
        <v>0</v>
      </c>
      <c r="I214" s="10">
        <f>+'A) Base RI'!F214</f>
        <v>0</v>
      </c>
      <c r="J214" s="10">
        <f>+'A) Base RI'!G214+'A) Base RI'!H214+'A) Base RI'!S214</f>
        <v>1359808.27</v>
      </c>
      <c r="K214" s="10">
        <f>+'A) Base RI'!I214</f>
        <v>0</v>
      </c>
      <c r="L214" s="10">
        <f>+'A) Base RI'!J214</f>
        <v>112176.62</v>
      </c>
      <c r="M214" s="10">
        <f>+'A) Base RI'!K214</f>
        <v>0</v>
      </c>
      <c r="N214" s="10">
        <f>+'A) Base RI'!Q214</f>
        <v>5587.23</v>
      </c>
      <c r="O214" s="10">
        <f t="shared" si="19"/>
        <v>190954.7</v>
      </c>
      <c r="P214" s="10">
        <f>+'A) Base RI'!L214</f>
        <v>190954.7</v>
      </c>
      <c r="Q214" s="402">
        <f>'A) Base RI'!Z214</f>
        <v>1</v>
      </c>
      <c r="R214" s="394">
        <f t="shared" si="20"/>
        <v>3200941.8800000004</v>
      </c>
      <c r="S214" s="437">
        <f>+'A) Base RI'!U214</f>
        <v>65</v>
      </c>
      <c r="T214" s="394">
        <f t="shared" si="21"/>
        <v>3009987.18</v>
      </c>
      <c r="U214" s="394">
        <f t="shared" si="22"/>
        <v>49245.2596923077</v>
      </c>
      <c r="V214" s="10">
        <f>+'A) Base RI'!O214</f>
        <v>3917.3</v>
      </c>
      <c r="W214" s="10">
        <f>+'A) Base RI'!P214</f>
        <v>62469</v>
      </c>
      <c r="X214" s="10">
        <f>+'A) Base RI'!R214</f>
        <v>13951.55</v>
      </c>
      <c r="Y214" s="394">
        <f t="shared" si="23"/>
        <v>80337.850000000006</v>
      </c>
      <c r="Z214" s="10">
        <f>+'A) Base RI'!N214</f>
        <v>1852198.25</v>
      </c>
      <c r="AA214" s="10">
        <f>'A) Base RI'!V214</f>
        <v>1173</v>
      </c>
    </row>
    <row r="215" spans="1:27" x14ac:dyDescent="0.25">
      <c r="A215" s="8">
        <f>'A) Base RI'!A215</f>
        <v>5745</v>
      </c>
      <c r="B215" s="32" t="str">
        <f>'A) Base RI'!B215</f>
        <v>Baulmes</v>
      </c>
      <c r="C215" s="10">
        <f>'A) Base RI'!C215+'A) Base RI'!D215</f>
        <v>1953163.02</v>
      </c>
      <c r="D215" s="10">
        <f>'A) Base RI'!W215</f>
        <v>-21357.94</v>
      </c>
      <c r="E215" s="390">
        <f>'A) Base RI'!X215</f>
        <v>0</v>
      </c>
      <c r="F215" s="390">
        <f>'A) Base RI'!Y215</f>
        <v>-0.36</v>
      </c>
      <c r="G215" s="394">
        <f t="shared" si="18"/>
        <v>1931804.72</v>
      </c>
      <c r="H215" s="10">
        <f>+'A) Base RI'!E215</f>
        <v>0</v>
      </c>
      <c r="I215" s="10">
        <f>+'A) Base RI'!F215</f>
        <v>0</v>
      </c>
      <c r="J215" s="10">
        <f>+'A) Base RI'!G215+'A) Base RI'!H215+'A) Base RI'!S215</f>
        <v>58731.81</v>
      </c>
      <c r="K215" s="10">
        <f>+'A) Base RI'!I215</f>
        <v>0</v>
      </c>
      <c r="L215" s="10">
        <f>+'A) Base RI'!J215</f>
        <v>41801.14</v>
      </c>
      <c r="M215" s="10">
        <f>+'A) Base RI'!K215</f>
        <v>0</v>
      </c>
      <c r="N215" s="10">
        <f>+'A) Base RI'!Q215</f>
        <v>0</v>
      </c>
      <c r="O215" s="10">
        <f t="shared" si="19"/>
        <v>145737.60000000001</v>
      </c>
      <c r="P215" s="10">
        <f>+'A) Base RI'!L215</f>
        <v>145737.60000000001</v>
      </c>
      <c r="Q215" s="402">
        <f>'A) Base RI'!Z215</f>
        <v>1</v>
      </c>
      <c r="R215" s="394">
        <f t="shared" si="20"/>
        <v>2178075.27</v>
      </c>
      <c r="S215" s="437">
        <f>+'A) Base RI'!U215</f>
        <v>76.5</v>
      </c>
      <c r="T215" s="394">
        <f t="shared" si="21"/>
        <v>2032337.67</v>
      </c>
      <c r="U215" s="394">
        <f t="shared" si="22"/>
        <v>28471.572156862745</v>
      </c>
      <c r="V215" s="10">
        <f>+'A) Base RI'!O215</f>
        <v>0</v>
      </c>
      <c r="W215" s="10">
        <f>+'A) Base RI'!P215</f>
        <v>93065.55</v>
      </c>
      <c r="X215" s="10">
        <f>+'A) Base RI'!R215</f>
        <v>129476.2</v>
      </c>
      <c r="Y215" s="394">
        <f t="shared" si="23"/>
        <v>222541.75</v>
      </c>
      <c r="Z215" s="10">
        <f>+'A) Base RI'!N215</f>
        <v>195912.2</v>
      </c>
      <c r="AA215" s="10">
        <f>'A) Base RI'!V215</f>
        <v>1126</v>
      </c>
    </row>
    <row r="216" spans="1:27" x14ac:dyDescent="0.25">
      <c r="A216" s="8">
        <f>'A) Base RI'!A216</f>
        <v>5746</v>
      </c>
      <c r="B216" s="32" t="str">
        <f>'A) Base RI'!B216</f>
        <v>Bavois</v>
      </c>
      <c r="C216" s="10">
        <f>'A) Base RI'!C216+'A) Base RI'!D216</f>
        <v>1867482.66</v>
      </c>
      <c r="D216" s="10">
        <f>'A) Base RI'!W216</f>
        <v>-31885.16</v>
      </c>
      <c r="E216" s="390">
        <f>'A) Base RI'!X216</f>
        <v>-8895.35</v>
      </c>
      <c r="F216" s="390">
        <f>'A) Base RI'!Y216</f>
        <v>-158.13</v>
      </c>
      <c r="G216" s="394">
        <f t="shared" si="18"/>
        <v>1826544.02</v>
      </c>
      <c r="H216" s="10">
        <f>+'A) Base RI'!E216</f>
        <v>0</v>
      </c>
      <c r="I216" s="10">
        <f>+'A) Base RI'!F216</f>
        <v>0</v>
      </c>
      <c r="J216" s="10">
        <f>+'A) Base RI'!G216+'A) Base RI'!H216+'A) Base RI'!S216</f>
        <v>-42057.599999999999</v>
      </c>
      <c r="K216" s="10">
        <f>+'A) Base RI'!I216</f>
        <v>0</v>
      </c>
      <c r="L216" s="10">
        <f>+'A) Base RI'!J216</f>
        <v>10301.08</v>
      </c>
      <c r="M216" s="10">
        <f>+'A) Base RI'!K216</f>
        <v>19594.75</v>
      </c>
      <c r="N216" s="10">
        <f>+'A) Base RI'!Q216</f>
        <v>2409.41</v>
      </c>
      <c r="O216" s="10">
        <f t="shared" si="19"/>
        <v>184001.45833333334</v>
      </c>
      <c r="P216" s="10">
        <f>+'A) Base RI'!L216</f>
        <v>220801.75</v>
      </c>
      <c r="Q216" s="402">
        <f>'A) Base RI'!Z216</f>
        <v>1.2</v>
      </c>
      <c r="R216" s="394">
        <f t="shared" si="20"/>
        <v>2000793.1183333332</v>
      </c>
      <c r="S216" s="437">
        <f>+'A) Base RI'!U216</f>
        <v>73</v>
      </c>
      <c r="T216" s="394">
        <f t="shared" si="21"/>
        <v>1797196.91</v>
      </c>
      <c r="U216" s="394">
        <f t="shared" si="22"/>
        <v>27408.124908675796</v>
      </c>
      <c r="V216" s="10">
        <f>+'A) Base RI'!O216</f>
        <v>14077.5</v>
      </c>
      <c r="W216" s="10">
        <f>+'A) Base RI'!P216</f>
        <v>197365.65</v>
      </c>
      <c r="X216" s="10">
        <f>+'A) Base RI'!R216</f>
        <v>123899.5</v>
      </c>
      <c r="Y216" s="394">
        <f t="shared" si="23"/>
        <v>335342.65000000002</v>
      </c>
      <c r="Z216" s="10">
        <f>+'A) Base RI'!N216</f>
        <v>7548.4</v>
      </c>
      <c r="AA216" s="10">
        <f>'A) Base RI'!V216</f>
        <v>978</v>
      </c>
    </row>
    <row r="217" spans="1:27" x14ac:dyDescent="0.25">
      <c r="A217" s="8">
        <f>'A) Base RI'!A217</f>
        <v>5747</v>
      </c>
      <c r="B217" s="32" t="str">
        <f>'A) Base RI'!B217</f>
        <v>Bofflens</v>
      </c>
      <c r="C217" s="10">
        <f>'A) Base RI'!C217+'A) Base RI'!D217</f>
        <v>362645.99</v>
      </c>
      <c r="D217" s="10">
        <f>'A) Base RI'!W217</f>
        <v>-9742.43</v>
      </c>
      <c r="E217" s="390">
        <f>'A) Base RI'!X217</f>
        <v>0</v>
      </c>
      <c r="F217" s="390">
        <f>'A) Base RI'!Y217</f>
        <v>0</v>
      </c>
      <c r="G217" s="394">
        <f t="shared" si="18"/>
        <v>352903.56</v>
      </c>
      <c r="H217" s="10">
        <f>+'A) Base RI'!E217</f>
        <v>0</v>
      </c>
      <c r="I217" s="10">
        <f>+'A) Base RI'!F217</f>
        <v>0</v>
      </c>
      <c r="J217" s="10">
        <f>+'A) Base RI'!G217+'A) Base RI'!H217+'A) Base RI'!S217</f>
        <v>7003.31</v>
      </c>
      <c r="K217" s="10">
        <f>+'A) Base RI'!I217</f>
        <v>0</v>
      </c>
      <c r="L217" s="10">
        <f>+'A) Base RI'!J217</f>
        <v>4478.57</v>
      </c>
      <c r="M217" s="10">
        <f>+'A) Base RI'!K217</f>
        <v>0</v>
      </c>
      <c r="N217" s="10">
        <f>+'A) Base RI'!Q217</f>
        <v>3859.6</v>
      </c>
      <c r="O217" s="10">
        <f t="shared" si="19"/>
        <v>32519.1</v>
      </c>
      <c r="P217" s="10">
        <f>+'A) Base RI'!L217</f>
        <v>32519.1</v>
      </c>
      <c r="Q217" s="402">
        <f>'A) Base RI'!Z217</f>
        <v>1</v>
      </c>
      <c r="R217" s="394">
        <f t="shared" si="20"/>
        <v>400764.13999999996</v>
      </c>
      <c r="S217" s="437">
        <f>+'A) Base RI'!U217</f>
        <v>69</v>
      </c>
      <c r="T217" s="394">
        <f t="shared" si="21"/>
        <v>368245.04</v>
      </c>
      <c r="U217" s="394">
        <f t="shared" si="22"/>
        <v>5808.1759420289845</v>
      </c>
      <c r="V217" s="10">
        <f>+'A) Base RI'!O217</f>
        <v>0</v>
      </c>
      <c r="W217" s="10">
        <f>+'A) Base RI'!P217</f>
        <v>0</v>
      </c>
      <c r="X217" s="10">
        <f>+'A) Base RI'!R217</f>
        <v>0</v>
      </c>
      <c r="Y217" s="394">
        <f t="shared" si="23"/>
        <v>0</v>
      </c>
      <c r="Z217" s="10">
        <f>+'A) Base RI'!N217</f>
        <v>602.6</v>
      </c>
      <c r="AA217" s="10">
        <f>'A) Base RI'!V217</f>
        <v>206</v>
      </c>
    </row>
    <row r="218" spans="1:27" x14ac:dyDescent="0.25">
      <c r="A218" s="8">
        <f>'A) Base RI'!A218</f>
        <v>5748</v>
      </c>
      <c r="B218" s="32" t="str">
        <f>'A) Base RI'!B218</f>
        <v>Bretonnières</v>
      </c>
      <c r="C218" s="10">
        <f>'A) Base RI'!C218+'A) Base RI'!D218</f>
        <v>402982.5</v>
      </c>
      <c r="D218" s="10">
        <f>'A) Base RI'!W218</f>
        <v>-4594.04</v>
      </c>
      <c r="E218" s="390">
        <f>'A) Base RI'!X218</f>
        <v>0</v>
      </c>
      <c r="F218" s="390">
        <f>'A) Base RI'!Y218</f>
        <v>0</v>
      </c>
      <c r="G218" s="394">
        <f t="shared" si="18"/>
        <v>398388.46</v>
      </c>
      <c r="H218" s="10">
        <f>+'A) Base RI'!E218</f>
        <v>0</v>
      </c>
      <c r="I218" s="10">
        <f>+'A) Base RI'!F218</f>
        <v>2050</v>
      </c>
      <c r="J218" s="10">
        <f>+'A) Base RI'!G218+'A) Base RI'!H218+'A) Base RI'!S218</f>
        <v>11308.570000000002</v>
      </c>
      <c r="K218" s="10">
        <f>+'A) Base RI'!I218</f>
        <v>0</v>
      </c>
      <c r="L218" s="10">
        <f>+'A) Base RI'!J218</f>
        <v>1492.63</v>
      </c>
      <c r="M218" s="10">
        <f>+'A) Base RI'!K218</f>
        <v>0</v>
      </c>
      <c r="N218" s="10">
        <f>+'A) Base RI'!Q218</f>
        <v>18094.89</v>
      </c>
      <c r="O218" s="10">
        <f t="shared" si="19"/>
        <v>37040.333333333336</v>
      </c>
      <c r="P218" s="10">
        <f>+'A) Base RI'!L218</f>
        <v>22224.2</v>
      </c>
      <c r="Q218" s="402">
        <f>'A) Base RI'!Z218</f>
        <v>0.6</v>
      </c>
      <c r="R218" s="394">
        <f t="shared" si="20"/>
        <v>468374.88333333336</v>
      </c>
      <c r="S218" s="437">
        <f>+'A) Base RI'!U218</f>
        <v>70.5</v>
      </c>
      <c r="T218" s="394">
        <f t="shared" si="21"/>
        <v>429284.55000000005</v>
      </c>
      <c r="U218" s="394">
        <f t="shared" si="22"/>
        <v>6643.6153664302601</v>
      </c>
      <c r="V218" s="10">
        <f>+'A) Base RI'!O218</f>
        <v>858</v>
      </c>
      <c r="W218" s="10">
        <f>+'A) Base RI'!P218</f>
        <v>13978.25</v>
      </c>
      <c r="X218" s="10">
        <f>+'A) Base RI'!R218</f>
        <v>18819.45</v>
      </c>
      <c r="Y218" s="394">
        <f t="shared" si="23"/>
        <v>33655.699999999997</v>
      </c>
      <c r="Z218" s="10">
        <f>+'A) Base RI'!N218</f>
        <v>197.7</v>
      </c>
      <c r="AA218" s="10">
        <f>'A) Base RI'!V218</f>
        <v>266</v>
      </c>
    </row>
    <row r="219" spans="1:27" x14ac:dyDescent="0.25">
      <c r="A219" s="8">
        <f>'A) Base RI'!A219</f>
        <v>5749</v>
      </c>
      <c r="B219" s="32" t="str">
        <f>'A) Base RI'!B219</f>
        <v>Chavornay</v>
      </c>
      <c r="C219" s="10">
        <f>'A) Base RI'!C219+'A) Base RI'!D219</f>
        <v>9398455.8599999994</v>
      </c>
      <c r="D219" s="10">
        <f>'A) Base RI'!W219</f>
        <v>-291029.56</v>
      </c>
      <c r="E219" s="390">
        <f>'A) Base RI'!X219</f>
        <v>0</v>
      </c>
      <c r="F219" s="390">
        <f>'A) Base RI'!Y219</f>
        <v>-2172.1</v>
      </c>
      <c r="G219" s="394">
        <f t="shared" si="18"/>
        <v>9105254.1999999993</v>
      </c>
      <c r="H219" s="10">
        <f>+'A) Base RI'!E219</f>
        <v>0</v>
      </c>
      <c r="I219" s="10">
        <f>+'A) Base RI'!F219</f>
        <v>0</v>
      </c>
      <c r="J219" s="10">
        <f>+'A) Base RI'!G219+'A) Base RI'!H219+'A) Base RI'!S219</f>
        <v>438780.97000000003</v>
      </c>
      <c r="K219" s="10">
        <f>+'A) Base RI'!I219</f>
        <v>0</v>
      </c>
      <c r="L219" s="10">
        <f>+'A) Base RI'!J219</f>
        <v>232464.93</v>
      </c>
      <c r="M219" s="10">
        <f>+'A) Base RI'!K219</f>
        <v>80561.05</v>
      </c>
      <c r="N219" s="10">
        <f>+'A) Base RI'!Q219</f>
        <v>83293.89</v>
      </c>
      <c r="O219" s="10">
        <f t="shared" si="19"/>
        <v>870017.45</v>
      </c>
      <c r="P219" s="10">
        <f>+'A) Base RI'!L219</f>
        <v>870017.45</v>
      </c>
      <c r="Q219" s="402">
        <f>'A) Base RI'!Z219</f>
        <v>1</v>
      </c>
      <c r="R219" s="394">
        <f t="shared" si="20"/>
        <v>10810372.49</v>
      </c>
      <c r="S219" s="437">
        <f>+'A) Base RI'!U219</f>
        <v>70.5</v>
      </c>
      <c r="T219" s="394">
        <f t="shared" si="21"/>
        <v>9859793.9900000002</v>
      </c>
      <c r="U219" s="394">
        <f t="shared" si="22"/>
        <v>153338.61687943264</v>
      </c>
      <c r="V219" s="10">
        <f>+'A) Base RI'!O219</f>
        <v>44456.6</v>
      </c>
      <c r="W219" s="10">
        <f>+'A) Base RI'!P219</f>
        <v>271360.95</v>
      </c>
      <c r="X219" s="10">
        <f>+'A) Base RI'!R219</f>
        <v>189345.6</v>
      </c>
      <c r="Y219" s="394">
        <f t="shared" si="23"/>
        <v>505163.15</v>
      </c>
      <c r="Z219" s="10">
        <f>+'A) Base RI'!N219</f>
        <v>744756.9</v>
      </c>
      <c r="AA219" s="10">
        <f>'A) Base RI'!V219</f>
        <v>5366</v>
      </c>
    </row>
    <row r="220" spans="1:27" x14ac:dyDescent="0.25">
      <c r="A220" s="8">
        <f>'A) Base RI'!A220</f>
        <v>5750</v>
      </c>
      <c r="B220" s="32" t="str">
        <f>'A) Base RI'!B220</f>
        <v>Les Clées</v>
      </c>
      <c r="C220" s="10">
        <f>'A) Base RI'!C220+'A) Base RI'!D220</f>
        <v>358179.04000000004</v>
      </c>
      <c r="D220" s="10">
        <f>'A) Base RI'!W220</f>
        <v>-3727.83</v>
      </c>
      <c r="E220" s="390">
        <f>'A) Base RI'!X220</f>
        <v>0</v>
      </c>
      <c r="F220" s="390">
        <f>'A) Base RI'!Y220</f>
        <v>-524.70000000000005</v>
      </c>
      <c r="G220" s="394">
        <f t="shared" si="18"/>
        <v>353926.51</v>
      </c>
      <c r="H220" s="10">
        <f>+'A) Base RI'!E220</f>
        <v>0</v>
      </c>
      <c r="I220" s="10">
        <f>+'A) Base RI'!F220</f>
        <v>1120</v>
      </c>
      <c r="J220" s="10">
        <f>+'A) Base RI'!G220+'A) Base RI'!H220+'A) Base RI'!S220</f>
        <v>438.96000000000004</v>
      </c>
      <c r="K220" s="10">
        <f>+'A) Base RI'!I220</f>
        <v>0</v>
      </c>
      <c r="L220" s="10">
        <f>+'A) Base RI'!J220</f>
        <v>5624.75</v>
      </c>
      <c r="M220" s="10">
        <f>+'A) Base RI'!K220</f>
        <v>4.4000000000000004</v>
      </c>
      <c r="N220" s="10">
        <f>+'A) Base RI'!Q220</f>
        <v>2161.48</v>
      </c>
      <c r="O220" s="10">
        <f t="shared" si="19"/>
        <v>22305.833333333336</v>
      </c>
      <c r="P220" s="10">
        <f>+'A) Base RI'!L220</f>
        <v>13383.5</v>
      </c>
      <c r="Q220" s="402">
        <f>'A) Base RI'!Z220</f>
        <v>0.6</v>
      </c>
      <c r="R220" s="394">
        <f t="shared" si="20"/>
        <v>385581.93333333335</v>
      </c>
      <c r="S220" s="437">
        <f>+'A) Base RI'!U220</f>
        <v>80</v>
      </c>
      <c r="T220" s="394">
        <f t="shared" si="21"/>
        <v>362151.7</v>
      </c>
      <c r="U220" s="394">
        <f t="shared" si="22"/>
        <v>4819.774166666667</v>
      </c>
      <c r="V220" s="10">
        <f>+'A) Base RI'!O220</f>
        <v>0</v>
      </c>
      <c r="W220" s="10">
        <f>+'A) Base RI'!P220</f>
        <v>13695</v>
      </c>
      <c r="X220" s="10">
        <f>+'A) Base RI'!R220</f>
        <v>28417.7</v>
      </c>
      <c r="Y220" s="394">
        <f t="shared" si="23"/>
        <v>42112.7</v>
      </c>
      <c r="Z220" s="10">
        <f>+'A) Base RI'!N220</f>
        <v>5002.05</v>
      </c>
      <c r="AA220" s="10">
        <f>'A) Base RI'!V220</f>
        <v>182</v>
      </c>
    </row>
    <row r="221" spans="1:27" x14ac:dyDescent="0.25">
      <c r="A221" s="8">
        <f>'A) Base RI'!A221</f>
        <v>5752</v>
      </c>
      <c r="B221" s="32" t="str">
        <f>'A) Base RI'!B221</f>
        <v>Croy</v>
      </c>
      <c r="C221" s="10">
        <f>'A) Base RI'!C221+'A) Base RI'!D221</f>
        <v>677093.72</v>
      </c>
      <c r="D221" s="10">
        <f>'A) Base RI'!W221</f>
        <v>-35190.639999999999</v>
      </c>
      <c r="E221" s="390">
        <f>'A) Base RI'!X221</f>
        <v>0</v>
      </c>
      <c r="F221" s="390">
        <f>'A) Base RI'!Y221</f>
        <v>0</v>
      </c>
      <c r="G221" s="394">
        <f t="shared" si="18"/>
        <v>641903.07999999996</v>
      </c>
      <c r="H221" s="10">
        <f>+'A) Base RI'!E221</f>
        <v>0</v>
      </c>
      <c r="I221" s="10">
        <f>+'A) Base RI'!F221</f>
        <v>0</v>
      </c>
      <c r="J221" s="10">
        <f>+'A) Base RI'!G221+'A) Base RI'!H221+'A) Base RI'!S221</f>
        <v>4301.6400000000003</v>
      </c>
      <c r="K221" s="10">
        <f>+'A) Base RI'!I221</f>
        <v>0</v>
      </c>
      <c r="L221" s="10">
        <f>+'A) Base RI'!J221</f>
        <v>6413.67</v>
      </c>
      <c r="M221" s="10">
        <f>+'A) Base RI'!K221</f>
        <v>833.4</v>
      </c>
      <c r="N221" s="10">
        <f>+'A) Base RI'!Q221</f>
        <v>751</v>
      </c>
      <c r="O221" s="10">
        <f t="shared" si="19"/>
        <v>61450.857142857145</v>
      </c>
      <c r="P221" s="10">
        <f>+'A) Base RI'!L221</f>
        <v>43015.6</v>
      </c>
      <c r="Q221" s="402">
        <f>'A) Base RI'!Z221</f>
        <v>0.7</v>
      </c>
      <c r="R221" s="394">
        <f t="shared" si="20"/>
        <v>715653.6471428572</v>
      </c>
      <c r="S221" s="437">
        <f>+'A) Base RI'!U221</f>
        <v>74</v>
      </c>
      <c r="T221" s="394">
        <f t="shared" si="21"/>
        <v>653369.39</v>
      </c>
      <c r="U221" s="394">
        <f t="shared" si="22"/>
        <v>9670.9952316602321</v>
      </c>
      <c r="V221" s="10">
        <f>+'A) Base RI'!O221</f>
        <v>18.3</v>
      </c>
      <c r="W221" s="10">
        <f>+'A) Base RI'!P221</f>
        <v>8360</v>
      </c>
      <c r="X221" s="10">
        <f>+'A) Base RI'!R221</f>
        <v>11980.3</v>
      </c>
      <c r="Y221" s="394">
        <f t="shared" si="23"/>
        <v>20358.599999999999</v>
      </c>
      <c r="Z221" s="10">
        <f>+'A) Base RI'!N221</f>
        <v>30061.4</v>
      </c>
      <c r="AA221" s="10">
        <f>'A) Base RI'!V221</f>
        <v>390</v>
      </c>
    </row>
    <row r="222" spans="1:27" x14ac:dyDescent="0.25">
      <c r="A222" s="8">
        <f>'A) Base RI'!A222</f>
        <v>5754</v>
      </c>
      <c r="B222" s="32" t="str">
        <f>'A) Base RI'!B222</f>
        <v>Juriens</v>
      </c>
      <c r="C222" s="10">
        <f>'A) Base RI'!C222+'A) Base RI'!D222</f>
        <v>660188.09</v>
      </c>
      <c r="D222" s="10">
        <f>'A) Base RI'!W222</f>
        <v>-259.32</v>
      </c>
      <c r="E222" s="390">
        <f>'A) Base RI'!X222</f>
        <v>0</v>
      </c>
      <c r="F222" s="390">
        <f>'A) Base RI'!Y222</f>
        <v>0</v>
      </c>
      <c r="G222" s="394">
        <f t="shared" si="18"/>
        <v>659928.77</v>
      </c>
      <c r="H222" s="10">
        <f>+'A) Base RI'!E222</f>
        <v>0</v>
      </c>
      <c r="I222" s="10">
        <f>+'A) Base RI'!F222</f>
        <v>0</v>
      </c>
      <c r="J222" s="10">
        <f>+'A) Base RI'!G222+'A) Base RI'!H222+'A) Base RI'!S222</f>
        <v>4562.2</v>
      </c>
      <c r="K222" s="10">
        <f>+'A) Base RI'!I222</f>
        <v>0</v>
      </c>
      <c r="L222" s="10">
        <f>+'A) Base RI'!J222</f>
        <v>5914.62</v>
      </c>
      <c r="M222" s="10">
        <f>+'A) Base RI'!K222</f>
        <v>1588.5</v>
      </c>
      <c r="N222" s="10">
        <f>+'A) Base RI'!Q222</f>
        <v>789.6</v>
      </c>
      <c r="O222" s="10">
        <f t="shared" si="19"/>
        <v>44038.1</v>
      </c>
      <c r="P222" s="10">
        <f>+'A) Base RI'!L222</f>
        <v>44038.1</v>
      </c>
      <c r="Q222" s="402">
        <f>'A) Base RI'!Z222</f>
        <v>1</v>
      </c>
      <c r="R222" s="394">
        <f t="shared" si="20"/>
        <v>716821.78999999992</v>
      </c>
      <c r="S222" s="437">
        <f>+'A) Base RI'!U222</f>
        <v>79</v>
      </c>
      <c r="T222" s="394">
        <f t="shared" si="21"/>
        <v>671195.19</v>
      </c>
      <c r="U222" s="394">
        <f t="shared" si="22"/>
        <v>9073.6935443037964</v>
      </c>
      <c r="V222" s="10">
        <f>+'A) Base RI'!O222</f>
        <v>24984</v>
      </c>
      <c r="W222" s="10">
        <f>+'A) Base RI'!P222</f>
        <v>35200</v>
      </c>
      <c r="X222" s="10">
        <f>+'A) Base RI'!R222</f>
        <v>66840.149999999994</v>
      </c>
      <c r="Y222" s="394">
        <f t="shared" si="23"/>
        <v>127024.15</v>
      </c>
      <c r="Z222" s="10">
        <f>+'A) Base RI'!N222</f>
        <v>5292.65</v>
      </c>
      <c r="AA222" s="10">
        <f>'A) Base RI'!V222</f>
        <v>348</v>
      </c>
    </row>
    <row r="223" spans="1:27" x14ac:dyDescent="0.25">
      <c r="A223" s="8">
        <f>'A) Base RI'!A223</f>
        <v>5755</v>
      </c>
      <c r="B223" s="32" t="str">
        <f>'A) Base RI'!B223</f>
        <v>Lignerolle</v>
      </c>
      <c r="C223" s="10">
        <f>'A) Base RI'!C223+'A) Base RI'!D223</f>
        <v>772300.9</v>
      </c>
      <c r="D223" s="10">
        <f>'A) Base RI'!W223</f>
        <v>-33063.46</v>
      </c>
      <c r="E223" s="390">
        <f>'A) Base RI'!X223</f>
        <v>0</v>
      </c>
      <c r="F223" s="390">
        <f>'A) Base RI'!Y223</f>
        <v>-0.05</v>
      </c>
      <c r="G223" s="394">
        <f t="shared" si="18"/>
        <v>739237.39</v>
      </c>
      <c r="H223" s="10">
        <f>+'A) Base RI'!E223</f>
        <v>0</v>
      </c>
      <c r="I223" s="10">
        <f>+'A) Base RI'!F223</f>
        <v>2230</v>
      </c>
      <c r="J223" s="10">
        <f>+'A) Base RI'!G223+'A) Base RI'!H223+'A) Base RI'!S223</f>
        <v>28281.31</v>
      </c>
      <c r="K223" s="10">
        <f>+'A) Base RI'!I223</f>
        <v>0</v>
      </c>
      <c r="L223" s="10">
        <f>+'A) Base RI'!J223</f>
        <v>5448.27</v>
      </c>
      <c r="M223" s="10">
        <f>+'A) Base RI'!K223</f>
        <v>2533.1</v>
      </c>
      <c r="N223" s="10">
        <f>+'A) Base RI'!Q223</f>
        <v>2102.0100000000002</v>
      </c>
      <c r="O223" s="10">
        <f t="shared" si="19"/>
        <v>63785.285714285717</v>
      </c>
      <c r="P223" s="10">
        <f>+'A) Base RI'!L223</f>
        <v>44649.7</v>
      </c>
      <c r="Q223" s="402">
        <f>'A) Base RI'!Z223</f>
        <v>0.7</v>
      </c>
      <c r="R223" s="394">
        <f t="shared" si="20"/>
        <v>843617.36571428576</v>
      </c>
      <c r="S223" s="437">
        <f>+'A) Base RI'!U223</f>
        <v>78.5</v>
      </c>
      <c r="T223" s="394">
        <f t="shared" si="21"/>
        <v>775068.9800000001</v>
      </c>
      <c r="U223" s="394">
        <f t="shared" si="22"/>
        <v>10746.718034576888</v>
      </c>
      <c r="V223" s="10">
        <f>+'A) Base RI'!O223</f>
        <v>12975</v>
      </c>
      <c r="W223" s="10">
        <f>+'A) Base RI'!P223</f>
        <v>21937.55</v>
      </c>
      <c r="X223" s="10">
        <f>+'A) Base RI'!R223</f>
        <v>6450.15</v>
      </c>
      <c r="Y223" s="394">
        <f t="shared" si="23"/>
        <v>41362.700000000004</v>
      </c>
      <c r="Z223" s="10">
        <f>+'A) Base RI'!N223</f>
        <v>53250.85</v>
      </c>
      <c r="AA223" s="10">
        <f>'A) Base RI'!V223</f>
        <v>409</v>
      </c>
    </row>
    <row r="224" spans="1:27" x14ac:dyDescent="0.25">
      <c r="A224" s="8">
        <f>'A) Base RI'!A224</f>
        <v>5756</v>
      </c>
      <c r="B224" s="32" t="str">
        <f>'A) Base RI'!B224</f>
        <v>Montcherand</v>
      </c>
      <c r="C224" s="10">
        <f>'A) Base RI'!C224+'A) Base RI'!D224</f>
        <v>1159382.47</v>
      </c>
      <c r="D224" s="10">
        <f>'A) Base RI'!W224</f>
        <v>-15200.07</v>
      </c>
      <c r="E224" s="390">
        <f>'A) Base RI'!X224</f>
        <v>0</v>
      </c>
      <c r="F224" s="390">
        <f>'A) Base RI'!Y224</f>
        <v>-2286.56</v>
      </c>
      <c r="G224" s="394">
        <f t="shared" si="18"/>
        <v>1141895.8399999999</v>
      </c>
      <c r="H224" s="10">
        <f>+'A) Base RI'!E224</f>
        <v>0</v>
      </c>
      <c r="I224" s="10">
        <f>+'A) Base RI'!F224</f>
        <v>0</v>
      </c>
      <c r="J224" s="10">
        <f>+'A) Base RI'!G224+'A) Base RI'!H224+'A) Base RI'!S224</f>
        <v>34422.959999999999</v>
      </c>
      <c r="K224" s="10">
        <f>+'A) Base RI'!I224</f>
        <v>0</v>
      </c>
      <c r="L224" s="10">
        <f>+'A) Base RI'!J224</f>
        <v>14446.56</v>
      </c>
      <c r="M224" s="10">
        <f>+'A) Base RI'!K224</f>
        <v>-946.1</v>
      </c>
      <c r="N224" s="10">
        <f>+'A) Base RI'!Q224</f>
        <v>0</v>
      </c>
      <c r="O224" s="10">
        <f t="shared" si="19"/>
        <v>87426.5</v>
      </c>
      <c r="P224" s="10">
        <f>+'A) Base RI'!L224</f>
        <v>87426.5</v>
      </c>
      <c r="Q224" s="402">
        <f>'A) Base RI'!Z224</f>
        <v>1</v>
      </c>
      <c r="R224" s="394">
        <f t="shared" si="20"/>
        <v>1277245.7599999998</v>
      </c>
      <c r="S224" s="437">
        <f>+'A) Base RI'!U224</f>
        <v>72</v>
      </c>
      <c r="T224" s="394">
        <f t="shared" si="21"/>
        <v>1190765.3599999999</v>
      </c>
      <c r="U224" s="394">
        <f t="shared" si="22"/>
        <v>17739.52444444444</v>
      </c>
      <c r="V224" s="10">
        <f>+'A) Base RI'!O224</f>
        <v>12210.2</v>
      </c>
      <c r="W224" s="10">
        <f>+'A) Base RI'!P224</f>
        <v>12655.5</v>
      </c>
      <c r="X224" s="10">
        <f>+'A) Base RI'!R224</f>
        <v>22526.1</v>
      </c>
      <c r="Y224" s="394">
        <f t="shared" si="23"/>
        <v>47391.8</v>
      </c>
      <c r="Z224" s="10">
        <f>+'A) Base RI'!N224</f>
        <v>20910.599999999999</v>
      </c>
      <c r="AA224" s="10">
        <f>'A) Base RI'!V224</f>
        <v>502</v>
      </c>
    </row>
    <row r="225" spans="1:27" x14ac:dyDescent="0.25">
      <c r="A225" s="8">
        <f>'A) Base RI'!A225</f>
        <v>5757</v>
      </c>
      <c r="B225" s="32" t="str">
        <f>'A) Base RI'!B225</f>
        <v>Orbe</v>
      </c>
      <c r="C225" s="10">
        <f>'A) Base RI'!C225+'A) Base RI'!D225</f>
        <v>12996110.869999999</v>
      </c>
      <c r="D225" s="10">
        <f>'A) Base RI'!W225</f>
        <v>-298002.68</v>
      </c>
      <c r="E225" s="390">
        <f>'A) Base RI'!X225</f>
        <v>0</v>
      </c>
      <c r="F225" s="390">
        <f>'A) Base RI'!Y225</f>
        <v>-2591.52</v>
      </c>
      <c r="G225" s="394">
        <f t="shared" si="18"/>
        <v>12695516.67</v>
      </c>
      <c r="H225" s="10">
        <f>+'A) Base RI'!E225</f>
        <v>0</v>
      </c>
      <c r="I225" s="10">
        <f>+'A) Base RI'!F225</f>
        <v>0</v>
      </c>
      <c r="J225" s="10">
        <f>+'A) Base RI'!G225+'A) Base RI'!H225+'A) Base RI'!S225</f>
        <v>1501688.0199999998</v>
      </c>
      <c r="K225" s="10">
        <f>+'A) Base RI'!I225</f>
        <v>0</v>
      </c>
      <c r="L225" s="10">
        <f>+'A) Base RI'!J225</f>
        <v>503885.29</v>
      </c>
      <c r="M225" s="10">
        <f>+'A) Base RI'!K225</f>
        <v>102434.65</v>
      </c>
      <c r="N225" s="10">
        <f>+'A) Base RI'!Q225</f>
        <v>102711.97</v>
      </c>
      <c r="O225" s="10">
        <f t="shared" si="19"/>
        <v>1415717.55</v>
      </c>
      <c r="P225" s="10">
        <f>+'A) Base RI'!L225</f>
        <v>1415717.55</v>
      </c>
      <c r="Q225" s="402">
        <f>'A) Base RI'!Z225</f>
        <v>1</v>
      </c>
      <c r="R225" s="394">
        <f t="shared" si="20"/>
        <v>16321954.15</v>
      </c>
      <c r="S225" s="437">
        <f>+'A) Base RI'!U225</f>
        <v>75.5</v>
      </c>
      <c r="T225" s="394">
        <f t="shared" si="21"/>
        <v>14803801.949999999</v>
      </c>
      <c r="U225" s="394">
        <f t="shared" si="22"/>
        <v>216184.82317880794</v>
      </c>
      <c r="V225" s="10">
        <f>+'A) Base RI'!O225</f>
        <v>20485.099999999999</v>
      </c>
      <c r="W225" s="10">
        <f>+'A) Base RI'!P225</f>
        <v>971488.65</v>
      </c>
      <c r="X225" s="10">
        <f>+'A) Base RI'!R225</f>
        <v>379666.35</v>
      </c>
      <c r="Y225" s="394">
        <f t="shared" si="23"/>
        <v>1371640.1</v>
      </c>
      <c r="Z225" s="10">
        <f>+'A) Base RI'!N225</f>
        <v>3266196.25</v>
      </c>
      <c r="AA225" s="10">
        <f>'A) Base RI'!V225</f>
        <v>7570</v>
      </c>
    </row>
    <row r="226" spans="1:27" x14ac:dyDescent="0.25">
      <c r="A226" s="8">
        <f>'A) Base RI'!A226</f>
        <v>5758</v>
      </c>
      <c r="B226" s="32" t="str">
        <f>'A) Base RI'!B226</f>
        <v>La Praz</v>
      </c>
      <c r="C226" s="10">
        <f>'A) Base RI'!C226+'A) Base RI'!D226</f>
        <v>358713.89</v>
      </c>
      <c r="D226" s="10">
        <f>'A) Base RI'!W226</f>
        <v>-3326.73</v>
      </c>
      <c r="E226" s="390">
        <f>'A) Base RI'!X226</f>
        <v>0</v>
      </c>
      <c r="F226" s="390">
        <f>'A) Base RI'!Y226</f>
        <v>-275.73</v>
      </c>
      <c r="G226" s="394">
        <f t="shared" si="18"/>
        <v>355111.43000000005</v>
      </c>
      <c r="H226" s="10">
        <f>+'A) Base RI'!E226</f>
        <v>0</v>
      </c>
      <c r="I226" s="10">
        <f>+'A) Base RI'!F226</f>
        <v>1100</v>
      </c>
      <c r="J226" s="10">
        <f>+'A) Base RI'!G226+'A) Base RI'!H226+'A) Base RI'!S226</f>
        <v>5398.93</v>
      </c>
      <c r="K226" s="10">
        <f>+'A) Base RI'!I226</f>
        <v>0</v>
      </c>
      <c r="L226" s="10">
        <f>+'A) Base RI'!J226</f>
        <v>6151.03</v>
      </c>
      <c r="M226" s="10">
        <f>+'A) Base RI'!K226</f>
        <v>0</v>
      </c>
      <c r="N226" s="10">
        <f>+'A) Base RI'!Q226</f>
        <v>0</v>
      </c>
      <c r="O226" s="10">
        <f t="shared" si="19"/>
        <v>28303.5</v>
      </c>
      <c r="P226" s="10">
        <f>+'A) Base RI'!L226</f>
        <v>25473.15</v>
      </c>
      <c r="Q226" s="402">
        <f>'A) Base RI'!Z226</f>
        <v>0.9</v>
      </c>
      <c r="R226" s="394">
        <f t="shared" si="20"/>
        <v>396064.89000000007</v>
      </c>
      <c r="S226" s="437">
        <f>+'A) Base RI'!U226</f>
        <v>83</v>
      </c>
      <c r="T226" s="394">
        <f t="shared" si="21"/>
        <v>366661.39000000007</v>
      </c>
      <c r="U226" s="394">
        <f t="shared" si="22"/>
        <v>4771.8661445783146</v>
      </c>
      <c r="V226" s="10">
        <f>+'A) Base RI'!O226</f>
        <v>0</v>
      </c>
      <c r="W226" s="10">
        <f>+'A) Base RI'!P226</f>
        <v>12752.15</v>
      </c>
      <c r="X226" s="10">
        <f>+'A) Base RI'!R226</f>
        <v>29904.9</v>
      </c>
      <c r="Y226" s="394">
        <f t="shared" si="23"/>
        <v>42657.05</v>
      </c>
      <c r="Z226" s="10">
        <f>+'A) Base RI'!N226</f>
        <v>1860.55</v>
      </c>
      <c r="AA226" s="10">
        <f>'A) Base RI'!V226</f>
        <v>182</v>
      </c>
    </row>
    <row r="227" spans="1:27" x14ac:dyDescent="0.25">
      <c r="A227" s="8">
        <f>'A) Base RI'!A227</f>
        <v>5759</v>
      </c>
      <c r="B227" s="32" t="str">
        <f>'A) Base RI'!B227</f>
        <v>Premier</v>
      </c>
      <c r="C227" s="10">
        <f>'A) Base RI'!C227+'A) Base RI'!D227</f>
        <v>432483.76</v>
      </c>
      <c r="D227" s="10">
        <f>'A) Base RI'!W227</f>
        <v>-1373.78</v>
      </c>
      <c r="E227" s="390">
        <f>'A) Base RI'!X227</f>
        <v>0</v>
      </c>
      <c r="F227" s="390">
        <f>'A) Base RI'!Y227</f>
        <v>-172.25</v>
      </c>
      <c r="G227" s="394">
        <f t="shared" si="18"/>
        <v>430937.73</v>
      </c>
      <c r="H227" s="10">
        <f>+'A) Base RI'!E227</f>
        <v>0</v>
      </c>
      <c r="I227" s="10">
        <f>+'A) Base RI'!F227</f>
        <v>0</v>
      </c>
      <c r="J227" s="10">
        <f>+'A) Base RI'!G227+'A) Base RI'!H227+'A) Base RI'!S227</f>
        <v>2051.41</v>
      </c>
      <c r="K227" s="10">
        <f>+'A) Base RI'!I227</f>
        <v>0</v>
      </c>
      <c r="L227" s="10">
        <f>+'A) Base RI'!J227</f>
        <v>3014.22</v>
      </c>
      <c r="M227" s="10">
        <f>+'A) Base RI'!K227</f>
        <v>242.95</v>
      </c>
      <c r="N227" s="10">
        <f>+'A) Base RI'!Q227</f>
        <v>764.54</v>
      </c>
      <c r="O227" s="10">
        <f t="shared" si="19"/>
        <v>32043.7</v>
      </c>
      <c r="P227" s="10">
        <f>+'A) Base RI'!L227</f>
        <v>32043.7</v>
      </c>
      <c r="Q227" s="402">
        <f>'A) Base RI'!Z227</f>
        <v>1</v>
      </c>
      <c r="R227" s="394">
        <f t="shared" si="20"/>
        <v>469054.54999999993</v>
      </c>
      <c r="S227" s="437">
        <f>+'A) Base RI'!U227</f>
        <v>79.5</v>
      </c>
      <c r="T227" s="394">
        <f t="shared" si="21"/>
        <v>436767.89999999991</v>
      </c>
      <c r="U227" s="394">
        <f t="shared" si="22"/>
        <v>5900.0572327044019</v>
      </c>
      <c r="V227" s="10">
        <f>+'A) Base RI'!O227</f>
        <v>0</v>
      </c>
      <c r="W227" s="10">
        <f>+'A) Base RI'!P227</f>
        <v>0</v>
      </c>
      <c r="X227" s="10">
        <f>+'A) Base RI'!R227</f>
        <v>0</v>
      </c>
      <c r="Y227" s="394">
        <f t="shared" si="23"/>
        <v>0</v>
      </c>
      <c r="Z227" s="10">
        <f>+'A) Base RI'!N227</f>
        <v>4410.6499999999996</v>
      </c>
      <c r="AA227" s="10">
        <f>'A) Base RI'!V227</f>
        <v>232</v>
      </c>
    </row>
    <row r="228" spans="1:27" x14ac:dyDescent="0.25">
      <c r="A228" s="8">
        <f>'A) Base RI'!A228</f>
        <v>5760</v>
      </c>
      <c r="B228" s="32" t="str">
        <f>'A) Base RI'!B228</f>
        <v>Rances</v>
      </c>
      <c r="C228" s="10">
        <f>'A) Base RI'!C228+'A) Base RI'!D228</f>
        <v>1021641.52</v>
      </c>
      <c r="D228" s="10">
        <f>'A) Base RI'!W228</f>
        <v>-21935.22</v>
      </c>
      <c r="E228" s="390">
        <f>'A) Base RI'!X228</f>
        <v>0</v>
      </c>
      <c r="F228" s="390">
        <f>'A) Base RI'!Y228</f>
        <v>-1752.3</v>
      </c>
      <c r="G228" s="394">
        <f t="shared" si="18"/>
        <v>997954</v>
      </c>
      <c r="H228" s="10">
        <f>+'A) Base RI'!E228</f>
        <v>0</v>
      </c>
      <c r="I228" s="10">
        <f>+'A) Base RI'!F228</f>
        <v>0</v>
      </c>
      <c r="J228" s="10">
        <f>+'A) Base RI'!G228+'A) Base RI'!H228+'A) Base RI'!S228</f>
        <v>24664.710000000003</v>
      </c>
      <c r="K228" s="10">
        <f>+'A) Base RI'!I228</f>
        <v>0</v>
      </c>
      <c r="L228" s="10">
        <f>+'A) Base RI'!J228</f>
        <v>3150.73</v>
      </c>
      <c r="M228" s="10">
        <f>+'A) Base RI'!K228</f>
        <v>0</v>
      </c>
      <c r="N228" s="10">
        <f>+'A) Base RI'!Q228</f>
        <v>0</v>
      </c>
      <c r="O228" s="10">
        <f t="shared" si="19"/>
        <v>82095.333333333328</v>
      </c>
      <c r="P228" s="10">
        <f>+'A) Base RI'!L228</f>
        <v>123143</v>
      </c>
      <c r="Q228" s="402">
        <f>'A) Base RI'!Z228</f>
        <v>1.5</v>
      </c>
      <c r="R228" s="394">
        <f t="shared" si="20"/>
        <v>1107864.7733333332</v>
      </c>
      <c r="S228" s="437">
        <f>+'A) Base RI'!U228</f>
        <v>76.5</v>
      </c>
      <c r="T228" s="394">
        <f t="shared" si="21"/>
        <v>1025769.44</v>
      </c>
      <c r="U228" s="394">
        <f t="shared" si="22"/>
        <v>14481.892461873636</v>
      </c>
      <c r="V228" s="10">
        <f>+'A) Base RI'!O228</f>
        <v>0</v>
      </c>
      <c r="W228" s="10">
        <f>+'A) Base RI'!P228</f>
        <v>53108</v>
      </c>
      <c r="X228" s="10">
        <f>+'A) Base RI'!R228</f>
        <v>38755.65</v>
      </c>
      <c r="Y228" s="394">
        <f t="shared" si="23"/>
        <v>91863.65</v>
      </c>
      <c r="Z228" s="10">
        <f>+'A) Base RI'!N228</f>
        <v>34603.35</v>
      </c>
      <c r="AA228" s="10">
        <f>'A) Base RI'!V228</f>
        <v>512</v>
      </c>
    </row>
    <row r="229" spans="1:27" x14ac:dyDescent="0.25">
      <c r="A229" s="8">
        <f>'A) Base RI'!A229</f>
        <v>5761</v>
      </c>
      <c r="B229" s="32" t="str">
        <f>'A) Base RI'!B229</f>
        <v>Romainmôtier-Envy</v>
      </c>
      <c r="C229" s="10">
        <f>'A) Base RI'!C229+'A) Base RI'!D229</f>
        <v>942641.01</v>
      </c>
      <c r="D229" s="10">
        <f>'A) Base RI'!W229</f>
        <v>-14114.64</v>
      </c>
      <c r="E229" s="390">
        <f>'A) Base RI'!X229</f>
        <v>0</v>
      </c>
      <c r="F229" s="390">
        <f>'A) Base RI'!Y229</f>
        <v>-83.6</v>
      </c>
      <c r="G229" s="394">
        <f t="shared" si="18"/>
        <v>928442.77</v>
      </c>
      <c r="H229" s="10">
        <f>+'A) Base RI'!E229</f>
        <v>0</v>
      </c>
      <c r="I229" s="10">
        <f>+'A) Base RI'!F229</f>
        <v>0</v>
      </c>
      <c r="J229" s="10">
        <f>+'A) Base RI'!G229+'A) Base RI'!H229+'A) Base RI'!S229</f>
        <v>14250.919999999998</v>
      </c>
      <c r="K229" s="10">
        <f>+'A) Base RI'!I229</f>
        <v>0</v>
      </c>
      <c r="L229" s="10">
        <f>+'A) Base RI'!J229</f>
        <v>9440.07</v>
      </c>
      <c r="M229" s="10">
        <f>+'A) Base RI'!K229</f>
        <v>6593.8</v>
      </c>
      <c r="N229" s="10">
        <f>+'A) Base RI'!Q229</f>
        <v>2530.39</v>
      </c>
      <c r="O229" s="10">
        <f t="shared" si="19"/>
        <v>84774.818181818177</v>
      </c>
      <c r="P229" s="10">
        <f>+'A) Base RI'!L229</f>
        <v>93252.3</v>
      </c>
      <c r="Q229" s="402">
        <f>'A) Base RI'!Z229</f>
        <v>1.1000000000000001</v>
      </c>
      <c r="R229" s="394">
        <f t="shared" si="20"/>
        <v>1046032.7681818183</v>
      </c>
      <c r="S229" s="437">
        <f>+'A) Base RI'!U229</f>
        <v>81</v>
      </c>
      <c r="T229" s="394">
        <f t="shared" si="21"/>
        <v>954664.15</v>
      </c>
      <c r="U229" s="394">
        <f t="shared" si="22"/>
        <v>12913.984792368126</v>
      </c>
      <c r="V229" s="10">
        <f>+'A) Base RI'!O229</f>
        <v>0</v>
      </c>
      <c r="W229" s="10">
        <f>+'A) Base RI'!P229</f>
        <v>109791</v>
      </c>
      <c r="X229" s="10">
        <f>+'A) Base RI'!R229</f>
        <v>40738.300000000003</v>
      </c>
      <c r="Y229" s="394">
        <f t="shared" si="23"/>
        <v>150529.29999999999</v>
      </c>
      <c r="Z229" s="10">
        <f>+'A) Base RI'!N229</f>
        <v>67027.600000000006</v>
      </c>
      <c r="AA229" s="10">
        <f>'A) Base RI'!V229</f>
        <v>551</v>
      </c>
    </row>
    <row r="230" spans="1:27" x14ac:dyDescent="0.25">
      <c r="A230" s="8">
        <f>'A) Base RI'!A230</f>
        <v>5762</v>
      </c>
      <c r="B230" s="32" t="str">
        <f>'A) Base RI'!B230</f>
        <v>Sergey</v>
      </c>
      <c r="C230" s="10">
        <f>'A) Base RI'!C230+'A) Base RI'!D230</f>
        <v>276000.64000000001</v>
      </c>
      <c r="D230" s="10">
        <f>'A) Base RI'!W230</f>
        <v>-69.739999999999995</v>
      </c>
      <c r="E230" s="390">
        <f>'A) Base RI'!X230</f>
        <v>0</v>
      </c>
      <c r="F230" s="390">
        <f>'A) Base RI'!Y230</f>
        <v>0</v>
      </c>
      <c r="G230" s="394">
        <f t="shared" si="18"/>
        <v>275930.90000000002</v>
      </c>
      <c r="H230" s="10">
        <f>+'A) Base RI'!E230</f>
        <v>0</v>
      </c>
      <c r="I230" s="10">
        <f>+'A) Base RI'!F230</f>
        <v>0</v>
      </c>
      <c r="J230" s="10">
        <f>+'A) Base RI'!G230+'A) Base RI'!H230+'A) Base RI'!S230</f>
        <v>2827.41</v>
      </c>
      <c r="K230" s="10">
        <f>+'A) Base RI'!I230</f>
        <v>0</v>
      </c>
      <c r="L230" s="10">
        <f>+'A) Base RI'!J230</f>
        <v>0</v>
      </c>
      <c r="M230" s="10">
        <f>+'A) Base RI'!K230</f>
        <v>191.55</v>
      </c>
      <c r="N230" s="10">
        <f>+'A) Base RI'!Q230</f>
        <v>0</v>
      </c>
      <c r="O230" s="10">
        <f t="shared" si="19"/>
        <v>21321.15</v>
      </c>
      <c r="P230" s="10">
        <f>+'A) Base RI'!L230</f>
        <v>21321.15</v>
      </c>
      <c r="Q230" s="402">
        <f>'A) Base RI'!Z230</f>
        <v>1</v>
      </c>
      <c r="R230" s="394">
        <f t="shared" si="20"/>
        <v>300271.01</v>
      </c>
      <c r="S230" s="437">
        <f>+'A) Base RI'!U230</f>
        <v>78</v>
      </c>
      <c r="T230" s="394">
        <f t="shared" si="21"/>
        <v>278758.31</v>
      </c>
      <c r="U230" s="394">
        <f t="shared" si="22"/>
        <v>3849.6283333333336</v>
      </c>
      <c r="V230" s="10">
        <f>+'A) Base RI'!O230</f>
        <v>0</v>
      </c>
      <c r="W230" s="10">
        <f>+'A) Base RI'!P230</f>
        <v>0</v>
      </c>
      <c r="X230" s="10">
        <f>+'A) Base RI'!R230</f>
        <v>0</v>
      </c>
      <c r="Y230" s="394">
        <f t="shared" si="23"/>
        <v>0</v>
      </c>
      <c r="Z230" s="10">
        <f>+'A) Base RI'!N230</f>
        <v>12165.4</v>
      </c>
      <c r="AA230" s="10">
        <f>'A) Base RI'!V230</f>
        <v>141</v>
      </c>
    </row>
    <row r="231" spans="1:27" x14ac:dyDescent="0.25">
      <c r="A231" s="8">
        <f>'A) Base RI'!A231</f>
        <v>5763</v>
      </c>
      <c r="B231" s="32" t="str">
        <f>'A) Base RI'!B231</f>
        <v>Valeyres-sous-Rances</v>
      </c>
      <c r="C231" s="10">
        <f>'A) Base RI'!C231+'A) Base RI'!D231</f>
        <v>1398704.89</v>
      </c>
      <c r="D231" s="10">
        <f>'A) Base RI'!W231</f>
        <v>-6356.74</v>
      </c>
      <c r="E231" s="390">
        <f>'A) Base RI'!X231</f>
        <v>0</v>
      </c>
      <c r="F231" s="390">
        <f>'A) Base RI'!Y231</f>
        <v>-468.94</v>
      </c>
      <c r="G231" s="394">
        <f t="shared" si="18"/>
        <v>1391879.21</v>
      </c>
      <c r="H231" s="10">
        <f>+'A) Base RI'!E231</f>
        <v>0</v>
      </c>
      <c r="I231" s="10">
        <f>+'A) Base RI'!F231</f>
        <v>3270</v>
      </c>
      <c r="J231" s="10">
        <f>+'A) Base RI'!G231+'A) Base RI'!H231+'A) Base RI'!S231</f>
        <v>31617.200000000001</v>
      </c>
      <c r="K231" s="10">
        <f>+'A) Base RI'!I231</f>
        <v>0</v>
      </c>
      <c r="L231" s="10">
        <f>+'A) Base RI'!J231</f>
        <v>17906.5</v>
      </c>
      <c r="M231" s="10">
        <f>+'A) Base RI'!K231</f>
        <v>4048.15</v>
      </c>
      <c r="N231" s="10">
        <f>+'A) Base RI'!Q231</f>
        <v>1584.64</v>
      </c>
      <c r="O231" s="10">
        <f t="shared" si="19"/>
        <v>90844.5</v>
      </c>
      <c r="P231" s="10">
        <f>+'A) Base RI'!L231</f>
        <v>90844.5</v>
      </c>
      <c r="Q231" s="402">
        <f>'A) Base RI'!Z231</f>
        <v>1</v>
      </c>
      <c r="R231" s="394">
        <f t="shared" si="20"/>
        <v>1541150.1999999997</v>
      </c>
      <c r="S231" s="437">
        <f>+'A) Base RI'!U231</f>
        <v>68</v>
      </c>
      <c r="T231" s="394">
        <f t="shared" si="21"/>
        <v>1442987.5499999998</v>
      </c>
      <c r="U231" s="394">
        <f t="shared" si="22"/>
        <v>22663.97352941176</v>
      </c>
      <c r="V231" s="10">
        <f>+'A) Base RI'!O231</f>
        <v>0</v>
      </c>
      <c r="W231" s="10">
        <f>+'A) Base RI'!P231</f>
        <v>16216.05</v>
      </c>
      <c r="X231" s="10">
        <f>+'A) Base RI'!R231</f>
        <v>10651.8</v>
      </c>
      <c r="Y231" s="394">
        <f t="shared" si="23"/>
        <v>26867.85</v>
      </c>
      <c r="Z231" s="10">
        <f>+'A) Base RI'!N231</f>
        <v>33568.9</v>
      </c>
      <c r="AA231" s="10">
        <f>'A) Base RI'!V231</f>
        <v>614</v>
      </c>
    </row>
    <row r="232" spans="1:27" x14ac:dyDescent="0.25">
      <c r="A232" s="8">
        <f>'A) Base RI'!A232</f>
        <v>5764</v>
      </c>
      <c r="B232" s="32" t="str">
        <f>'A) Base RI'!B232</f>
        <v>Vallorbe</v>
      </c>
      <c r="C232" s="10">
        <f>'A) Base RI'!C232+'A) Base RI'!D232</f>
        <v>5125663.05</v>
      </c>
      <c r="D232" s="10">
        <f>'A) Base RI'!W232</f>
        <v>-219535.31</v>
      </c>
      <c r="E232" s="390">
        <f>'A) Base RI'!X232</f>
        <v>0</v>
      </c>
      <c r="F232" s="390">
        <f>'A) Base RI'!Y232</f>
        <v>-977.23</v>
      </c>
      <c r="G232" s="394">
        <f t="shared" si="18"/>
        <v>4905150.51</v>
      </c>
      <c r="H232" s="10">
        <f>+'A) Base RI'!E232</f>
        <v>0</v>
      </c>
      <c r="I232" s="10">
        <f>+'A) Base RI'!F232</f>
        <v>0</v>
      </c>
      <c r="J232" s="10">
        <f>+'A) Base RI'!G232+'A) Base RI'!H232+'A) Base RI'!S232</f>
        <v>248472.09</v>
      </c>
      <c r="K232" s="10">
        <f>+'A) Base RI'!I232</f>
        <v>0</v>
      </c>
      <c r="L232" s="10">
        <f>+'A) Base RI'!J232</f>
        <v>225664.27</v>
      </c>
      <c r="M232" s="10">
        <f>+'A) Base RI'!K232</f>
        <v>36099.75</v>
      </c>
      <c r="N232" s="10">
        <f>+'A) Base RI'!Q232</f>
        <v>93962.65</v>
      </c>
      <c r="O232" s="10">
        <f t="shared" si="19"/>
        <v>473941.1</v>
      </c>
      <c r="P232" s="10">
        <f>+'A) Base RI'!L232</f>
        <v>473941.1</v>
      </c>
      <c r="Q232" s="402">
        <f>'A) Base RI'!Z232</f>
        <v>1</v>
      </c>
      <c r="R232" s="394">
        <f t="shared" si="20"/>
        <v>5983290.3699999992</v>
      </c>
      <c r="S232" s="437">
        <f>+'A) Base RI'!U232</f>
        <v>71.5</v>
      </c>
      <c r="T232" s="394">
        <f t="shared" si="21"/>
        <v>5473249.5199999996</v>
      </c>
      <c r="U232" s="394">
        <f t="shared" si="22"/>
        <v>83682.382797202779</v>
      </c>
      <c r="V232" s="10">
        <f>+'A) Base RI'!O232</f>
        <v>14462</v>
      </c>
      <c r="W232" s="10">
        <f>+'A) Base RI'!P232</f>
        <v>264458.65000000002</v>
      </c>
      <c r="X232" s="10">
        <f>+'A) Base RI'!R232</f>
        <v>180308.7</v>
      </c>
      <c r="Y232" s="394">
        <f t="shared" si="23"/>
        <v>459229.35000000003</v>
      </c>
      <c r="Z232" s="10">
        <f>+'A) Base RI'!N232</f>
        <v>2206248.75</v>
      </c>
      <c r="AA232" s="10">
        <f>'A) Base RI'!V232</f>
        <v>3924</v>
      </c>
    </row>
    <row r="233" spans="1:27" x14ac:dyDescent="0.25">
      <c r="A233" s="8">
        <f>'A) Base RI'!A233</f>
        <v>5765</v>
      </c>
      <c r="B233" s="32" t="str">
        <f>'A) Base RI'!B233</f>
        <v>Vaulion</v>
      </c>
      <c r="C233" s="10">
        <f>'A) Base RI'!C233+'A) Base RI'!D233</f>
        <v>741965.09</v>
      </c>
      <c r="D233" s="10">
        <f>'A) Base RI'!W233</f>
        <v>-32350.36</v>
      </c>
      <c r="E233" s="390">
        <f>'A) Base RI'!X233</f>
        <v>0</v>
      </c>
      <c r="F233" s="390">
        <f>'A) Base RI'!Y233</f>
        <v>-11.32</v>
      </c>
      <c r="G233" s="394">
        <f t="shared" si="18"/>
        <v>709603.41</v>
      </c>
      <c r="H233" s="10">
        <f>+'A) Base RI'!E233</f>
        <v>0</v>
      </c>
      <c r="I233" s="10">
        <f>+'A) Base RI'!F233</f>
        <v>0</v>
      </c>
      <c r="J233" s="10">
        <f>+'A) Base RI'!G233+'A) Base RI'!H233+'A) Base RI'!S233</f>
        <v>22524.41</v>
      </c>
      <c r="K233" s="10">
        <f>+'A) Base RI'!I233</f>
        <v>0</v>
      </c>
      <c r="L233" s="10">
        <f>+'A) Base RI'!J233</f>
        <v>9790.44</v>
      </c>
      <c r="M233" s="10">
        <f>+'A) Base RI'!K233</f>
        <v>0</v>
      </c>
      <c r="N233" s="10">
        <f>+'A) Base RI'!Q233</f>
        <v>25491.74</v>
      </c>
      <c r="O233" s="10">
        <f t="shared" si="19"/>
        <v>65227.8</v>
      </c>
      <c r="P233" s="10">
        <f>+'A) Base RI'!L233</f>
        <v>32613.9</v>
      </c>
      <c r="Q233" s="402">
        <f>'A) Base RI'!Z233</f>
        <v>0.5</v>
      </c>
      <c r="R233" s="394">
        <f t="shared" si="20"/>
        <v>832637.8</v>
      </c>
      <c r="S233" s="437">
        <f>+'A) Base RI'!U233</f>
        <v>81</v>
      </c>
      <c r="T233" s="394">
        <f t="shared" si="21"/>
        <v>767410</v>
      </c>
      <c r="U233" s="394">
        <f t="shared" si="22"/>
        <v>10279.479012345679</v>
      </c>
      <c r="V233" s="10">
        <f>+'A) Base RI'!O233</f>
        <v>1782</v>
      </c>
      <c r="W233" s="10">
        <f>+'A) Base RI'!P233</f>
        <v>42886.1</v>
      </c>
      <c r="X233" s="10">
        <f>+'A) Base RI'!R233</f>
        <v>24421.15</v>
      </c>
      <c r="Y233" s="394">
        <f t="shared" si="23"/>
        <v>69089.25</v>
      </c>
      <c r="Z233" s="10">
        <f>+'A) Base RI'!N233</f>
        <v>51234.400000000001</v>
      </c>
      <c r="AA233" s="10">
        <f>'A) Base RI'!V233</f>
        <v>492</v>
      </c>
    </row>
    <row r="234" spans="1:27" x14ac:dyDescent="0.25">
      <c r="A234" s="8">
        <f>'A) Base RI'!A234</f>
        <v>5766</v>
      </c>
      <c r="B234" s="32" t="str">
        <f>'A) Base RI'!B234</f>
        <v>Vuiteboeuf</v>
      </c>
      <c r="C234" s="10">
        <f>'A) Base RI'!C234+'A) Base RI'!D234</f>
        <v>1046208.1699999999</v>
      </c>
      <c r="D234" s="10">
        <f>'A) Base RI'!W234</f>
        <v>-7221.79</v>
      </c>
      <c r="E234" s="390">
        <f>'A) Base RI'!X234</f>
        <v>0</v>
      </c>
      <c r="F234" s="390">
        <f>'A) Base RI'!Y234</f>
        <v>-56.39</v>
      </c>
      <c r="G234" s="394">
        <f t="shared" si="18"/>
        <v>1038929.9899999999</v>
      </c>
      <c r="H234" s="10">
        <f>+'A) Base RI'!E234</f>
        <v>0</v>
      </c>
      <c r="I234" s="10">
        <f>+'A) Base RI'!F234</f>
        <v>3770</v>
      </c>
      <c r="J234" s="10">
        <f>+'A) Base RI'!G234+'A) Base RI'!H234+'A) Base RI'!S234</f>
        <v>8388.1</v>
      </c>
      <c r="K234" s="10">
        <f>+'A) Base RI'!I234</f>
        <v>0</v>
      </c>
      <c r="L234" s="10">
        <f>+'A) Base RI'!J234</f>
        <v>33734.78</v>
      </c>
      <c r="M234" s="10">
        <f>+'A) Base RI'!K234</f>
        <v>-3890.85</v>
      </c>
      <c r="N234" s="10">
        <f>+'A) Base RI'!Q234</f>
        <v>638.48</v>
      </c>
      <c r="O234" s="10">
        <f t="shared" si="19"/>
        <v>84987.14285714287</v>
      </c>
      <c r="P234" s="10">
        <f>+'A) Base RI'!L234</f>
        <v>59491</v>
      </c>
      <c r="Q234" s="402">
        <f>'A) Base RI'!Z234</f>
        <v>0.7</v>
      </c>
      <c r="R234" s="394">
        <f t="shared" si="20"/>
        <v>1166557.6428571427</v>
      </c>
      <c r="S234" s="437">
        <f>+'A) Base RI'!U234</f>
        <v>75</v>
      </c>
      <c r="T234" s="394">
        <f t="shared" si="21"/>
        <v>1081691.3499999999</v>
      </c>
      <c r="U234" s="394">
        <f t="shared" si="22"/>
        <v>15554.101904761903</v>
      </c>
      <c r="V234" s="10">
        <f>+'A) Base RI'!O234</f>
        <v>0</v>
      </c>
      <c r="W234" s="10">
        <f>+'A) Base RI'!P234</f>
        <v>28165.7</v>
      </c>
      <c r="X234" s="10">
        <f>+'A) Base RI'!R234</f>
        <v>57992</v>
      </c>
      <c r="Y234" s="394">
        <f t="shared" si="23"/>
        <v>86157.7</v>
      </c>
      <c r="Z234" s="10">
        <f>+'A) Base RI'!N234</f>
        <v>29394.75</v>
      </c>
      <c r="AA234" s="10">
        <f>'A) Base RI'!V234</f>
        <v>591</v>
      </c>
    </row>
    <row r="235" spans="1:27" x14ac:dyDescent="0.25">
      <c r="A235" s="8">
        <f>'A) Base RI'!A235</f>
        <v>5785</v>
      </c>
      <c r="B235" s="32" t="str">
        <f>'A) Base RI'!B235</f>
        <v>Corcelles-le-Jorat</v>
      </c>
      <c r="C235" s="10">
        <f>'A) Base RI'!C235+'A) Base RI'!D235</f>
        <v>1007776.1799999999</v>
      </c>
      <c r="D235" s="10">
        <f>'A) Base RI'!W235</f>
        <v>-20850.54</v>
      </c>
      <c r="E235" s="390">
        <f>'A) Base RI'!X235</f>
        <v>0</v>
      </c>
      <c r="F235" s="390">
        <f>'A) Base RI'!Y235</f>
        <v>-621.45000000000005</v>
      </c>
      <c r="G235" s="394">
        <f t="shared" si="18"/>
        <v>986304.19</v>
      </c>
      <c r="H235" s="10">
        <f>+'A) Base RI'!E235</f>
        <v>0</v>
      </c>
      <c r="I235" s="10">
        <f>+'A) Base RI'!F235</f>
        <v>0</v>
      </c>
      <c r="J235" s="10">
        <f>+'A) Base RI'!G235+'A) Base RI'!H235+'A) Base RI'!S235</f>
        <v>22541.39</v>
      </c>
      <c r="K235" s="10">
        <f>+'A) Base RI'!I235</f>
        <v>0</v>
      </c>
      <c r="L235" s="10">
        <f>+'A) Base RI'!J235</f>
        <v>30363.09</v>
      </c>
      <c r="M235" s="10">
        <f>+'A) Base RI'!K235</f>
        <v>1577.1</v>
      </c>
      <c r="N235" s="10">
        <f>+'A) Base RI'!Q235</f>
        <v>6050.33</v>
      </c>
      <c r="O235" s="10">
        <f t="shared" si="19"/>
        <v>75819.350000000006</v>
      </c>
      <c r="P235" s="10">
        <f>+'A) Base RI'!L235</f>
        <v>75819.350000000006</v>
      </c>
      <c r="Q235" s="402">
        <f>'A) Base RI'!Z235</f>
        <v>1</v>
      </c>
      <c r="R235" s="394">
        <f t="shared" si="20"/>
        <v>1122655.45</v>
      </c>
      <c r="S235" s="437">
        <f>+'A) Base RI'!U235</f>
        <v>77</v>
      </c>
      <c r="T235" s="394">
        <f t="shared" si="21"/>
        <v>1045258.9999999999</v>
      </c>
      <c r="U235" s="394">
        <f t="shared" si="22"/>
        <v>14579.940909090908</v>
      </c>
      <c r="V235" s="10">
        <f>+'A) Base RI'!O235</f>
        <v>-2728.8</v>
      </c>
      <c r="W235" s="10">
        <f>+'A) Base RI'!P235</f>
        <v>39548.5</v>
      </c>
      <c r="X235" s="10">
        <f>+'A) Base RI'!R235</f>
        <v>39085.1</v>
      </c>
      <c r="Y235" s="394">
        <f t="shared" si="23"/>
        <v>75904.799999999988</v>
      </c>
      <c r="Z235" s="10">
        <f>+'A) Base RI'!N235</f>
        <v>0</v>
      </c>
      <c r="AA235" s="10">
        <f>'A) Base RI'!V235</f>
        <v>489</v>
      </c>
    </row>
    <row r="236" spans="1:27" x14ac:dyDescent="0.25">
      <c r="A236" s="8">
        <f>'A) Base RI'!A236</f>
        <v>5788</v>
      </c>
      <c r="B236" s="32" t="str">
        <f>'A) Base RI'!B236</f>
        <v>Essertes</v>
      </c>
      <c r="C236" s="10">
        <f>'A) Base RI'!C236+'A) Base RI'!D236</f>
        <v>836191.69</v>
      </c>
      <c r="D236" s="10">
        <f>'A) Base RI'!W236</f>
        <v>-15837.16</v>
      </c>
      <c r="E236" s="390">
        <f>'A) Base RI'!X236</f>
        <v>0</v>
      </c>
      <c r="F236" s="390">
        <f>'A) Base RI'!Y236</f>
        <v>-120.35</v>
      </c>
      <c r="G236" s="394">
        <f t="shared" si="18"/>
        <v>820234.17999999993</v>
      </c>
      <c r="H236" s="10">
        <f>+'A) Base RI'!E236</f>
        <v>0</v>
      </c>
      <c r="I236" s="10">
        <f>+'A) Base RI'!F236</f>
        <v>0</v>
      </c>
      <c r="J236" s="10">
        <f>+'A) Base RI'!G236+'A) Base RI'!H236+'A) Base RI'!S236</f>
        <v>6522.83</v>
      </c>
      <c r="K236" s="10">
        <f>+'A) Base RI'!I236</f>
        <v>0</v>
      </c>
      <c r="L236" s="10">
        <f>+'A) Base RI'!J236</f>
        <v>25625.35</v>
      </c>
      <c r="M236" s="10">
        <f>+'A) Base RI'!K236</f>
        <v>4569</v>
      </c>
      <c r="N236" s="10">
        <f>+'A) Base RI'!Q236</f>
        <v>0</v>
      </c>
      <c r="O236" s="10">
        <f t="shared" si="19"/>
        <v>95067.64</v>
      </c>
      <c r="P236" s="10">
        <f>+'A) Base RI'!L236</f>
        <v>118834.55</v>
      </c>
      <c r="Q236" s="402">
        <f>'A) Base RI'!Z236</f>
        <v>1.25</v>
      </c>
      <c r="R236" s="394">
        <f t="shared" si="20"/>
        <v>952018.99999999988</v>
      </c>
      <c r="S236" s="437">
        <f>+'A) Base RI'!U236</f>
        <v>71.5</v>
      </c>
      <c r="T236" s="394">
        <f t="shared" si="21"/>
        <v>852382.35999999987</v>
      </c>
      <c r="U236" s="394">
        <f t="shared" si="22"/>
        <v>13314.951048951047</v>
      </c>
      <c r="V236" s="10">
        <f>+'A) Base RI'!O236</f>
        <v>0</v>
      </c>
      <c r="W236" s="10">
        <f>+'A) Base RI'!P236</f>
        <v>16995</v>
      </c>
      <c r="X236" s="10">
        <f>+'A) Base RI'!R236</f>
        <v>12172.1</v>
      </c>
      <c r="Y236" s="394">
        <f t="shared" si="23"/>
        <v>29167.1</v>
      </c>
      <c r="Z236" s="10">
        <f>+'A) Base RI'!N236</f>
        <v>0</v>
      </c>
      <c r="AA236" s="10">
        <f>'A) Base RI'!V236</f>
        <v>397</v>
      </c>
    </row>
    <row r="237" spans="1:27" x14ac:dyDescent="0.25">
      <c r="A237" s="8">
        <f>'A) Base RI'!A237</f>
        <v>5790</v>
      </c>
      <c r="B237" s="32" t="str">
        <f>'A) Base RI'!B237</f>
        <v>Maracon</v>
      </c>
      <c r="C237" s="10">
        <f>'A) Base RI'!C237+'A) Base RI'!D237</f>
        <v>1009965.03</v>
      </c>
      <c r="D237" s="10">
        <f>'A) Base RI'!W237</f>
        <v>-2396.16</v>
      </c>
      <c r="E237" s="390">
        <f>'A) Base RI'!X237</f>
        <v>0</v>
      </c>
      <c r="F237" s="390">
        <f>'A) Base RI'!Y237</f>
        <v>-314.92</v>
      </c>
      <c r="G237" s="394">
        <f t="shared" si="18"/>
        <v>1007253.95</v>
      </c>
      <c r="H237" s="10">
        <f>+'A) Base RI'!E237</f>
        <v>0</v>
      </c>
      <c r="I237" s="10">
        <f>+'A) Base RI'!F237</f>
        <v>0</v>
      </c>
      <c r="J237" s="10">
        <f>+'A) Base RI'!G237+'A) Base RI'!H237+'A) Base RI'!S237</f>
        <v>8846.31</v>
      </c>
      <c r="K237" s="10">
        <f>+'A) Base RI'!I237</f>
        <v>0</v>
      </c>
      <c r="L237" s="10">
        <f>+'A) Base RI'!J237</f>
        <v>13334.81</v>
      </c>
      <c r="M237" s="10">
        <f>+'A) Base RI'!K237</f>
        <v>3472</v>
      </c>
      <c r="N237" s="10">
        <f>+'A) Base RI'!Q237</f>
        <v>0</v>
      </c>
      <c r="O237" s="10">
        <f t="shared" si="19"/>
        <v>97410.7</v>
      </c>
      <c r="P237" s="10">
        <f>+'A) Base RI'!L237</f>
        <v>97410.7</v>
      </c>
      <c r="Q237" s="402">
        <f>'A) Base RI'!Z237</f>
        <v>1</v>
      </c>
      <c r="R237" s="394">
        <f t="shared" si="20"/>
        <v>1130317.77</v>
      </c>
      <c r="S237" s="437">
        <f>+'A) Base RI'!U237</f>
        <v>74.5</v>
      </c>
      <c r="T237" s="394">
        <f t="shared" si="21"/>
        <v>1029435.0700000001</v>
      </c>
      <c r="U237" s="394">
        <f t="shared" si="22"/>
        <v>15172.050604026846</v>
      </c>
      <c r="V237" s="10">
        <f>+'A) Base RI'!O237</f>
        <v>0</v>
      </c>
      <c r="W237" s="10">
        <f>+'A) Base RI'!P237</f>
        <v>62894.35</v>
      </c>
      <c r="X237" s="10">
        <f>+'A) Base RI'!R237</f>
        <v>0</v>
      </c>
      <c r="Y237" s="394">
        <f t="shared" si="23"/>
        <v>62894.35</v>
      </c>
      <c r="Z237" s="10">
        <f>+'A) Base RI'!N237</f>
        <v>5741.85</v>
      </c>
      <c r="AA237" s="10">
        <f>'A) Base RI'!V237</f>
        <v>547</v>
      </c>
    </row>
    <row r="238" spans="1:27" x14ac:dyDescent="0.25">
      <c r="A238" s="8">
        <f>'A) Base RI'!A238</f>
        <v>5792</v>
      </c>
      <c r="B238" s="32" t="str">
        <f>'A) Base RI'!B238</f>
        <v>Montpreveyres</v>
      </c>
      <c r="C238" s="10">
        <f>'A) Base RI'!C238+'A) Base RI'!D238</f>
        <v>1380386.69</v>
      </c>
      <c r="D238" s="10">
        <f>'A) Base RI'!W238</f>
        <v>-1933.93</v>
      </c>
      <c r="E238" s="390">
        <f>'A) Base RI'!X238</f>
        <v>0</v>
      </c>
      <c r="F238" s="390">
        <f>'A) Base RI'!Y238</f>
        <v>-46.19</v>
      </c>
      <c r="G238" s="394">
        <f t="shared" si="18"/>
        <v>1378406.57</v>
      </c>
      <c r="H238" s="10">
        <f>+'A) Base RI'!E238</f>
        <v>0</v>
      </c>
      <c r="I238" s="10">
        <f>+'A) Base RI'!F238</f>
        <v>0</v>
      </c>
      <c r="J238" s="10">
        <f>+'A) Base RI'!G238+'A) Base RI'!H238+'A) Base RI'!S238</f>
        <v>-12171.52</v>
      </c>
      <c r="K238" s="10">
        <f>+'A) Base RI'!I238</f>
        <v>0</v>
      </c>
      <c r="L238" s="10">
        <f>+'A) Base RI'!J238</f>
        <v>26336.82</v>
      </c>
      <c r="M238" s="10">
        <f>+'A) Base RI'!K238</f>
        <v>2131.5</v>
      </c>
      <c r="N238" s="10">
        <f>+'A) Base RI'!Q238</f>
        <v>5083.87</v>
      </c>
      <c r="O238" s="10">
        <f t="shared" si="19"/>
        <v>121223.4</v>
      </c>
      <c r="P238" s="10">
        <f>+'A) Base RI'!L238</f>
        <v>121223.4</v>
      </c>
      <c r="Q238" s="402">
        <f>'A) Base RI'!Z238</f>
        <v>1</v>
      </c>
      <c r="R238" s="394">
        <f t="shared" si="20"/>
        <v>1521010.6400000001</v>
      </c>
      <c r="S238" s="437">
        <f>+'A) Base RI'!U238</f>
        <v>75.5</v>
      </c>
      <c r="T238" s="394">
        <f t="shared" si="21"/>
        <v>1397655.7400000002</v>
      </c>
      <c r="U238" s="394">
        <f t="shared" si="22"/>
        <v>20145.836291390729</v>
      </c>
      <c r="V238" s="10">
        <f>+'A) Base RI'!O238</f>
        <v>8751.4</v>
      </c>
      <c r="W238" s="10">
        <f>+'A) Base RI'!P238</f>
        <v>94919.1</v>
      </c>
      <c r="X238" s="10">
        <f>+'A) Base RI'!R238</f>
        <v>70944.45</v>
      </c>
      <c r="Y238" s="394">
        <f t="shared" si="23"/>
        <v>174614.95</v>
      </c>
      <c r="Z238" s="10">
        <f>+'A) Base RI'!N238</f>
        <v>681.3</v>
      </c>
      <c r="AA238" s="10">
        <f>'A) Base RI'!V238</f>
        <v>662</v>
      </c>
    </row>
    <row r="239" spans="1:27" x14ac:dyDescent="0.25">
      <c r="A239" s="8">
        <f>'A) Base RI'!A239</f>
        <v>5798</v>
      </c>
      <c r="B239" s="32" t="str">
        <f>'A) Base RI'!B239</f>
        <v>Ropraz</v>
      </c>
      <c r="C239" s="10">
        <f>'A) Base RI'!C239+'A) Base RI'!D239</f>
        <v>1164566.29</v>
      </c>
      <c r="D239" s="10">
        <f>'A) Base RI'!W239</f>
        <v>-15733.32</v>
      </c>
      <c r="E239" s="390">
        <f>'A) Base RI'!X239</f>
        <v>0</v>
      </c>
      <c r="F239" s="390">
        <f>'A) Base RI'!Y239</f>
        <v>-9.9</v>
      </c>
      <c r="G239" s="394">
        <f t="shared" si="18"/>
        <v>1148823.07</v>
      </c>
      <c r="H239" s="10">
        <f>+'A) Base RI'!E239</f>
        <v>0</v>
      </c>
      <c r="I239" s="10">
        <f>+'A) Base RI'!F239</f>
        <v>0</v>
      </c>
      <c r="J239" s="10">
        <f>+'A) Base RI'!G239+'A) Base RI'!H239+'A) Base RI'!S239</f>
        <v>58764.32</v>
      </c>
      <c r="K239" s="10">
        <f>+'A) Base RI'!I239</f>
        <v>0</v>
      </c>
      <c r="L239" s="10">
        <f>+'A) Base RI'!J239</f>
        <v>40765.65</v>
      </c>
      <c r="M239" s="10">
        <f>+'A) Base RI'!K239</f>
        <v>10881.05</v>
      </c>
      <c r="N239" s="10">
        <f>+'A) Base RI'!Q239</f>
        <v>3820.21</v>
      </c>
      <c r="O239" s="10">
        <f t="shared" si="19"/>
        <v>88918.1</v>
      </c>
      <c r="P239" s="10">
        <f>+'A) Base RI'!L239</f>
        <v>88918.1</v>
      </c>
      <c r="Q239" s="402">
        <f>'A) Base RI'!Z239</f>
        <v>1</v>
      </c>
      <c r="R239" s="394">
        <f t="shared" si="20"/>
        <v>1351972.4000000001</v>
      </c>
      <c r="S239" s="437">
        <f>+'A) Base RI'!U239</f>
        <v>77.5</v>
      </c>
      <c r="T239" s="394">
        <f t="shared" si="21"/>
        <v>1252173.25</v>
      </c>
      <c r="U239" s="394">
        <f t="shared" si="22"/>
        <v>17444.805161290325</v>
      </c>
      <c r="V239" s="10">
        <f>+'A) Base RI'!O239</f>
        <v>0</v>
      </c>
      <c r="W239" s="10">
        <f>+'A) Base RI'!P239</f>
        <v>45540</v>
      </c>
      <c r="X239" s="10">
        <f>+'A) Base RI'!R239</f>
        <v>80957</v>
      </c>
      <c r="Y239" s="394">
        <f t="shared" si="23"/>
        <v>126497</v>
      </c>
      <c r="Z239" s="10">
        <f>+'A) Base RI'!N239</f>
        <v>19232.099999999999</v>
      </c>
      <c r="AA239" s="10">
        <f>'A) Base RI'!V239</f>
        <v>534</v>
      </c>
    </row>
    <row r="240" spans="1:27" x14ac:dyDescent="0.25">
      <c r="A240" s="8">
        <f>'A) Base RI'!A240</f>
        <v>5799</v>
      </c>
      <c r="B240" s="32" t="str">
        <f>'A) Base RI'!B240</f>
        <v>Servion</v>
      </c>
      <c r="C240" s="10">
        <f>'A) Base RI'!C240+'A) Base RI'!D240</f>
        <v>4449786.1100000003</v>
      </c>
      <c r="D240" s="10">
        <f>'A) Base RI'!W240</f>
        <v>-33285.89</v>
      </c>
      <c r="E240" s="390">
        <f>'A) Base RI'!X240</f>
        <v>0</v>
      </c>
      <c r="F240" s="390">
        <f>'A) Base RI'!Y240</f>
        <v>-566.70000000000005</v>
      </c>
      <c r="G240" s="394">
        <f t="shared" si="18"/>
        <v>4415933.5200000005</v>
      </c>
      <c r="H240" s="10">
        <f>+'A) Base RI'!E240</f>
        <v>0</v>
      </c>
      <c r="I240" s="10">
        <f>+'A) Base RI'!F240</f>
        <v>0</v>
      </c>
      <c r="J240" s="10">
        <f>+'A) Base RI'!G240+'A) Base RI'!H240+'A) Base RI'!S240</f>
        <v>54359.53</v>
      </c>
      <c r="K240" s="10">
        <f>+'A) Base RI'!I240</f>
        <v>0</v>
      </c>
      <c r="L240" s="10">
        <f>+'A) Base RI'!J240</f>
        <v>42510.8</v>
      </c>
      <c r="M240" s="10">
        <f>+'A) Base RI'!K240</f>
        <v>20358.650000000001</v>
      </c>
      <c r="N240" s="10">
        <f>+'A) Base RI'!Q240</f>
        <v>350.73</v>
      </c>
      <c r="O240" s="10">
        <f t="shared" si="19"/>
        <v>416840.95</v>
      </c>
      <c r="P240" s="10">
        <f>+'A) Base RI'!L240</f>
        <v>416840.95</v>
      </c>
      <c r="Q240" s="402">
        <f>'A) Base RI'!Z240</f>
        <v>1</v>
      </c>
      <c r="R240" s="394">
        <f t="shared" si="20"/>
        <v>4950354.1800000016</v>
      </c>
      <c r="S240" s="437">
        <f>+'A) Base RI'!U240</f>
        <v>69</v>
      </c>
      <c r="T240" s="394">
        <f t="shared" si="21"/>
        <v>4513154.580000001</v>
      </c>
      <c r="U240" s="394">
        <f t="shared" si="22"/>
        <v>71744.263478260895</v>
      </c>
      <c r="V240" s="10">
        <f>+'A) Base RI'!O240</f>
        <v>55082.6</v>
      </c>
      <c r="W240" s="10">
        <f>+'A) Base RI'!P240</f>
        <v>185338.5</v>
      </c>
      <c r="X240" s="10">
        <f>+'A) Base RI'!R240</f>
        <v>237738.1</v>
      </c>
      <c r="Y240" s="394">
        <f t="shared" si="23"/>
        <v>478159.2</v>
      </c>
      <c r="Z240" s="10">
        <f>+'A) Base RI'!N240</f>
        <v>33537.599999999999</v>
      </c>
      <c r="AA240" s="10">
        <f>'A) Base RI'!V240</f>
        <v>2107</v>
      </c>
    </row>
    <row r="241" spans="1:27" x14ac:dyDescent="0.25">
      <c r="A241" s="8">
        <f>'A) Base RI'!A241</f>
        <v>5803</v>
      </c>
      <c r="B241" s="32" t="str">
        <f>'A) Base RI'!B241</f>
        <v>Vulliens</v>
      </c>
      <c r="C241" s="10">
        <f>'A) Base RI'!C241+'A) Base RI'!D241</f>
        <v>1265794.6000000001</v>
      </c>
      <c r="D241" s="10">
        <f>'A) Base RI'!W241</f>
        <v>-27436.33</v>
      </c>
      <c r="E241" s="390">
        <f>'A) Base RI'!X241</f>
        <v>0</v>
      </c>
      <c r="F241" s="390">
        <f>'A) Base RI'!Y241</f>
        <v>-570.45000000000005</v>
      </c>
      <c r="G241" s="394">
        <f t="shared" si="18"/>
        <v>1237787.82</v>
      </c>
      <c r="H241" s="10">
        <f>+'A) Base RI'!E241</f>
        <v>0</v>
      </c>
      <c r="I241" s="10">
        <f>+'A) Base RI'!F241</f>
        <v>0</v>
      </c>
      <c r="J241" s="10">
        <f>+'A) Base RI'!G241+'A) Base RI'!H241+'A) Base RI'!S241</f>
        <v>3612.3099999999995</v>
      </c>
      <c r="K241" s="10">
        <f>+'A) Base RI'!I241</f>
        <v>0</v>
      </c>
      <c r="L241" s="10">
        <f>+'A) Base RI'!J241</f>
        <v>22871.35</v>
      </c>
      <c r="M241" s="10">
        <f>+'A) Base RI'!K241</f>
        <v>0</v>
      </c>
      <c r="N241" s="10">
        <f>+'A) Base RI'!Q241</f>
        <v>29.96</v>
      </c>
      <c r="O241" s="10">
        <f t="shared" si="19"/>
        <v>103408.85</v>
      </c>
      <c r="P241" s="10">
        <f>+'A) Base RI'!L241</f>
        <v>103408.85</v>
      </c>
      <c r="Q241" s="402">
        <f>'A) Base RI'!Z241</f>
        <v>1</v>
      </c>
      <c r="R241" s="394">
        <f t="shared" si="20"/>
        <v>1367710.2900000003</v>
      </c>
      <c r="S241" s="437">
        <f>+'A) Base RI'!U241</f>
        <v>76</v>
      </c>
      <c r="T241" s="394">
        <f t="shared" si="21"/>
        <v>1264301.4400000002</v>
      </c>
      <c r="U241" s="394">
        <f t="shared" si="22"/>
        <v>17996.188026315795</v>
      </c>
      <c r="V241" s="10">
        <f>+'A) Base RI'!O241</f>
        <v>-3273.2</v>
      </c>
      <c r="W241" s="10">
        <f>+'A) Base RI'!P241</f>
        <v>71500</v>
      </c>
      <c r="X241" s="10">
        <f>+'A) Base RI'!R241</f>
        <v>39305.199999999997</v>
      </c>
      <c r="Y241" s="394">
        <f t="shared" si="23"/>
        <v>107532</v>
      </c>
      <c r="Z241" s="10">
        <f>+'A) Base RI'!N241</f>
        <v>898.7</v>
      </c>
      <c r="AA241" s="10">
        <f>'A) Base RI'!V241</f>
        <v>631</v>
      </c>
    </row>
    <row r="242" spans="1:27" x14ac:dyDescent="0.25">
      <c r="A242" s="8">
        <f>'A) Base RI'!A242</f>
        <v>5804</v>
      </c>
      <c r="B242" s="32" t="str">
        <f>'A) Base RI'!B242</f>
        <v>Jorat-Menthue</v>
      </c>
      <c r="C242" s="10">
        <f>'A) Base RI'!C242+'A) Base RI'!D242</f>
        <v>3033939.92</v>
      </c>
      <c r="D242" s="10">
        <f>'A) Base RI'!W242</f>
        <v>-99710.62</v>
      </c>
      <c r="E242" s="390">
        <f>'A) Base RI'!X242</f>
        <v>0</v>
      </c>
      <c r="F242" s="390">
        <f>'A) Base RI'!Y242</f>
        <v>-784.42</v>
      </c>
      <c r="G242" s="394">
        <f t="shared" si="18"/>
        <v>2933444.88</v>
      </c>
      <c r="H242" s="10">
        <f>+'A) Base RI'!E242</f>
        <v>0</v>
      </c>
      <c r="I242" s="10">
        <f>+'A) Base RI'!F242</f>
        <v>0</v>
      </c>
      <c r="J242" s="10">
        <f>+'A) Base RI'!G242+'A) Base RI'!H242+'A) Base RI'!S242</f>
        <v>30803.800000000003</v>
      </c>
      <c r="K242" s="10">
        <f>+'A) Base RI'!I242</f>
        <v>0</v>
      </c>
      <c r="L242" s="10">
        <f>+'A) Base RI'!J242</f>
        <v>54059.41</v>
      </c>
      <c r="M242" s="10">
        <f>+'A) Base RI'!K242</f>
        <v>3278.5</v>
      </c>
      <c r="N242" s="10">
        <f>+'A) Base RI'!Q242</f>
        <v>6872.94</v>
      </c>
      <c r="O242" s="10">
        <f t="shared" si="19"/>
        <v>274777.40000000002</v>
      </c>
      <c r="P242" s="10">
        <f>+'A) Base RI'!L242</f>
        <v>274777.40000000002</v>
      </c>
      <c r="Q242" s="402">
        <f>'A) Base RI'!Z242</f>
        <v>1</v>
      </c>
      <c r="R242" s="394">
        <f t="shared" si="20"/>
        <v>3303236.9299999997</v>
      </c>
      <c r="S242" s="437">
        <f>+'A) Base RI'!U242</f>
        <v>70.5</v>
      </c>
      <c r="T242" s="394">
        <f t="shared" si="21"/>
        <v>3025181.03</v>
      </c>
      <c r="U242" s="394">
        <f t="shared" si="22"/>
        <v>46854.424539007086</v>
      </c>
      <c r="V242" s="10">
        <f>+'A) Base RI'!O242</f>
        <v>40418.400000000001</v>
      </c>
      <c r="W242" s="10">
        <f>+'A) Base RI'!P242</f>
        <v>79980</v>
      </c>
      <c r="X242" s="10">
        <f>+'A) Base RI'!R242</f>
        <v>41713.65</v>
      </c>
      <c r="Y242" s="394">
        <f t="shared" si="23"/>
        <v>162112.04999999999</v>
      </c>
      <c r="Z242" s="10">
        <f>+'A) Base RI'!N242</f>
        <v>15774.9</v>
      </c>
      <c r="AA242" s="10">
        <f>'A) Base RI'!V242</f>
        <v>1603</v>
      </c>
    </row>
    <row r="243" spans="1:27" x14ac:dyDescent="0.25">
      <c r="A243" s="8">
        <f>'A) Base RI'!A243</f>
        <v>5805</v>
      </c>
      <c r="B243" s="32" t="str">
        <f>'A) Base RI'!B243</f>
        <v>Oron</v>
      </c>
      <c r="C243" s="10">
        <f>'A) Base RI'!C243+'A) Base RI'!D243</f>
        <v>9406317.0500000007</v>
      </c>
      <c r="D243" s="10">
        <f>'A) Base RI'!W243</f>
        <v>-289366</v>
      </c>
      <c r="E243" s="390">
        <f>'A) Base RI'!X243</f>
        <v>0</v>
      </c>
      <c r="F243" s="390">
        <f>'A) Base RI'!Y243</f>
        <v>-1323.83</v>
      </c>
      <c r="G243" s="394">
        <f t="shared" si="18"/>
        <v>9115627.2200000007</v>
      </c>
      <c r="H243" s="10">
        <f>+'A) Base RI'!E243</f>
        <v>0</v>
      </c>
      <c r="I243" s="10">
        <f>+'A) Base RI'!F243</f>
        <v>0</v>
      </c>
      <c r="J243" s="10">
        <f>+'A) Base RI'!G243+'A) Base RI'!H243+'A) Base RI'!S243</f>
        <v>766949.27</v>
      </c>
      <c r="K243" s="10">
        <f>+'A) Base RI'!I243</f>
        <v>37768.199999999997</v>
      </c>
      <c r="L243" s="10">
        <f>+'A) Base RI'!J243</f>
        <v>171373.15</v>
      </c>
      <c r="M243" s="10">
        <f>+'A) Base RI'!K243</f>
        <v>82491.100000000006</v>
      </c>
      <c r="N243" s="10">
        <f>+'A) Base RI'!Q243</f>
        <v>55475.61</v>
      </c>
      <c r="O243" s="10">
        <f t="shared" si="19"/>
        <v>956290.818181818</v>
      </c>
      <c r="P243" s="10">
        <f>+'A) Base RI'!L243</f>
        <v>1051919.8999999999</v>
      </c>
      <c r="Q243" s="402">
        <f>'A) Base RI'!Z243</f>
        <v>1.1000000000000001</v>
      </c>
      <c r="R243" s="394">
        <f t="shared" si="20"/>
        <v>11185975.368181817</v>
      </c>
      <c r="S243" s="437">
        <f>+'A) Base RI'!U243</f>
        <v>69</v>
      </c>
      <c r="T243" s="394">
        <f t="shared" si="21"/>
        <v>10147193.449999999</v>
      </c>
      <c r="U243" s="394">
        <f t="shared" si="22"/>
        <v>162115.58504611329</v>
      </c>
      <c r="V243" s="10">
        <f>+'A) Base RI'!O243</f>
        <v>-81995.3</v>
      </c>
      <c r="W243" s="10">
        <f>+'A) Base RI'!P243</f>
        <v>412093.05</v>
      </c>
      <c r="X243" s="10">
        <f>+'A) Base RI'!R243</f>
        <v>248779.65</v>
      </c>
      <c r="Y243" s="394">
        <f t="shared" si="23"/>
        <v>578877.4</v>
      </c>
      <c r="Z243" s="10">
        <f>+'A) Base RI'!N243</f>
        <v>100890.6</v>
      </c>
      <c r="AA243" s="10">
        <f>'A) Base RI'!V243</f>
        <v>5703</v>
      </c>
    </row>
    <row r="244" spans="1:27" x14ac:dyDescent="0.25">
      <c r="A244" s="8">
        <f>'A) Base RI'!A244</f>
        <v>5806</v>
      </c>
      <c r="B244" s="32" t="str">
        <f>'A) Base RI'!B244</f>
        <v>Jorat-Mézières</v>
      </c>
      <c r="C244" s="10">
        <f>'A) Base RI'!C244+'A) Base RI'!D244</f>
        <v>6575562.29</v>
      </c>
      <c r="D244" s="10">
        <f>'A) Base RI'!W244</f>
        <v>-33808.839999999997</v>
      </c>
      <c r="E244" s="390">
        <f>'A) Base RI'!X244</f>
        <v>0</v>
      </c>
      <c r="F244" s="390">
        <f>'A) Base RI'!Y244</f>
        <v>-883.54</v>
      </c>
      <c r="G244" s="394">
        <f t="shared" si="18"/>
        <v>6540869.9100000001</v>
      </c>
      <c r="H244" s="10">
        <f>+'A) Base RI'!E244</f>
        <v>0</v>
      </c>
      <c r="I244" s="10">
        <f>+'A) Base RI'!F244</f>
        <v>0</v>
      </c>
      <c r="J244" s="10">
        <f>+'A) Base RI'!G244+'A) Base RI'!H244+'A) Base RI'!S244</f>
        <v>199063.79</v>
      </c>
      <c r="K244" s="10">
        <f>+'A) Base RI'!I244</f>
        <v>53357.25</v>
      </c>
      <c r="L244" s="10">
        <f>+'A) Base RI'!J244</f>
        <v>79955.679999999993</v>
      </c>
      <c r="M244" s="10">
        <f>+'A) Base RI'!K244</f>
        <v>25070.35</v>
      </c>
      <c r="N244" s="10">
        <f>+'A) Base RI'!Q244</f>
        <v>22479.03</v>
      </c>
      <c r="O244" s="10">
        <f t="shared" si="19"/>
        <v>530879.35</v>
      </c>
      <c r="P244" s="10">
        <f>+'A) Base RI'!L244</f>
        <v>530879.35</v>
      </c>
      <c r="Q244" s="402">
        <f>'A) Base RI'!Z244</f>
        <v>1</v>
      </c>
      <c r="R244" s="394">
        <f t="shared" si="20"/>
        <v>7451675.3599999994</v>
      </c>
      <c r="S244" s="437">
        <f>+'A) Base RI'!U244</f>
        <v>73</v>
      </c>
      <c r="T244" s="394">
        <f t="shared" si="21"/>
        <v>6895725.6600000001</v>
      </c>
      <c r="U244" s="394">
        <f t="shared" si="22"/>
        <v>102077.74465753423</v>
      </c>
      <c r="V244" s="10">
        <f>+'A) Base RI'!O244</f>
        <v>130916.2</v>
      </c>
      <c r="W244" s="10">
        <f>+'A) Base RI'!P244</f>
        <v>484897.95</v>
      </c>
      <c r="X244" s="10">
        <f>+'A) Base RI'!R244</f>
        <v>355717.5</v>
      </c>
      <c r="Y244" s="394">
        <f t="shared" si="23"/>
        <v>971531.65</v>
      </c>
      <c r="Z244" s="10">
        <f>+'A) Base RI'!N244</f>
        <v>31196.15</v>
      </c>
      <c r="AA244" s="10">
        <f>'A) Base RI'!V244</f>
        <v>3095</v>
      </c>
    </row>
    <row r="245" spans="1:27" x14ac:dyDescent="0.25">
      <c r="A245" s="8">
        <f>'A) Base RI'!A245</f>
        <v>5812</v>
      </c>
      <c r="B245" s="32" t="str">
        <f>'A) Base RI'!B245</f>
        <v>Champtauroz</v>
      </c>
      <c r="C245" s="10">
        <f>'A) Base RI'!C245+'A) Base RI'!D245</f>
        <v>244631.59</v>
      </c>
      <c r="D245" s="10">
        <f>'A) Base RI'!W245</f>
        <v>-5587.26</v>
      </c>
      <c r="E245" s="390">
        <f>'A) Base RI'!X245</f>
        <v>0</v>
      </c>
      <c r="F245" s="390">
        <f>'A) Base RI'!Y245</f>
        <v>-53.85</v>
      </c>
      <c r="G245" s="394">
        <f t="shared" si="18"/>
        <v>238990.47999999998</v>
      </c>
      <c r="H245" s="10">
        <f>+'A) Base RI'!E245</f>
        <v>0</v>
      </c>
      <c r="I245" s="10">
        <f>+'A) Base RI'!F245</f>
        <v>0</v>
      </c>
      <c r="J245" s="10">
        <f>+'A) Base RI'!G245+'A) Base RI'!H245+'A) Base RI'!S245</f>
        <v>-1652.0299999999997</v>
      </c>
      <c r="K245" s="10">
        <f>+'A) Base RI'!I245</f>
        <v>0</v>
      </c>
      <c r="L245" s="10">
        <f>+'A) Base RI'!J245</f>
        <v>526.65</v>
      </c>
      <c r="M245" s="10">
        <f>+'A) Base RI'!K245</f>
        <v>894.75</v>
      </c>
      <c r="N245" s="10">
        <f>+'A) Base RI'!Q245</f>
        <v>381.99</v>
      </c>
      <c r="O245" s="10">
        <f t="shared" si="19"/>
        <v>18742.75</v>
      </c>
      <c r="P245" s="10">
        <f>+'A) Base RI'!L245</f>
        <v>14994.2</v>
      </c>
      <c r="Q245" s="402">
        <f>'A) Base RI'!Z245</f>
        <v>0.8</v>
      </c>
      <c r="R245" s="394">
        <f t="shared" si="20"/>
        <v>257884.58999999997</v>
      </c>
      <c r="S245" s="437">
        <f>+'A) Base RI'!U245</f>
        <v>77</v>
      </c>
      <c r="T245" s="394">
        <f t="shared" si="21"/>
        <v>238247.08999999997</v>
      </c>
      <c r="U245" s="394">
        <f t="shared" si="22"/>
        <v>3349.1505194805191</v>
      </c>
      <c r="V245" s="10">
        <f>+'A) Base RI'!O245</f>
        <v>926.3</v>
      </c>
      <c r="W245" s="10">
        <f>+'A) Base RI'!P245</f>
        <v>12760</v>
      </c>
      <c r="X245" s="10">
        <f>+'A) Base RI'!R245</f>
        <v>525</v>
      </c>
      <c r="Y245" s="394">
        <f t="shared" si="23"/>
        <v>14211.3</v>
      </c>
      <c r="Z245" s="10">
        <f>+'A) Base RI'!N245</f>
        <v>0</v>
      </c>
      <c r="AA245" s="10">
        <f>'A) Base RI'!V245</f>
        <v>169</v>
      </c>
    </row>
    <row r="246" spans="1:27" x14ac:dyDescent="0.25">
      <c r="A246" s="8">
        <f>'A) Base RI'!A246</f>
        <v>5813</v>
      </c>
      <c r="B246" s="32" t="str">
        <f>'A) Base RI'!B246</f>
        <v>Chevroux</v>
      </c>
      <c r="C246" s="10">
        <f>'A) Base RI'!C246+'A) Base RI'!D246</f>
        <v>924567.42</v>
      </c>
      <c r="D246" s="10">
        <f>'A) Base RI'!W246</f>
        <v>-28813.71</v>
      </c>
      <c r="E246" s="390">
        <f>'A) Base RI'!X246</f>
        <v>0</v>
      </c>
      <c r="F246" s="390">
        <f>'A) Base RI'!Y246</f>
        <v>0</v>
      </c>
      <c r="G246" s="394">
        <f t="shared" si="18"/>
        <v>895753.71000000008</v>
      </c>
      <c r="H246" s="10">
        <f>+'A) Base RI'!E246</f>
        <v>0</v>
      </c>
      <c r="I246" s="10">
        <f>+'A) Base RI'!F246</f>
        <v>3210</v>
      </c>
      <c r="J246" s="10">
        <f>+'A) Base RI'!G246+'A) Base RI'!H246+'A) Base RI'!S246</f>
        <v>35878.43</v>
      </c>
      <c r="K246" s="10">
        <f>+'A) Base RI'!I246</f>
        <v>0</v>
      </c>
      <c r="L246" s="10">
        <f>+'A) Base RI'!J246</f>
        <v>16389.599999999999</v>
      </c>
      <c r="M246" s="10">
        <f>+'A) Base RI'!K246</f>
        <v>0</v>
      </c>
      <c r="N246" s="10">
        <f>+'A) Base RI'!Q246</f>
        <v>147.9</v>
      </c>
      <c r="O246" s="10">
        <f t="shared" si="19"/>
        <v>95088.375</v>
      </c>
      <c r="P246" s="10">
        <f>+'A) Base RI'!L246</f>
        <v>114106.05</v>
      </c>
      <c r="Q246" s="402">
        <f>'A) Base RI'!Z246</f>
        <v>1.2</v>
      </c>
      <c r="R246" s="394">
        <f t="shared" si="20"/>
        <v>1046468.0150000001</v>
      </c>
      <c r="S246" s="437">
        <f>+'A) Base RI'!U246</f>
        <v>68.5</v>
      </c>
      <c r="T246" s="394">
        <f t="shared" si="21"/>
        <v>948169.64000000013</v>
      </c>
      <c r="U246" s="394">
        <f t="shared" si="22"/>
        <v>15276.905328467155</v>
      </c>
      <c r="V246" s="10">
        <f>+'A) Base RI'!O246</f>
        <v>3090.9</v>
      </c>
      <c r="W246" s="10">
        <f>+'A) Base RI'!P246</f>
        <v>79172.3</v>
      </c>
      <c r="X246" s="10">
        <f>+'A) Base RI'!R246</f>
        <v>70066.399999999994</v>
      </c>
      <c r="Y246" s="394">
        <f t="shared" si="23"/>
        <v>152329.59999999998</v>
      </c>
      <c r="Z246" s="10">
        <f>+'A) Base RI'!N246</f>
        <v>0</v>
      </c>
      <c r="AA246" s="10">
        <f>'A) Base RI'!V246</f>
        <v>506</v>
      </c>
    </row>
    <row r="247" spans="1:27" x14ac:dyDescent="0.25">
      <c r="A247" s="8">
        <f>'A) Base RI'!A247</f>
        <v>5816</v>
      </c>
      <c r="B247" s="32" t="str">
        <f>'A) Base RI'!B247</f>
        <v>Corcelles-près-Payerne</v>
      </c>
      <c r="C247" s="10">
        <f>'A) Base RI'!C247+'A) Base RI'!D247</f>
        <v>3756186.4099999997</v>
      </c>
      <c r="D247" s="10">
        <f>'A) Base RI'!W247</f>
        <v>-124649.64</v>
      </c>
      <c r="E247" s="390">
        <f>'A) Base RI'!X247</f>
        <v>0</v>
      </c>
      <c r="F247" s="390">
        <f>'A) Base RI'!Y247</f>
        <v>-39.9</v>
      </c>
      <c r="G247" s="394">
        <f t="shared" si="18"/>
        <v>3631496.8699999996</v>
      </c>
      <c r="H247" s="10">
        <f>+'A) Base RI'!E247</f>
        <v>0</v>
      </c>
      <c r="I247" s="10">
        <f>+'A) Base RI'!F247</f>
        <v>0</v>
      </c>
      <c r="J247" s="10">
        <f>+'A) Base RI'!G247+'A) Base RI'!H247+'A) Base RI'!S247</f>
        <v>229866.03000000003</v>
      </c>
      <c r="K247" s="10">
        <f>+'A) Base RI'!I247</f>
        <v>0</v>
      </c>
      <c r="L247" s="10">
        <f>+'A) Base RI'!J247</f>
        <v>169156.29</v>
      </c>
      <c r="M247" s="10">
        <f>+'A) Base RI'!K247</f>
        <v>27650.1</v>
      </c>
      <c r="N247" s="10">
        <f>+'A) Base RI'!Q247</f>
        <v>52136.26</v>
      </c>
      <c r="O247" s="10">
        <f t="shared" si="19"/>
        <v>386805.42857142858</v>
      </c>
      <c r="P247" s="10">
        <f>+'A) Base RI'!L247</f>
        <v>270763.8</v>
      </c>
      <c r="Q247" s="402">
        <f>'A) Base RI'!Z247</f>
        <v>0.7</v>
      </c>
      <c r="R247" s="394">
        <f t="shared" si="20"/>
        <v>4497110.978571428</v>
      </c>
      <c r="S247" s="437">
        <f>+'A) Base RI'!U247</f>
        <v>68.5</v>
      </c>
      <c r="T247" s="394">
        <f t="shared" si="21"/>
        <v>4082655.4499999993</v>
      </c>
      <c r="U247" s="394">
        <f t="shared" si="22"/>
        <v>65651.255161626686</v>
      </c>
      <c r="V247" s="10">
        <f>+'A) Base RI'!O247</f>
        <v>1269.9000000000001</v>
      </c>
      <c r="W247" s="10">
        <f>+'A) Base RI'!P247</f>
        <v>157913.5</v>
      </c>
      <c r="X247" s="10">
        <f>+'A) Base RI'!R247</f>
        <v>96820.05</v>
      </c>
      <c r="Y247" s="394">
        <f t="shared" si="23"/>
        <v>256003.45</v>
      </c>
      <c r="Z247" s="10">
        <f>+'A) Base RI'!N247</f>
        <v>25265.5</v>
      </c>
      <c r="AA247" s="10">
        <f>'A) Base RI'!V247</f>
        <v>2722</v>
      </c>
    </row>
    <row r="248" spans="1:27" x14ac:dyDescent="0.25">
      <c r="A248" s="8">
        <f>'A) Base RI'!A248</f>
        <v>5817</v>
      </c>
      <c r="B248" s="32" t="str">
        <f>'A) Base RI'!B248</f>
        <v>Grandcour</v>
      </c>
      <c r="C248" s="10">
        <f>'A) Base RI'!C248+'A) Base RI'!D248</f>
        <v>1633631.5</v>
      </c>
      <c r="D248" s="10">
        <f>'A) Base RI'!W248</f>
        <v>-36557.29</v>
      </c>
      <c r="E248" s="390">
        <f>'A) Base RI'!X248</f>
        <v>0</v>
      </c>
      <c r="F248" s="390">
        <f>'A) Base RI'!Y248</f>
        <v>-64.3</v>
      </c>
      <c r="G248" s="394">
        <f t="shared" si="18"/>
        <v>1597009.91</v>
      </c>
      <c r="H248" s="10">
        <f>+'A) Base RI'!E248</f>
        <v>0</v>
      </c>
      <c r="I248" s="10">
        <f>+'A) Base RI'!F248</f>
        <v>5910</v>
      </c>
      <c r="J248" s="10">
        <f>+'A) Base RI'!G248+'A) Base RI'!H248+'A) Base RI'!S248</f>
        <v>37809.549999999996</v>
      </c>
      <c r="K248" s="10">
        <f>+'A) Base RI'!I248</f>
        <v>0</v>
      </c>
      <c r="L248" s="10">
        <f>+'A) Base RI'!J248</f>
        <v>34806.870000000003</v>
      </c>
      <c r="M248" s="10">
        <f>+'A) Base RI'!K248</f>
        <v>4344.6499999999996</v>
      </c>
      <c r="N248" s="10">
        <f>+'A) Base RI'!Q248</f>
        <v>0</v>
      </c>
      <c r="O248" s="10">
        <f t="shared" si="19"/>
        <v>129917.15</v>
      </c>
      <c r="P248" s="10">
        <f>+'A) Base RI'!L248</f>
        <v>129917.15</v>
      </c>
      <c r="Q248" s="402">
        <f>'A) Base RI'!Z248</f>
        <v>1</v>
      </c>
      <c r="R248" s="394">
        <f t="shared" si="20"/>
        <v>1809798.13</v>
      </c>
      <c r="S248" s="437">
        <f>+'A) Base RI'!U248</f>
        <v>73.5</v>
      </c>
      <c r="T248" s="394">
        <f t="shared" si="21"/>
        <v>1669626.33</v>
      </c>
      <c r="U248" s="394">
        <f t="shared" si="22"/>
        <v>24623.103809523807</v>
      </c>
      <c r="V248" s="10">
        <f>+'A) Base RI'!O248</f>
        <v>0</v>
      </c>
      <c r="W248" s="10">
        <f>+'A) Base RI'!P248</f>
        <v>30975.95</v>
      </c>
      <c r="X248" s="10">
        <f>+'A) Base RI'!R248</f>
        <v>10179.85</v>
      </c>
      <c r="Y248" s="394">
        <f t="shared" si="23"/>
        <v>41155.800000000003</v>
      </c>
      <c r="Z248" s="10">
        <f>+'A) Base RI'!N248</f>
        <v>7672.05</v>
      </c>
      <c r="AA248" s="10">
        <f>'A) Base RI'!V248</f>
        <v>987</v>
      </c>
    </row>
    <row r="249" spans="1:27" x14ac:dyDescent="0.25">
      <c r="A249" s="8">
        <f>'A) Base RI'!A249</f>
        <v>5819</v>
      </c>
      <c r="B249" s="32" t="str">
        <f>'A) Base RI'!B249</f>
        <v>Henniez</v>
      </c>
      <c r="C249" s="10">
        <f>'A) Base RI'!C249+'A) Base RI'!D249</f>
        <v>673551.4</v>
      </c>
      <c r="D249" s="10">
        <f>'A) Base RI'!W249</f>
        <v>-43903.92</v>
      </c>
      <c r="E249" s="390">
        <f>'A) Base RI'!X249</f>
        <v>0</v>
      </c>
      <c r="F249" s="390">
        <f>'A) Base RI'!Y249</f>
        <v>-24695.9</v>
      </c>
      <c r="G249" s="394">
        <f t="shared" si="18"/>
        <v>604951.57999999996</v>
      </c>
      <c r="H249" s="10">
        <f>+'A) Base RI'!E249</f>
        <v>0</v>
      </c>
      <c r="I249" s="10">
        <f>+'A) Base RI'!F249</f>
        <v>0</v>
      </c>
      <c r="J249" s="10">
        <f>+'A) Base RI'!G249+'A) Base RI'!H249+'A) Base RI'!S249</f>
        <v>-25561.61</v>
      </c>
      <c r="K249" s="10">
        <f>+'A) Base RI'!I249</f>
        <v>0</v>
      </c>
      <c r="L249" s="10">
        <f>+'A) Base RI'!J249</f>
        <v>21624.85</v>
      </c>
      <c r="M249" s="10">
        <f>+'A) Base RI'!K249</f>
        <v>1744.95</v>
      </c>
      <c r="N249" s="10">
        <f>+'A) Base RI'!Q249</f>
        <v>-733.37</v>
      </c>
      <c r="O249" s="10">
        <f t="shared" si="19"/>
        <v>93055.25</v>
      </c>
      <c r="P249" s="10">
        <f>+'A) Base RI'!L249</f>
        <v>93055.25</v>
      </c>
      <c r="Q249" s="402">
        <f>'A) Base RI'!Z249</f>
        <v>1</v>
      </c>
      <c r="R249" s="394">
        <f t="shared" si="20"/>
        <v>695081.64999999991</v>
      </c>
      <c r="S249" s="437">
        <f>+'A) Base RI'!U249</f>
        <v>69</v>
      </c>
      <c r="T249" s="394">
        <f t="shared" si="21"/>
        <v>600281.44999999995</v>
      </c>
      <c r="U249" s="394">
        <f t="shared" si="22"/>
        <v>10073.647101449274</v>
      </c>
      <c r="V249" s="10">
        <f>+'A) Base RI'!O249</f>
        <v>0</v>
      </c>
      <c r="W249" s="10">
        <f>+'A) Base RI'!P249</f>
        <v>44013.45</v>
      </c>
      <c r="X249" s="10">
        <f>+'A) Base RI'!R249</f>
        <v>19216.5</v>
      </c>
      <c r="Y249" s="394">
        <f t="shared" si="23"/>
        <v>63229.95</v>
      </c>
      <c r="Z249" s="10">
        <f>+'A) Base RI'!N249</f>
        <v>5222.3500000000004</v>
      </c>
      <c r="AA249" s="10">
        <f>'A) Base RI'!V249</f>
        <v>407</v>
      </c>
    </row>
    <row r="250" spans="1:27" x14ac:dyDescent="0.25">
      <c r="A250" s="8">
        <f>'A) Base RI'!A250</f>
        <v>5821</v>
      </c>
      <c r="B250" s="32" t="str">
        <f>'A) Base RI'!B250</f>
        <v>Missy</v>
      </c>
      <c r="C250" s="10">
        <f>'A) Base RI'!C250+'A) Base RI'!D250</f>
        <v>508439.89999999997</v>
      </c>
      <c r="D250" s="10">
        <f>'A) Base RI'!W250</f>
        <v>-14061.66</v>
      </c>
      <c r="E250" s="390">
        <f>'A) Base RI'!X250</f>
        <v>0</v>
      </c>
      <c r="F250" s="390">
        <f>'A) Base RI'!Y250</f>
        <v>0</v>
      </c>
      <c r="G250" s="394">
        <f t="shared" si="18"/>
        <v>494378.23999999999</v>
      </c>
      <c r="H250" s="10">
        <f>+'A) Base RI'!E250</f>
        <v>0</v>
      </c>
      <c r="I250" s="10">
        <f>+'A) Base RI'!F250</f>
        <v>2230</v>
      </c>
      <c r="J250" s="10">
        <f>+'A) Base RI'!G250+'A) Base RI'!H250+'A) Base RI'!S250</f>
        <v>6697.72</v>
      </c>
      <c r="K250" s="10">
        <f>+'A) Base RI'!I250</f>
        <v>0</v>
      </c>
      <c r="L250" s="10">
        <f>+'A) Base RI'!J250</f>
        <v>21347.9</v>
      </c>
      <c r="M250" s="10">
        <f>+'A) Base RI'!K250</f>
        <v>1305</v>
      </c>
      <c r="N250" s="10">
        <f>+'A) Base RI'!Q250</f>
        <v>514.79999999999995</v>
      </c>
      <c r="O250" s="10">
        <f t="shared" si="19"/>
        <v>52743.7</v>
      </c>
      <c r="P250" s="10">
        <f>+'A) Base RI'!L250</f>
        <v>52743.7</v>
      </c>
      <c r="Q250" s="402">
        <f>'A) Base RI'!Z250</f>
        <v>1</v>
      </c>
      <c r="R250" s="394">
        <f t="shared" si="20"/>
        <v>579217.36</v>
      </c>
      <c r="S250" s="437">
        <f>+'A) Base RI'!U250</f>
        <v>72</v>
      </c>
      <c r="T250" s="394">
        <f t="shared" si="21"/>
        <v>522938.66</v>
      </c>
      <c r="U250" s="394">
        <f t="shared" si="22"/>
        <v>8044.6855555555558</v>
      </c>
      <c r="V250" s="10">
        <f>+'A) Base RI'!O250</f>
        <v>0</v>
      </c>
      <c r="W250" s="10">
        <f>+'A) Base RI'!P250</f>
        <v>8421.75</v>
      </c>
      <c r="X250" s="10">
        <f>+'A) Base RI'!R250</f>
        <v>16164</v>
      </c>
      <c r="Y250" s="394">
        <f t="shared" si="23"/>
        <v>24585.75</v>
      </c>
      <c r="Z250" s="10">
        <f>+'A) Base RI'!N250</f>
        <v>0</v>
      </c>
      <c r="AA250" s="10">
        <f>'A) Base RI'!V250</f>
        <v>366</v>
      </c>
    </row>
    <row r="251" spans="1:27" x14ac:dyDescent="0.25">
      <c r="A251" s="8">
        <f>'A) Base RI'!A251</f>
        <v>5822</v>
      </c>
      <c r="B251" s="32" t="str">
        <f>'A) Base RI'!B251</f>
        <v>Payerne</v>
      </c>
      <c r="C251" s="10">
        <f>'A) Base RI'!C251+'A) Base RI'!D251</f>
        <v>14321003.010000002</v>
      </c>
      <c r="D251" s="10">
        <f>'A) Base RI'!W251</f>
        <v>-528323.68999999994</v>
      </c>
      <c r="E251" s="390">
        <f>'A) Base RI'!X251</f>
        <v>0</v>
      </c>
      <c r="F251" s="390">
        <f>'A) Base RI'!Y251</f>
        <v>-3170.58</v>
      </c>
      <c r="G251" s="394">
        <f t="shared" si="18"/>
        <v>13789508.740000002</v>
      </c>
      <c r="H251" s="10">
        <f>+'A) Base RI'!E251</f>
        <v>0</v>
      </c>
      <c r="I251" s="10">
        <f>+'A) Base RI'!F251</f>
        <v>0</v>
      </c>
      <c r="J251" s="10">
        <f>+'A) Base RI'!G251+'A) Base RI'!H251+'A) Base RI'!S251</f>
        <v>1134017</v>
      </c>
      <c r="K251" s="10">
        <f>+'A) Base RI'!I251</f>
        <v>0</v>
      </c>
      <c r="L251" s="10">
        <f>+'A) Base RI'!J251</f>
        <v>684056.64</v>
      </c>
      <c r="M251" s="10">
        <f>+'A) Base RI'!K251</f>
        <v>209805.9</v>
      </c>
      <c r="N251" s="10">
        <f>+'A) Base RI'!Q251</f>
        <v>169489.4</v>
      </c>
      <c r="O251" s="10">
        <f t="shared" si="19"/>
        <v>1531986.75</v>
      </c>
      <c r="P251" s="10">
        <f>+'A) Base RI'!L251</f>
        <v>1531986.75</v>
      </c>
      <c r="Q251" s="402">
        <f>'A) Base RI'!Z251</f>
        <v>1</v>
      </c>
      <c r="R251" s="394">
        <f t="shared" si="20"/>
        <v>17518864.430000003</v>
      </c>
      <c r="S251" s="437">
        <f>+'A) Base RI'!U251</f>
        <v>73</v>
      </c>
      <c r="T251" s="394">
        <f t="shared" si="21"/>
        <v>15777071.780000003</v>
      </c>
      <c r="U251" s="394">
        <f t="shared" si="22"/>
        <v>239984.44424657538</v>
      </c>
      <c r="V251" s="10">
        <f>+'A) Base RI'!O251</f>
        <v>487838.2</v>
      </c>
      <c r="W251" s="10">
        <f>+'A) Base RI'!P251</f>
        <v>1137375.1000000001</v>
      </c>
      <c r="X251" s="10">
        <f>+'A) Base RI'!R251</f>
        <v>639524.65</v>
      </c>
      <c r="Y251" s="394">
        <f t="shared" si="23"/>
        <v>2264737.9500000002</v>
      </c>
      <c r="Z251" s="10">
        <f>+'A) Base RI'!N251</f>
        <v>26658.9</v>
      </c>
      <c r="AA251" s="10">
        <f>'A) Base RI'!V251</f>
        <v>10258</v>
      </c>
    </row>
    <row r="252" spans="1:27" x14ac:dyDescent="0.25">
      <c r="A252" s="8">
        <f>'A) Base RI'!A252</f>
        <v>5827</v>
      </c>
      <c r="B252" s="32" t="str">
        <f>'A) Base RI'!B252</f>
        <v>Trey</v>
      </c>
      <c r="C252" s="10">
        <f>'A) Base RI'!C252+'A) Base RI'!D252</f>
        <v>526382.49</v>
      </c>
      <c r="D252" s="10">
        <f>'A) Base RI'!W252</f>
        <v>-12646.72</v>
      </c>
      <c r="E252" s="390">
        <f>'A) Base RI'!X252</f>
        <v>0</v>
      </c>
      <c r="F252" s="390">
        <f>'A) Base RI'!Y252</f>
        <v>0</v>
      </c>
      <c r="G252" s="394">
        <f t="shared" si="18"/>
        <v>513735.77</v>
      </c>
      <c r="H252" s="10">
        <f>+'A) Base RI'!E252</f>
        <v>0</v>
      </c>
      <c r="I252" s="10">
        <f>+'A) Base RI'!F252</f>
        <v>1600</v>
      </c>
      <c r="J252" s="10">
        <f>+'A) Base RI'!G252+'A) Base RI'!H252+'A) Base RI'!S252</f>
        <v>8326.81</v>
      </c>
      <c r="K252" s="10">
        <f>+'A) Base RI'!I252</f>
        <v>0</v>
      </c>
      <c r="L252" s="10">
        <f>+'A) Base RI'!J252</f>
        <v>19238.439999999999</v>
      </c>
      <c r="M252" s="10">
        <f>+'A) Base RI'!K252</f>
        <v>1796.35</v>
      </c>
      <c r="N252" s="10">
        <f>+'A) Base RI'!Q252</f>
        <v>18140.900000000001</v>
      </c>
      <c r="O252" s="10">
        <f t="shared" si="19"/>
        <v>41462.35</v>
      </c>
      <c r="P252" s="10">
        <f>+'A) Base RI'!L252</f>
        <v>41462.35</v>
      </c>
      <c r="Q252" s="402">
        <f>'A) Base RI'!Z252</f>
        <v>1</v>
      </c>
      <c r="R252" s="394">
        <f t="shared" si="20"/>
        <v>604300.62</v>
      </c>
      <c r="S252" s="437">
        <f>+'A) Base RI'!U252</f>
        <v>78</v>
      </c>
      <c r="T252" s="394">
        <f t="shared" si="21"/>
        <v>559441.92000000004</v>
      </c>
      <c r="U252" s="394">
        <f t="shared" si="22"/>
        <v>7747.4438461538457</v>
      </c>
      <c r="V252" s="10">
        <f>+'A) Base RI'!O252</f>
        <v>0</v>
      </c>
      <c r="W252" s="10">
        <f>+'A) Base RI'!P252</f>
        <v>109292.4</v>
      </c>
      <c r="X252" s="10">
        <f>+'A) Base RI'!R252</f>
        <v>6090.35</v>
      </c>
      <c r="Y252" s="394">
        <f t="shared" si="23"/>
        <v>115382.75</v>
      </c>
      <c r="Z252" s="10">
        <f>+'A) Base RI'!N252</f>
        <v>0</v>
      </c>
      <c r="AA252" s="10">
        <f>'A) Base RI'!V252</f>
        <v>321</v>
      </c>
    </row>
    <row r="253" spans="1:27" x14ac:dyDescent="0.25">
      <c r="A253" s="8">
        <f>'A) Base RI'!A253</f>
        <v>5828</v>
      </c>
      <c r="B253" s="32" t="str">
        <f>'A) Base RI'!B253</f>
        <v>Treytorrens (Payerne)</v>
      </c>
      <c r="C253" s="10">
        <f>'A) Base RI'!C253+'A) Base RI'!D253</f>
        <v>223192.06</v>
      </c>
      <c r="D253" s="10">
        <f>'A) Base RI'!W253</f>
        <v>-888.96</v>
      </c>
      <c r="E253" s="390">
        <f>'A) Base RI'!X253</f>
        <v>0</v>
      </c>
      <c r="F253" s="390">
        <f>'A) Base RI'!Y253</f>
        <v>0</v>
      </c>
      <c r="G253" s="394">
        <f t="shared" si="18"/>
        <v>222303.1</v>
      </c>
      <c r="H253" s="10">
        <f>+'A) Base RI'!E253</f>
        <v>0</v>
      </c>
      <c r="I253" s="10">
        <f>+'A) Base RI'!F253</f>
        <v>0</v>
      </c>
      <c r="J253" s="10">
        <f>+'A) Base RI'!G253+'A) Base RI'!H253+'A) Base RI'!S253</f>
        <v>279.76</v>
      </c>
      <c r="K253" s="10">
        <f>+'A) Base RI'!I253</f>
        <v>0</v>
      </c>
      <c r="L253" s="10">
        <f>+'A) Base RI'!J253</f>
        <v>72.45</v>
      </c>
      <c r="M253" s="10">
        <f>+'A) Base RI'!K253</f>
        <v>0</v>
      </c>
      <c r="N253" s="10">
        <f>+'A) Base RI'!Q253</f>
        <v>0</v>
      </c>
      <c r="O253" s="10">
        <f t="shared" si="19"/>
        <v>16530.366666666665</v>
      </c>
      <c r="P253" s="10">
        <f>+'A) Base RI'!L253</f>
        <v>24795.55</v>
      </c>
      <c r="Q253" s="402">
        <f>'A) Base RI'!Z253</f>
        <v>1.5</v>
      </c>
      <c r="R253" s="394">
        <f t="shared" si="20"/>
        <v>239185.6766666667</v>
      </c>
      <c r="S253" s="437">
        <f>+'A) Base RI'!U253</f>
        <v>82.5</v>
      </c>
      <c r="T253" s="394">
        <f t="shared" si="21"/>
        <v>222655.31000000003</v>
      </c>
      <c r="U253" s="394">
        <f t="shared" si="22"/>
        <v>2899.2203232323236</v>
      </c>
      <c r="V253" s="10">
        <f>+'A) Base RI'!O253</f>
        <v>0</v>
      </c>
      <c r="W253" s="10">
        <f>+'A) Base RI'!P253</f>
        <v>9900</v>
      </c>
      <c r="X253" s="10">
        <f>+'A) Base RI'!R253</f>
        <v>3774.05</v>
      </c>
      <c r="Y253" s="394">
        <f t="shared" si="23"/>
        <v>13674.05</v>
      </c>
      <c r="Z253" s="10">
        <f>+'A) Base RI'!N253</f>
        <v>0</v>
      </c>
      <c r="AA253" s="10">
        <f>'A) Base RI'!V253</f>
        <v>110</v>
      </c>
    </row>
    <row r="254" spans="1:27" x14ac:dyDescent="0.25">
      <c r="A254" s="8">
        <f>'A) Base RI'!A254</f>
        <v>5830</v>
      </c>
      <c r="B254" s="32" t="str">
        <f>'A) Base RI'!B254</f>
        <v>Villarzel</v>
      </c>
      <c r="C254" s="10">
        <f>'A) Base RI'!C254+'A) Base RI'!D254</f>
        <v>840379.14</v>
      </c>
      <c r="D254" s="10">
        <f>'A) Base RI'!W254</f>
        <v>-5067.7700000000004</v>
      </c>
      <c r="E254" s="390">
        <f>'A) Base RI'!X254</f>
        <v>0</v>
      </c>
      <c r="F254" s="390">
        <f>'A) Base RI'!Y254</f>
        <v>-51.36</v>
      </c>
      <c r="G254" s="394">
        <f t="shared" si="18"/>
        <v>835260.01</v>
      </c>
      <c r="H254" s="10">
        <f>+'A) Base RI'!E254</f>
        <v>0</v>
      </c>
      <c r="I254" s="10">
        <f>+'A) Base RI'!F254</f>
        <v>0</v>
      </c>
      <c r="J254" s="10">
        <f>+'A) Base RI'!G254+'A) Base RI'!H254+'A) Base RI'!S254</f>
        <v>12545.18</v>
      </c>
      <c r="K254" s="10">
        <f>+'A) Base RI'!I254</f>
        <v>0</v>
      </c>
      <c r="L254" s="10">
        <f>+'A) Base RI'!J254</f>
        <v>12123.73</v>
      </c>
      <c r="M254" s="10">
        <f>+'A) Base RI'!K254</f>
        <v>441.2</v>
      </c>
      <c r="N254" s="10">
        <f>+'A) Base RI'!Q254</f>
        <v>9204.1</v>
      </c>
      <c r="O254" s="10">
        <f t="shared" si="19"/>
        <v>61174.8</v>
      </c>
      <c r="P254" s="10">
        <f>+'A) Base RI'!L254</f>
        <v>61174.8</v>
      </c>
      <c r="Q254" s="402">
        <f>'A) Base RI'!Z254</f>
        <v>1</v>
      </c>
      <c r="R254" s="394">
        <f t="shared" si="20"/>
        <v>930749.02</v>
      </c>
      <c r="S254" s="437">
        <f>+'A) Base RI'!U254</f>
        <v>75</v>
      </c>
      <c r="T254" s="394">
        <f t="shared" si="21"/>
        <v>869133.02</v>
      </c>
      <c r="U254" s="394">
        <f t="shared" si="22"/>
        <v>12409.986933333334</v>
      </c>
      <c r="V254" s="10">
        <f>+'A) Base RI'!O254</f>
        <v>19364.3</v>
      </c>
      <c r="W254" s="10">
        <f>+'A) Base RI'!P254</f>
        <v>50741.35</v>
      </c>
      <c r="X254" s="10">
        <f>+'A) Base RI'!R254</f>
        <v>54388.3</v>
      </c>
      <c r="Y254" s="394">
        <f t="shared" si="23"/>
        <v>124493.95</v>
      </c>
      <c r="Z254" s="10">
        <f>+'A) Base RI'!N254</f>
        <v>8196.65</v>
      </c>
      <c r="AA254" s="10">
        <f>'A) Base RI'!V254</f>
        <v>500</v>
      </c>
    </row>
    <row r="255" spans="1:27" x14ac:dyDescent="0.25">
      <c r="A255" s="8">
        <f>'A) Base RI'!A255</f>
        <v>5831</v>
      </c>
      <c r="B255" s="32" t="str">
        <f>'A) Base RI'!B255</f>
        <v>Valbroye</v>
      </c>
      <c r="C255" s="10">
        <f>'A) Base RI'!C255+'A) Base RI'!D255</f>
        <v>4954592.4800000004</v>
      </c>
      <c r="D255" s="10">
        <f>'A) Base RI'!W255</f>
        <v>-137134.32</v>
      </c>
      <c r="E255" s="390">
        <f>'A) Base RI'!X255</f>
        <v>0</v>
      </c>
      <c r="F255" s="390">
        <f>'A) Base RI'!Y255</f>
        <v>-591.34</v>
      </c>
      <c r="G255" s="394">
        <f t="shared" si="18"/>
        <v>4816866.82</v>
      </c>
      <c r="H255" s="10">
        <f>+'A) Base RI'!E255</f>
        <v>0</v>
      </c>
      <c r="I255" s="10">
        <f>+'A) Base RI'!F255</f>
        <v>0</v>
      </c>
      <c r="J255" s="10">
        <f>+'A) Base RI'!G255+'A) Base RI'!H255+'A) Base RI'!S255</f>
        <v>169321.99</v>
      </c>
      <c r="K255" s="10">
        <f>+'A) Base RI'!I255</f>
        <v>0</v>
      </c>
      <c r="L255" s="10">
        <f>+'A) Base RI'!J255</f>
        <v>163886.23000000001</v>
      </c>
      <c r="M255" s="10">
        <f>+'A) Base RI'!K255</f>
        <v>24539.599999999999</v>
      </c>
      <c r="N255" s="10">
        <f>+'A) Base RI'!Q255</f>
        <v>41332.51</v>
      </c>
      <c r="O255" s="10">
        <f t="shared" si="19"/>
        <v>498035.83333333337</v>
      </c>
      <c r="P255" s="10">
        <f>+'A) Base RI'!L255</f>
        <v>298821.5</v>
      </c>
      <c r="Q255" s="402">
        <f>'A) Base RI'!Z255</f>
        <v>0.6</v>
      </c>
      <c r="R255" s="394">
        <f t="shared" si="20"/>
        <v>5713982.9833333334</v>
      </c>
      <c r="S255" s="437">
        <f>+'A) Base RI'!U255</f>
        <v>70.5</v>
      </c>
      <c r="T255" s="394">
        <f t="shared" si="21"/>
        <v>5191407.5500000007</v>
      </c>
      <c r="U255" s="394">
        <f t="shared" si="22"/>
        <v>81049.404018912537</v>
      </c>
      <c r="V255" s="10">
        <f>+'A) Base RI'!O255</f>
        <v>190844.4</v>
      </c>
      <c r="W255" s="10">
        <f>+'A) Base RI'!P255</f>
        <v>278818.25</v>
      </c>
      <c r="X255" s="10">
        <f>+'A) Base RI'!R255</f>
        <v>382124.95</v>
      </c>
      <c r="Y255" s="394">
        <f t="shared" si="23"/>
        <v>851787.60000000009</v>
      </c>
      <c r="Z255" s="10">
        <f>+'A) Base RI'!N255</f>
        <v>21377.35</v>
      </c>
      <c r="AA255" s="10">
        <f>'A) Base RI'!V255</f>
        <v>3349</v>
      </c>
    </row>
    <row r="256" spans="1:27" x14ac:dyDescent="0.25">
      <c r="A256" s="8">
        <f>'A) Base RI'!A256</f>
        <v>5841</v>
      </c>
      <c r="B256" s="32" t="str">
        <f>'A) Base RI'!B256</f>
        <v>Château-d'Oex</v>
      </c>
      <c r="C256" s="10">
        <f>'A) Base RI'!C256+'A) Base RI'!D256</f>
        <v>7096883.7800000003</v>
      </c>
      <c r="D256" s="10">
        <f>'A) Base RI'!W256</f>
        <v>-292514.46000000002</v>
      </c>
      <c r="E256" s="390">
        <f>'A) Base RI'!X256</f>
        <v>0</v>
      </c>
      <c r="F256" s="390">
        <f>'A) Base RI'!Y256</f>
        <v>-7607.52</v>
      </c>
      <c r="G256" s="394">
        <f t="shared" si="18"/>
        <v>6796761.8000000007</v>
      </c>
      <c r="H256" s="10">
        <f>+'A) Base RI'!E256</f>
        <v>0</v>
      </c>
      <c r="I256" s="10">
        <f>+'A) Base RI'!F256</f>
        <v>0</v>
      </c>
      <c r="J256" s="10">
        <f>+'A) Base RI'!G256+'A) Base RI'!H256+'A) Base RI'!S256</f>
        <v>180237.53</v>
      </c>
      <c r="K256" s="10">
        <f>+'A) Base RI'!I256</f>
        <v>607555.07999999996</v>
      </c>
      <c r="L256" s="10">
        <f>+'A) Base RI'!J256</f>
        <v>395554.33</v>
      </c>
      <c r="M256" s="10">
        <f>+'A) Base RI'!K256</f>
        <v>23339.8</v>
      </c>
      <c r="N256" s="10">
        <f>+'A) Base RI'!Q256</f>
        <v>7461.84</v>
      </c>
      <c r="O256" s="10">
        <f t="shared" si="19"/>
        <v>1023987.1</v>
      </c>
      <c r="P256" s="10">
        <f>+'A) Base RI'!L256</f>
        <v>1535980.65</v>
      </c>
      <c r="Q256" s="402">
        <f>'A) Base RI'!Z256</f>
        <v>1.5</v>
      </c>
      <c r="R256" s="394">
        <f t="shared" si="20"/>
        <v>9034897.4800000004</v>
      </c>
      <c r="S256" s="437">
        <f>+'A) Base RI'!U256</f>
        <v>81.5</v>
      </c>
      <c r="T256" s="394">
        <f t="shared" si="21"/>
        <v>7987570.580000001</v>
      </c>
      <c r="U256" s="394">
        <f t="shared" si="22"/>
        <v>110857.63779141105</v>
      </c>
      <c r="V256" s="10">
        <f>+'A) Base RI'!O256</f>
        <v>443777</v>
      </c>
      <c r="W256" s="10">
        <f>+'A) Base RI'!P256</f>
        <v>796748.95</v>
      </c>
      <c r="X256" s="10">
        <f>+'A) Base RI'!R256</f>
        <v>545825.94999999995</v>
      </c>
      <c r="Y256" s="394">
        <f t="shared" si="23"/>
        <v>1786351.9</v>
      </c>
      <c r="Z256" s="10">
        <f>+'A) Base RI'!N256</f>
        <v>4103.45</v>
      </c>
      <c r="AA256" s="10">
        <f>'A) Base RI'!V256</f>
        <v>3549</v>
      </c>
    </row>
    <row r="257" spans="1:27" x14ac:dyDescent="0.25">
      <c r="A257" s="8">
        <f>'A) Base RI'!A257</f>
        <v>5842</v>
      </c>
      <c r="B257" s="32" t="str">
        <f>'A) Base RI'!B257</f>
        <v>Rossinière</v>
      </c>
      <c r="C257" s="10">
        <f>'A) Base RI'!C257+'A) Base RI'!D257</f>
        <v>1002680.83</v>
      </c>
      <c r="D257" s="10">
        <f>'A) Base RI'!W257</f>
        <v>-3160.77</v>
      </c>
      <c r="E257" s="390">
        <f>'A) Base RI'!X257</f>
        <v>0</v>
      </c>
      <c r="F257" s="390">
        <f>'A) Base RI'!Y257</f>
        <v>-310.87</v>
      </c>
      <c r="G257" s="394">
        <f t="shared" si="18"/>
        <v>999209.19</v>
      </c>
      <c r="H257" s="10">
        <f>+'A) Base RI'!E257</f>
        <v>0</v>
      </c>
      <c r="I257" s="10">
        <f>+'A) Base RI'!F257</f>
        <v>0</v>
      </c>
      <c r="J257" s="10">
        <f>+'A) Base RI'!G257+'A) Base RI'!H257+'A) Base RI'!S257</f>
        <v>84488.97</v>
      </c>
      <c r="K257" s="10">
        <f>+'A) Base RI'!I257</f>
        <v>20057.8</v>
      </c>
      <c r="L257" s="10">
        <f>+'A) Base RI'!J257</f>
        <v>10197.969999999999</v>
      </c>
      <c r="M257" s="10">
        <f>+'A) Base RI'!K257</f>
        <v>916.35</v>
      </c>
      <c r="N257" s="10">
        <f>+'A) Base RI'!Q257</f>
        <v>0</v>
      </c>
      <c r="O257" s="10">
        <f t="shared" si="19"/>
        <v>95648.833333333328</v>
      </c>
      <c r="P257" s="10">
        <f>+'A) Base RI'!L257</f>
        <v>143473.25</v>
      </c>
      <c r="Q257" s="402">
        <f>'A) Base RI'!Z257</f>
        <v>1.5</v>
      </c>
      <c r="R257" s="394">
        <f t="shared" si="20"/>
        <v>1210519.1133333333</v>
      </c>
      <c r="S257" s="437">
        <f>+'A) Base RI'!U257</f>
        <v>81</v>
      </c>
      <c r="T257" s="394">
        <f t="shared" si="21"/>
        <v>1113953.93</v>
      </c>
      <c r="U257" s="394">
        <f t="shared" si="22"/>
        <v>14944.680411522633</v>
      </c>
      <c r="V257" s="10">
        <f>+'A) Base RI'!O257</f>
        <v>27713.5</v>
      </c>
      <c r="W257" s="10">
        <f>+'A) Base RI'!P257</f>
        <v>26823.7</v>
      </c>
      <c r="X257" s="10">
        <f>+'A) Base RI'!R257</f>
        <v>32625.15</v>
      </c>
      <c r="Y257" s="394">
        <f t="shared" si="23"/>
        <v>87162.35</v>
      </c>
      <c r="Z257" s="10">
        <f>+'A) Base RI'!N257</f>
        <v>0</v>
      </c>
      <c r="AA257" s="10">
        <f>'A) Base RI'!V257</f>
        <v>534</v>
      </c>
    </row>
    <row r="258" spans="1:27" x14ac:dyDescent="0.25">
      <c r="A258" s="8">
        <f>'A) Base RI'!A258</f>
        <v>5843</v>
      </c>
      <c r="B258" s="32" t="str">
        <f>'A) Base RI'!B258</f>
        <v>Rougemont</v>
      </c>
      <c r="C258" s="10">
        <f>'A) Base RI'!C258+'A) Base RI'!D258</f>
        <v>4547704.18</v>
      </c>
      <c r="D258" s="10">
        <f>'A) Base RI'!W258</f>
        <v>-12741.46</v>
      </c>
      <c r="E258" s="390">
        <f>'A) Base RI'!X258</f>
        <v>0</v>
      </c>
      <c r="F258" s="390">
        <f>'A) Base RI'!Y258</f>
        <v>-19721.29</v>
      </c>
      <c r="G258" s="394">
        <f t="shared" si="18"/>
        <v>4515241.43</v>
      </c>
      <c r="H258" s="10">
        <f>+'A) Base RI'!E258</f>
        <v>0</v>
      </c>
      <c r="I258" s="10">
        <f>+'A) Base RI'!F258</f>
        <v>0</v>
      </c>
      <c r="J258" s="10">
        <f>+'A) Base RI'!G258+'A) Base RI'!H258+'A) Base RI'!S258</f>
        <v>128014.79000000001</v>
      </c>
      <c r="K258" s="10">
        <f>+'A) Base RI'!I258</f>
        <v>1583236.52</v>
      </c>
      <c r="L258" s="10">
        <f>+'A) Base RI'!J258</f>
        <v>87280.53</v>
      </c>
      <c r="M258" s="10">
        <f>+'A) Base RI'!K258</f>
        <v>37320.050000000003</v>
      </c>
      <c r="N258" s="10">
        <f>+'A) Base RI'!Q258</f>
        <v>22904.38</v>
      </c>
      <c r="O258" s="10">
        <f t="shared" si="19"/>
        <v>810522.4</v>
      </c>
      <c r="P258" s="10">
        <f>+'A) Base RI'!L258</f>
        <v>1215783.6000000001</v>
      </c>
      <c r="Q258" s="402">
        <f>'A) Base RI'!Z258</f>
        <v>1.5</v>
      </c>
      <c r="R258" s="394">
        <f t="shared" si="20"/>
        <v>7184520.1000000006</v>
      </c>
      <c r="S258" s="437">
        <f>+'A) Base RI'!U258</f>
        <v>74</v>
      </c>
      <c r="T258" s="394">
        <f t="shared" si="21"/>
        <v>6336677.6500000004</v>
      </c>
      <c r="U258" s="394">
        <f t="shared" si="22"/>
        <v>97088.109459459462</v>
      </c>
      <c r="V258" s="10">
        <f>+'A) Base RI'!O258</f>
        <v>574714.4</v>
      </c>
      <c r="W258" s="10">
        <f>+'A) Base RI'!P258</f>
        <v>746902.4</v>
      </c>
      <c r="X258" s="10">
        <f>+'A) Base RI'!R258</f>
        <v>995117.3</v>
      </c>
      <c r="Y258" s="394">
        <f t="shared" si="23"/>
        <v>2316734.1</v>
      </c>
      <c r="Z258" s="10">
        <f>+'A) Base RI'!N258</f>
        <v>10483.35</v>
      </c>
      <c r="AA258" s="10">
        <f>'A) Base RI'!V258</f>
        <v>862</v>
      </c>
    </row>
    <row r="259" spans="1:27" x14ac:dyDescent="0.25">
      <c r="A259" s="8">
        <f>'A) Base RI'!A259</f>
        <v>5851</v>
      </c>
      <c r="B259" s="32" t="str">
        <f>'A) Base RI'!B259</f>
        <v>Allaman</v>
      </c>
      <c r="C259" s="10">
        <f>'A) Base RI'!C259+'A) Base RI'!D259</f>
        <v>1113825.68</v>
      </c>
      <c r="D259" s="10">
        <f>'A) Base RI'!W259</f>
        <v>-11973.54</v>
      </c>
      <c r="E259" s="390">
        <f>'A) Base RI'!X259</f>
        <v>0</v>
      </c>
      <c r="F259" s="390">
        <f>'A) Base RI'!Y259</f>
        <v>-916.92</v>
      </c>
      <c r="G259" s="394">
        <f t="shared" si="18"/>
        <v>1100935.22</v>
      </c>
      <c r="H259" s="10">
        <f>+'A) Base RI'!E259</f>
        <v>0</v>
      </c>
      <c r="I259" s="10">
        <f>+'A) Base RI'!F259</f>
        <v>0</v>
      </c>
      <c r="J259" s="10">
        <f>+'A) Base RI'!G259+'A) Base RI'!H259+'A) Base RI'!S259</f>
        <v>85373.96</v>
      </c>
      <c r="K259" s="10">
        <f>+'A) Base RI'!I259</f>
        <v>16716.099999999999</v>
      </c>
      <c r="L259" s="10">
        <f>+'A) Base RI'!J259</f>
        <v>43367.31</v>
      </c>
      <c r="M259" s="10">
        <f>+'A) Base RI'!K259</f>
        <v>23465</v>
      </c>
      <c r="N259" s="10">
        <f>+'A) Base RI'!Q259</f>
        <v>1194.1500000000001</v>
      </c>
      <c r="O259" s="10">
        <f t="shared" si="19"/>
        <v>221504.40909090909</v>
      </c>
      <c r="P259" s="10">
        <f>+'A) Base RI'!L259</f>
        <v>243654.85</v>
      </c>
      <c r="Q259" s="402">
        <f>'A) Base RI'!Z259</f>
        <v>1.1000000000000001</v>
      </c>
      <c r="R259" s="394">
        <f t="shared" si="20"/>
        <v>1492556.1490909092</v>
      </c>
      <c r="S259" s="437">
        <f>+'A) Base RI'!U259</f>
        <v>60</v>
      </c>
      <c r="T259" s="394">
        <f t="shared" si="21"/>
        <v>1247586.74</v>
      </c>
      <c r="U259" s="394">
        <f t="shared" si="22"/>
        <v>24875.935818181821</v>
      </c>
      <c r="V259" s="10">
        <f>+'A) Base RI'!O259</f>
        <v>46126.7</v>
      </c>
      <c r="W259" s="10">
        <f>+'A) Base RI'!P259</f>
        <v>25826.55</v>
      </c>
      <c r="X259" s="10">
        <f>+'A) Base RI'!R259</f>
        <v>0</v>
      </c>
      <c r="Y259" s="394">
        <f t="shared" si="23"/>
        <v>71953.25</v>
      </c>
      <c r="Z259" s="10">
        <f>+'A) Base RI'!N259</f>
        <v>59074.75</v>
      </c>
      <c r="AA259" s="10">
        <f>'A) Base RI'!V259</f>
        <v>430</v>
      </c>
    </row>
    <row r="260" spans="1:27" x14ac:dyDescent="0.25">
      <c r="A260" s="8">
        <f>'A) Base RI'!A260</f>
        <v>5852</v>
      </c>
      <c r="B260" s="32" t="str">
        <f>'A) Base RI'!B260</f>
        <v>Bursinel</v>
      </c>
      <c r="C260" s="10">
        <f>'A) Base RI'!C260+'A) Base RI'!D260</f>
        <v>1766075.25</v>
      </c>
      <c r="D260" s="10">
        <f>'A) Base RI'!W260</f>
        <v>-29844.94</v>
      </c>
      <c r="E260" s="390">
        <f>'A) Base RI'!X260</f>
        <v>0</v>
      </c>
      <c r="F260" s="390">
        <f>'A) Base RI'!Y260</f>
        <v>-66495.509999999995</v>
      </c>
      <c r="G260" s="394">
        <f t="shared" si="18"/>
        <v>1669734.8</v>
      </c>
      <c r="H260" s="10">
        <f>+'A) Base RI'!E260</f>
        <v>0</v>
      </c>
      <c r="I260" s="10">
        <f>+'A) Base RI'!F260</f>
        <v>0</v>
      </c>
      <c r="J260" s="10">
        <f>+'A) Base RI'!G260+'A) Base RI'!H260+'A) Base RI'!S260</f>
        <v>9593.65</v>
      </c>
      <c r="K260" s="10">
        <f>+'A) Base RI'!I260</f>
        <v>221080.95</v>
      </c>
      <c r="L260" s="10">
        <f>+'A) Base RI'!J260</f>
        <v>39511.160000000003</v>
      </c>
      <c r="M260" s="10">
        <f>+'A) Base RI'!K260</f>
        <v>7060.35</v>
      </c>
      <c r="N260" s="10">
        <f>+'A) Base RI'!Q260</f>
        <v>9680</v>
      </c>
      <c r="O260" s="10">
        <f t="shared" si="19"/>
        <v>190811.86666666667</v>
      </c>
      <c r="P260" s="10">
        <f>+'A) Base RI'!L260</f>
        <v>143108.9</v>
      </c>
      <c r="Q260" s="402">
        <f>'A) Base RI'!Z260</f>
        <v>0.75</v>
      </c>
      <c r="R260" s="394">
        <f t="shared" si="20"/>
        <v>2147472.7766666664</v>
      </c>
      <c r="S260" s="437">
        <f>+'A) Base RI'!U260</f>
        <v>62</v>
      </c>
      <c r="T260" s="394">
        <f t="shared" si="21"/>
        <v>1949600.5599999998</v>
      </c>
      <c r="U260" s="394">
        <f t="shared" si="22"/>
        <v>34636.657688172039</v>
      </c>
      <c r="V260" s="10">
        <f>+'A) Base RI'!O260</f>
        <v>-3500</v>
      </c>
      <c r="W260" s="10">
        <f>+'A) Base RI'!P260</f>
        <v>162199.95000000001</v>
      </c>
      <c r="X260" s="10">
        <f>+'A) Base RI'!R260</f>
        <v>176858.35</v>
      </c>
      <c r="Y260" s="394">
        <f t="shared" si="23"/>
        <v>335558.30000000005</v>
      </c>
      <c r="Z260" s="10">
        <f>+'A) Base RI'!N260</f>
        <v>9375.5499999999993</v>
      </c>
      <c r="AA260" s="10">
        <f>'A) Base RI'!V260</f>
        <v>515</v>
      </c>
    </row>
    <row r="261" spans="1:27" x14ac:dyDescent="0.25">
      <c r="A261" s="8">
        <f>'A) Base RI'!A261</f>
        <v>5853</v>
      </c>
      <c r="B261" s="32" t="str">
        <f>'A) Base RI'!B261</f>
        <v>Bursins</v>
      </c>
      <c r="C261" s="10">
        <f>'A) Base RI'!C261+'A) Base RI'!D261</f>
        <v>2581559.15</v>
      </c>
      <c r="D261" s="10">
        <f>'A) Base RI'!W261</f>
        <v>-37360.03</v>
      </c>
      <c r="E261" s="390">
        <f>'A) Base RI'!X261</f>
        <v>0</v>
      </c>
      <c r="F261" s="390">
        <f>'A) Base RI'!Y261</f>
        <v>-956.95</v>
      </c>
      <c r="G261" s="394">
        <f t="shared" si="18"/>
        <v>2543242.17</v>
      </c>
      <c r="H261" s="10">
        <f>+'A) Base RI'!E261</f>
        <v>0</v>
      </c>
      <c r="I261" s="10">
        <f>+'A) Base RI'!F261</f>
        <v>0</v>
      </c>
      <c r="J261" s="10">
        <f>+'A) Base RI'!G261+'A) Base RI'!H261+'A) Base RI'!S261</f>
        <v>46474.8</v>
      </c>
      <c r="K261" s="10">
        <f>+'A) Base RI'!I261</f>
        <v>305622.55</v>
      </c>
      <c r="L261" s="10">
        <f>+'A) Base RI'!J261</f>
        <v>22948.99</v>
      </c>
      <c r="M261" s="10">
        <f>+'A) Base RI'!K261</f>
        <v>12241.2</v>
      </c>
      <c r="N261" s="10">
        <f>+'A) Base RI'!Q261</f>
        <v>11620.92</v>
      </c>
      <c r="O261" s="10">
        <f t="shared" si="19"/>
        <v>216377.5</v>
      </c>
      <c r="P261" s="10">
        <f>+'A) Base RI'!L261</f>
        <v>216377.5</v>
      </c>
      <c r="Q261" s="402">
        <f>'A) Base RI'!Z261</f>
        <v>1</v>
      </c>
      <c r="R261" s="394">
        <f t="shared" si="20"/>
        <v>3158528.13</v>
      </c>
      <c r="S261" s="437">
        <f>+'A) Base RI'!U261</f>
        <v>71</v>
      </c>
      <c r="T261" s="394">
        <f t="shared" si="21"/>
        <v>2929909.4299999997</v>
      </c>
      <c r="U261" s="394">
        <f t="shared" si="22"/>
        <v>44486.311690140843</v>
      </c>
      <c r="V261" s="10">
        <f>+'A) Base RI'!O261</f>
        <v>49723.4</v>
      </c>
      <c r="W261" s="10">
        <f>+'A) Base RI'!P261</f>
        <v>262434.90000000002</v>
      </c>
      <c r="X261" s="10">
        <f>+'A) Base RI'!R261</f>
        <v>209867.1</v>
      </c>
      <c r="Y261" s="394">
        <f t="shared" si="23"/>
        <v>522025.4</v>
      </c>
      <c r="Z261" s="10">
        <f>+'A) Base RI'!N261</f>
        <v>82707.899999999994</v>
      </c>
      <c r="AA261" s="10">
        <f>'A) Base RI'!V261</f>
        <v>773</v>
      </c>
    </row>
    <row r="262" spans="1:27" x14ac:dyDescent="0.25">
      <c r="A262" s="8">
        <f>'A) Base RI'!A262</f>
        <v>5854</v>
      </c>
      <c r="B262" s="32" t="str">
        <f>'A) Base RI'!B262</f>
        <v>Burtigny</v>
      </c>
      <c r="C262" s="10">
        <f>'A) Base RI'!C262+'A) Base RI'!D262</f>
        <v>1117718.23</v>
      </c>
      <c r="D262" s="10">
        <f>'A) Base RI'!W262</f>
        <v>-1105.19</v>
      </c>
      <c r="E262" s="390">
        <f>'A) Base RI'!X262</f>
        <v>0</v>
      </c>
      <c r="F262" s="390">
        <f>'A) Base RI'!Y262</f>
        <v>-352.74</v>
      </c>
      <c r="G262" s="394">
        <f t="shared" si="18"/>
        <v>1116260.3</v>
      </c>
      <c r="H262" s="10">
        <f>+'A) Base RI'!E262</f>
        <v>0</v>
      </c>
      <c r="I262" s="10">
        <f>+'A) Base RI'!F262</f>
        <v>0</v>
      </c>
      <c r="J262" s="10">
        <f>+'A) Base RI'!G262+'A) Base RI'!H262+'A) Base RI'!S262</f>
        <v>9399.380000000001</v>
      </c>
      <c r="K262" s="10">
        <f>+'A) Base RI'!I262</f>
        <v>0</v>
      </c>
      <c r="L262" s="10">
        <f>+'A) Base RI'!J262</f>
        <v>16366.43</v>
      </c>
      <c r="M262" s="10">
        <f>+'A) Base RI'!K262</f>
        <v>2158.9</v>
      </c>
      <c r="N262" s="10">
        <f>+'A) Base RI'!Q262</f>
        <v>0</v>
      </c>
      <c r="O262" s="10">
        <f t="shared" si="19"/>
        <v>76292.366666666669</v>
      </c>
      <c r="P262" s="10">
        <f>+'A) Base RI'!L262</f>
        <v>114438.55</v>
      </c>
      <c r="Q262" s="402">
        <f>'A) Base RI'!Z262</f>
        <v>1.5</v>
      </c>
      <c r="R262" s="394">
        <f t="shared" si="20"/>
        <v>1220477.3766666665</v>
      </c>
      <c r="S262" s="437">
        <f>+'A) Base RI'!U262</f>
        <v>80</v>
      </c>
      <c r="T262" s="394">
        <f t="shared" si="21"/>
        <v>1142026.1099999999</v>
      </c>
      <c r="U262" s="394">
        <f t="shared" si="22"/>
        <v>15255.967208333332</v>
      </c>
      <c r="V262" s="10">
        <f>+'A) Base RI'!O262</f>
        <v>0</v>
      </c>
      <c r="W262" s="10">
        <f>+'A) Base RI'!P262</f>
        <v>8626.4</v>
      </c>
      <c r="X262" s="10">
        <f>+'A) Base RI'!R262</f>
        <v>36756.15</v>
      </c>
      <c r="Y262" s="394">
        <f t="shared" si="23"/>
        <v>45382.55</v>
      </c>
      <c r="Z262" s="10">
        <f>+'A) Base RI'!N262</f>
        <v>42212.55</v>
      </c>
      <c r="AA262" s="10">
        <f>'A) Base RI'!V262</f>
        <v>416</v>
      </c>
    </row>
    <row r="263" spans="1:27" x14ac:dyDescent="0.25">
      <c r="A263" s="8">
        <f>'A) Base RI'!A263</f>
        <v>5855</v>
      </c>
      <c r="B263" s="32" t="str">
        <f>'A) Base RI'!B263</f>
        <v>Dully</v>
      </c>
      <c r="C263" s="10">
        <f>'A) Base RI'!C263+'A) Base RI'!D263</f>
        <v>3328965.98</v>
      </c>
      <c r="D263" s="10">
        <f>'A) Base RI'!W263</f>
        <v>-127.1</v>
      </c>
      <c r="E263" s="390">
        <f>'A) Base RI'!X263</f>
        <v>0</v>
      </c>
      <c r="F263" s="390">
        <f>'A) Base RI'!Y263</f>
        <v>-24720.01</v>
      </c>
      <c r="G263" s="394">
        <f t="shared" ref="G263:G314" si="24">SUM(C263:F263)</f>
        <v>3304118.87</v>
      </c>
      <c r="H263" s="10">
        <f>+'A) Base RI'!E263</f>
        <v>0</v>
      </c>
      <c r="I263" s="10">
        <f>+'A) Base RI'!F263</f>
        <v>0</v>
      </c>
      <c r="J263" s="10">
        <f>+'A) Base RI'!G263+'A) Base RI'!H263+'A) Base RI'!S263</f>
        <v>99499.86</v>
      </c>
      <c r="K263" s="10">
        <f>+'A) Base RI'!I263</f>
        <v>758620.05</v>
      </c>
      <c r="L263" s="10">
        <f>+'A) Base RI'!J263</f>
        <v>41220.51</v>
      </c>
      <c r="M263" s="10">
        <f>+'A) Base RI'!K263</f>
        <v>16418.5</v>
      </c>
      <c r="N263" s="10">
        <f>+'A) Base RI'!Q263</f>
        <v>0</v>
      </c>
      <c r="O263" s="10">
        <f t="shared" ref="O263:O314" si="25">(P263/Q263)*1</f>
        <v>370645.7</v>
      </c>
      <c r="P263" s="10">
        <f>+'A) Base RI'!L263</f>
        <v>370645.7</v>
      </c>
      <c r="Q263" s="402">
        <f>'A) Base RI'!Z263</f>
        <v>1</v>
      </c>
      <c r="R263" s="394">
        <f t="shared" ref="R263:R314" si="26">SUM(G263:O263)</f>
        <v>4590523.49</v>
      </c>
      <c r="S263" s="437">
        <f>+'A) Base RI'!U263</f>
        <v>49</v>
      </c>
      <c r="T263" s="394">
        <f t="shared" ref="T263:T314" si="27">(G263+H263+J263+K263+L263+N263)</f>
        <v>4203459.29</v>
      </c>
      <c r="U263" s="394">
        <f t="shared" ref="U263:U314" si="28">R263/S263</f>
        <v>93684.152857142864</v>
      </c>
      <c r="V263" s="10">
        <f>+'A) Base RI'!O263</f>
        <v>0</v>
      </c>
      <c r="W263" s="10">
        <f>+'A) Base RI'!P263</f>
        <v>480920</v>
      </c>
      <c r="X263" s="10">
        <f>+'A) Base RI'!R263</f>
        <v>186622.65</v>
      </c>
      <c r="Y263" s="394">
        <f t="shared" ref="Y263:Y314" si="29">SUM(V263:X263)</f>
        <v>667542.65</v>
      </c>
      <c r="Z263" s="10">
        <f>+'A) Base RI'!N263</f>
        <v>1358.65</v>
      </c>
      <c r="AA263" s="10">
        <f>'A) Base RI'!V263</f>
        <v>634</v>
      </c>
    </row>
    <row r="264" spans="1:27" x14ac:dyDescent="0.25">
      <c r="A264" s="8">
        <f>'A) Base RI'!A264</f>
        <v>5856</v>
      </c>
      <c r="B264" s="32" t="str">
        <f>'A) Base RI'!B264</f>
        <v>Essertines-sur-Rolle</v>
      </c>
      <c r="C264" s="10">
        <f>'A) Base RI'!C264+'A) Base RI'!D264</f>
        <v>2292465.4700000002</v>
      </c>
      <c r="D264" s="10">
        <f>'A) Base RI'!W264</f>
        <v>-11108.16</v>
      </c>
      <c r="E264" s="390">
        <f>'A) Base RI'!X264</f>
        <v>0</v>
      </c>
      <c r="F264" s="390">
        <f>'A) Base RI'!Y264</f>
        <v>-1328.98</v>
      </c>
      <c r="G264" s="394">
        <f t="shared" si="24"/>
        <v>2280028.33</v>
      </c>
      <c r="H264" s="10">
        <f>+'A) Base RI'!E264</f>
        <v>0</v>
      </c>
      <c r="I264" s="10">
        <f>+'A) Base RI'!F264</f>
        <v>0</v>
      </c>
      <c r="J264" s="10">
        <f>+'A) Base RI'!G264+'A) Base RI'!H264+'A) Base RI'!S264</f>
        <v>17779.91</v>
      </c>
      <c r="K264" s="10">
        <f>+'A) Base RI'!I264</f>
        <v>289067.8</v>
      </c>
      <c r="L264" s="10">
        <f>+'A) Base RI'!J264</f>
        <v>22811.4</v>
      </c>
      <c r="M264" s="10">
        <f>+'A) Base RI'!K264</f>
        <v>2840.1</v>
      </c>
      <c r="N264" s="10">
        <f>+'A) Base RI'!Q264</f>
        <v>221.8</v>
      </c>
      <c r="O264" s="10">
        <f t="shared" si="25"/>
        <v>194888.26923076922</v>
      </c>
      <c r="P264" s="10">
        <f>+'A) Base RI'!L264</f>
        <v>253354.75</v>
      </c>
      <c r="Q264" s="402">
        <f>'A) Base RI'!Z264</f>
        <v>1.3</v>
      </c>
      <c r="R264" s="394">
        <f t="shared" si="26"/>
        <v>2807637.6092307689</v>
      </c>
      <c r="S264" s="437">
        <f>+'A) Base RI'!U264</f>
        <v>66.5</v>
      </c>
      <c r="T264" s="394">
        <f t="shared" si="27"/>
        <v>2609909.2399999998</v>
      </c>
      <c r="U264" s="394">
        <f t="shared" si="28"/>
        <v>42220.114424522842</v>
      </c>
      <c r="V264" s="10">
        <f>+'A) Base RI'!O264</f>
        <v>11110.6</v>
      </c>
      <c r="W264" s="10">
        <f>+'A) Base RI'!P264</f>
        <v>215233.5</v>
      </c>
      <c r="X264" s="10">
        <f>+'A) Base RI'!R264</f>
        <v>239416.85</v>
      </c>
      <c r="Y264" s="394">
        <f t="shared" si="29"/>
        <v>465760.95</v>
      </c>
      <c r="Z264" s="10">
        <f>+'A) Base RI'!N264</f>
        <v>6571.75</v>
      </c>
      <c r="AA264" s="10">
        <f>'A) Base RI'!V264</f>
        <v>753</v>
      </c>
    </row>
    <row r="265" spans="1:27" x14ac:dyDescent="0.25">
      <c r="A265" s="8">
        <f>'A) Base RI'!A265</f>
        <v>5857</v>
      </c>
      <c r="B265" s="32" t="str">
        <f>'A) Base RI'!B265</f>
        <v>Gilly</v>
      </c>
      <c r="C265" s="10">
        <f>'A) Base RI'!C265+'A) Base RI'!D265</f>
        <v>5260063.49</v>
      </c>
      <c r="D265" s="10">
        <f>'A) Base RI'!W265</f>
        <v>-35827.82</v>
      </c>
      <c r="E265" s="390">
        <f>'A) Base RI'!X265</f>
        <v>0</v>
      </c>
      <c r="F265" s="390">
        <f>'A) Base RI'!Y265</f>
        <v>-888.64</v>
      </c>
      <c r="G265" s="394">
        <f t="shared" si="24"/>
        <v>5223347.03</v>
      </c>
      <c r="H265" s="10">
        <f>+'A) Base RI'!E265</f>
        <v>0</v>
      </c>
      <c r="I265" s="10">
        <f>+'A) Base RI'!F265</f>
        <v>0</v>
      </c>
      <c r="J265" s="10">
        <f>+'A) Base RI'!G265+'A) Base RI'!H265+'A) Base RI'!S265</f>
        <v>31341.95</v>
      </c>
      <c r="K265" s="10">
        <f>+'A) Base RI'!I265</f>
        <v>0</v>
      </c>
      <c r="L265" s="10">
        <f>+'A) Base RI'!J265</f>
        <v>35675.550000000003</v>
      </c>
      <c r="M265" s="10">
        <f>+'A) Base RI'!K265</f>
        <v>21221.55</v>
      </c>
      <c r="N265" s="10">
        <f>+'A) Base RI'!Q265</f>
        <v>0</v>
      </c>
      <c r="O265" s="10">
        <f t="shared" si="25"/>
        <v>420306.65</v>
      </c>
      <c r="P265" s="10">
        <f>+'A) Base RI'!L265</f>
        <v>420306.65</v>
      </c>
      <c r="Q265" s="402">
        <f>'A) Base RI'!Z265</f>
        <v>1</v>
      </c>
      <c r="R265" s="394">
        <f t="shared" si="26"/>
        <v>5731892.7300000004</v>
      </c>
      <c r="S265" s="437">
        <f>+'A) Base RI'!U265</f>
        <v>64.5</v>
      </c>
      <c r="T265" s="394">
        <f t="shared" si="27"/>
        <v>5290364.53</v>
      </c>
      <c r="U265" s="394">
        <f t="shared" si="28"/>
        <v>88866.553953488372</v>
      </c>
      <c r="V265" s="10">
        <f>+'A) Base RI'!O265</f>
        <v>0</v>
      </c>
      <c r="W265" s="10">
        <f>+'A) Base RI'!P265</f>
        <v>249526.39999999999</v>
      </c>
      <c r="X265" s="10">
        <f>+'A) Base RI'!R265</f>
        <v>190326.55</v>
      </c>
      <c r="Y265" s="394">
        <f t="shared" si="29"/>
        <v>439852.94999999995</v>
      </c>
      <c r="Z265" s="10">
        <f>+'A) Base RI'!N265</f>
        <v>86130.95</v>
      </c>
      <c r="AA265" s="10">
        <f>'A) Base RI'!V265</f>
        <v>1438</v>
      </c>
    </row>
    <row r="266" spans="1:27" x14ac:dyDescent="0.25">
      <c r="A266" s="8">
        <f>'A) Base RI'!A266</f>
        <v>5858</v>
      </c>
      <c r="B266" s="32" t="str">
        <f>'A) Base RI'!B266</f>
        <v>Luins</v>
      </c>
      <c r="C266" s="10">
        <f>'A) Base RI'!C266+'A) Base RI'!D266</f>
        <v>1924022.05</v>
      </c>
      <c r="D266" s="10">
        <f>'A) Base RI'!W266</f>
        <v>-20864.740000000002</v>
      </c>
      <c r="E266" s="390">
        <f>'A) Base RI'!X266</f>
        <v>0</v>
      </c>
      <c r="F266" s="390">
        <f>'A) Base RI'!Y266</f>
        <v>-3434.34</v>
      </c>
      <c r="G266" s="394">
        <f t="shared" si="24"/>
        <v>1899722.97</v>
      </c>
      <c r="H266" s="10">
        <f>+'A) Base RI'!E266</f>
        <v>0</v>
      </c>
      <c r="I266" s="10">
        <f>+'A) Base RI'!F266</f>
        <v>0</v>
      </c>
      <c r="J266" s="10">
        <f>+'A) Base RI'!G266+'A) Base RI'!H266+'A) Base RI'!S266</f>
        <v>16014.78</v>
      </c>
      <c r="K266" s="10">
        <f>+'A) Base RI'!I266</f>
        <v>26062.26</v>
      </c>
      <c r="L266" s="10">
        <f>+'A) Base RI'!J266</f>
        <v>134330.93</v>
      </c>
      <c r="M266" s="10">
        <f>+'A) Base RI'!K266</f>
        <v>1653.9</v>
      </c>
      <c r="N266" s="10">
        <f>+'A) Base RI'!Q266</f>
        <v>1921.53</v>
      </c>
      <c r="O266" s="10">
        <f t="shared" si="25"/>
        <v>158117.36666666667</v>
      </c>
      <c r="P266" s="10">
        <f>+'A) Base RI'!L266</f>
        <v>237176.05</v>
      </c>
      <c r="Q266" s="402">
        <f>'A) Base RI'!Z266</f>
        <v>1.5</v>
      </c>
      <c r="R266" s="394">
        <f t="shared" si="26"/>
        <v>2237823.7366666663</v>
      </c>
      <c r="S266" s="437">
        <f>+'A) Base RI'!U266</f>
        <v>58.5</v>
      </c>
      <c r="T266" s="394">
        <f t="shared" si="27"/>
        <v>2078052.47</v>
      </c>
      <c r="U266" s="394">
        <f t="shared" si="28"/>
        <v>38253.397207977199</v>
      </c>
      <c r="V266" s="10">
        <f>+'A) Base RI'!O266</f>
        <v>370.8</v>
      </c>
      <c r="W266" s="10">
        <f>+'A) Base RI'!P266</f>
        <v>99996.4</v>
      </c>
      <c r="X266" s="10">
        <f>+'A) Base RI'!R266</f>
        <v>5618.45</v>
      </c>
      <c r="Y266" s="394">
        <f t="shared" si="29"/>
        <v>105985.65</v>
      </c>
      <c r="Z266" s="10">
        <f>+'A) Base RI'!N266</f>
        <v>3971.45</v>
      </c>
      <c r="AA266" s="10">
        <f>'A) Base RI'!V266</f>
        <v>630</v>
      </c>
    </row>
    <row r="267" spans="1:27" x14ac:dyDescent="0.25">
      <c r="A267" s="8">
        <f>'A) Base RI'!A267</f>
        <v>5859</v>
      </c>
      <c r="B267" s="32" t="str">
        <f>'A) Base RI'!B267</f>
        <v>Mont-sur-Rolle</v>
      </c>
      <c r="C267" s="10">
        <f>'A) Base RI'!C267+'A) Base RI'!D267</f>
        <v>9073825.5600000005</v>
      </c>
      <c r="D267" s="10">
        <f>'A) Base RI'!W267</f>
        <v>-44391.3</v>
      </c>
      <c r="E267" s="390">
        <f>'A) Base RI'!X267</f>
        <v>0</v>
      </c>
      <c r="F267" s="390">
        <f>'A) Base RI'!Y267</f>
        <v>-25732.32</v>
      </c>
      <c r="G267" s="394">
        <f t="shared" si="24"/>
        <v>9003701.9399999995</v>
      </c>
      <c r="H267" s="10">
        <f>+'A) Base RI'!E267</f>
        <v>0</v>
      </c>
      <c r="I267" s="10">
        <f>+'A) Base RI'!F267</f>
        <v>0</v>
      </c>
      <c r="J267" s="10">
        <f>+'A) Base RI'!G267+'A) Base RI'!H267+'A) Base RI'!S267</f>
        <v>131386.25</v>
      </c>
      <c r="K267" s="10">
        <f>+'A) Base RI'!I267</f>
        <v>251427.3</v>
      </c>
      <c r="L267" s="10">
        <f>+'A) Base RI'!J267</f>
        <v>120596.17</v>
      </c>
      <c r="M267" s="10">
        <f>+'A) Base RI'!K267</f>
        <v>26616.5</v>
      </c>
      <c r="N267" s="10">
        <f>+'A) Base RI'!Q267</f>
        <v>1342.99</v>
      </c>
      <c r="O267" s="10">
        <f t="shared" si="25"/>
        <v>682773.4</v>
      </c>
      <c r="P267" s="10">
        <f>+'A) Base RI'!L267</f>
        <v>682773.4</v>
      </c>
      <c r="Q267" s="402">
        <f>'A) Base RI'!Z267</f>
        <v>1</v>
      </c>
      <c r="R267" s="394">
        <f t="shared" si="26"/>
        <v>10217844.550000001</v>
      </c>
      <c r="S267" s="437">
        <f>+'A) Base RI'!U267</f>
        <v>63.5</v>
      </c>
      <c r="T267" s="394">
        <f t="shared" si="27"/>
        <v>9508454.6500000004</v>
      </c>
      <c r="U267" s="394">
        <f t="shared" si="28"/>
        <v>160910.93779527559</v>
      </c>
      <c r="V267" s="10">
        <f>+'A) Base RI'!O267</f>
        <v>454080.9</v>
      </c>
      <c r="W267" s="10">
        <f>+'A) Base RI'!P267</f>
        <v>772469.4</v>
      </c>
      <c r="X267" s="10">
        <f>+'A) Base RI'!R267</f>
        <v>444522.4</v>
      </c>
      <c r="Y267" s="394">
        <f t="shared" si="29"/>
        <v>1671072.7000000002</v>
      </c>
      <c r="Z267" s="10">
        <f>+'A) Base RI'!N267</f>
        <v>120212.6</v>
      </c>
      <c r="AA267" s="10">
        <f>'A) Base RI'!V267</f>
        <v>2739</v>
      </c>
    </row>
    <row r="268" spans="1:27" x14ac:dyDescent="0.25">
      <c r="A268" s="8">
        <f>'A) Base RI'!A268</f>
        <v>5860</v>
      </c>
      <c r="B268" s="32" t="str">
        <f>'A) Base RI'!B268</f>
        <v>Perroy</v>
      </c>
      <c r="C268" s="10">
        <f>'A) Base RI'!C268+'A) Base RI'!D268</f>
        <v>6368323.9000000004</v>
      </c>
      <c r="D268" s="10">
        <f>'A) Base RI'!W268</f>
        <v>-57853.54</v>
      </c>
      <c r="E268" s="390">
        <f>'A) Base RI'!X268</f>
        <v>0</v>
      </c>
      <c r="F268" s="390">
        <f>'A) Base RI'!Y268</f>
        <v>-48297.53</v>
      </c>
      <c r="G268" s="394">
        <f t="shared" si="24"/>
        <v>6262172.8300000001</v>
      </c>
      <c r="H268" s="10">
        <f>+'A) Base RI'!E268</f>
        <v>0</v>
      </c>
      <c r="I268" s="10">
        <f>+'A) Base RI'!F268</f>
        <v>0</v>
      </c>
      <c r="J268" s="10">
        <f>+'A) Base RI'!G268+'A) Base RI'!H268+'A) Base RI'!S268</f>
        <v>76054.78</v>
      </c>
      <c r="K268" s="10">
        <f>+'A) Base RI'!I268</f>
        <v>286540.95</v>
      </c>
      <c r="L268" s="10">
        <f>+'A) Base RI'!J268</f>
        <v>53145.32</v>
      </c>
      <c r="M268" s="10">
        <f>+'A) Base RI'!K268</f>
        <v>4677.8999999999996</v>
      </c>
      <c r="N268" s="10">
        <f>+'A) Base RI'!Q268</f>
        <v>43239.91</v>
      </c>
      <c r="O268" s="10">
        <f t="shared" si="25"/>
        <v>542331.23076923075</v>
      </c>
      <c r="P268" s="10">
        <f>+'A) Base RI'!L268</f>
        <v>705030.6</v>
      </c>
      <c r="Q268" s="402">
        <f>'A) Base RI'!Z268</f>
        <v>1.3</v>
      </c>
      <c r="R268" s="394">
        <f t="shared" si="26"/>
        <v>7268162.9207692323</v>
      </c>
      <c r="S268" s="437">
        <f>+'A) Base RI'!U268</f>
        <v>58.5</v>
      </c>
      <c r="T268" s="394">
        <f t="shared" si="27"/>
        <v>6721153.790000001</v>
      </c>
      <c r="U268" s="394">
        <f t="shared" si="28"/>
        <v>124242.10120973046</v>
      </c>
      <c r="V268" s="10">
        <f>+'A) Base RI'!O268</f>
        <v>51341.3</v>
      </c>
      <c r="W268" s="10">
        <f>+'A) Base RI'!P268</f>
        <v>554801.80000000005</v>
      </c>
      <c r="X268" s="10">
        <f>+'A) Base RI'!R268</f>
        <v>406854.35</v>
      </c>
      <c r="Y268" s="394">
        <f t="shared" si="29"/>
        <v>1012997.4500000001</v>
      </c>
      <c r="Z268" s="10">
        <f>+'A) Base RI'!N268</f>
        <v>19166.650000000001</v>
      </c>
      <c r="AA268" s="10">
        <f>'A) Base RI'!V268</f>
        <v>1514</v>
      </c>
    </row>
    <row r="269" spans="1:27" x14ac:dyDescent="0.25">
      <c r="A269" s="8">
        <f>'A) Base RI'!A269</f>
        <v>5861</v>
      </c>
      <c r="B269" s="32" t="str">
        <f>'A) Base RI'!B269</f>
        <v>Rolle</v>
      </c>
      <c r="C269" s="10">
        <f>'A) Base RI'!C269+'A) Base RI'!D269</f>
        <v>18293551.34</v>
      </c>
      <c r="D269" s="10">
        <f>'A) Base RI'!W269</f>
        <v>-332033.11</v>
      </c>
      <c r="E269" s="390">
        <f>'A) Base RI'!X269</f>
        <v>0</v>
      </c>
      <c r="F269" s="390">
        <f>'A) Base RI'!Y269</f>
        <v>-61342.879999999997</v>
      </c>
      <c r="G269" s="394">
        <f t="shared" si="24"/>
        <v>17900175.350000001</v>
      </c>
      <c r="H269" s="10">
        <f>+'A) Base RI'!E269</f>
        <v>0</v>
      </c>
      <c r="I269" s="10">
        <f>+'A) Base RI'!F269</f>
        <v>0</v>
      </c>
      <c r="J269" s="10">
        <f>+'A) Base RI'!G269+'A) Base RI'!H269+'A) Base RI'!S269</f>
        <v>15850363.74</v>
      </c>
      <c r="K269" s="10">
        <f>+'A) Base RI'!I269</f>
        <v>655911.5</v>
      </c>
      <c r="L269" s="10">
        <f>+'A) Base RI'!J269</f>
        <v>1326774.3799999999</v>
      </c>
      <c r="M269" s="10">
        <f>+'A) Base RI'!K269</f>
        <v>338690.9</v>
      </c>
      <c r="N269" s="10">
        <f>+'A) Base RI'!Q269</f>
        <v>32554.28</v>
      </c>
      <c r="O269" s="10">
        <f t="shared" si="25"/>
        <v>1864180.6</v>
      </c>
      <c r="P269" s="10">
        <f>+'A) Base RI'!L269</f>
        <v>1864180.6</v>
      </c>
      <c r="Q269" s="402">
        <f>'A) Base RI'!Z269</f>
        <v>1</v>
      </c>
      <c r="R269" s="394">
        <f t="shared" si="26"/>
        <v>37968650.750000007</v>
      </c>
      <c r="S269" s="437">
        <f>+'A) Base RI'!U269</f>
        <v>59.5</v>
      </c>
      <c r="T269" s="394">
        <f t="shared" si="27"/>
        <v>35765779.250000007</v>
      </c>
      <c r="U269" s="394">
        <f t="shared" si="28"/>
        <v>638128.58403361356</v>
      </c>
      <c r="V269" s="10">
        <f>+'A) Base RI'!O269</f>
        <v>1674898.2</v>
      </c>
      <c r="W269" s="10">
        <f>+'A) Base RI'!P269</f>
        <v>1019635.55</v>
      </c>
      <c r="X269" s="10">
        <f>+'A) Base RI'!R269</f>
        <v>797224.8</v>
      </c>
      <c r="Y269" s="394">
        <f t="shared" si="29"/>
        <v>3491758.55</v>
      </c>
      <c r="Z269" s="10">
        <f>+'A) Base RI'!N269</f>
        <v>223079.3</v>
      </c>
      <c r="AA269" s="10">
        <f>'A) Base RI'!V269</f>
        <v>6291</v>
      </c>
    </row>
    <row r="270" spans="1:27" x14ac:dyDescent="0.25">
      <c r="A270" s="8">
        <f>'A) Base RI'!A270</f>
        <v>5862</v>
      </c>
      <c r="B270" s="32" t="str">
        <f>'A) Base RI'!B270</f>
        <v>Tartegnin</v>
      </c>
      <c r="C270" s="10">
        <f>'A) Base RI'!C270+'A) Base RI'!D270</f>
        <v>587715.65</v>
      </c>
      <c r="D270" s="10">
        <f>'A) Base RI'!W270</f>
        <v>-26753.33</v>
      </c>
      <c r="E270" s="390">
        <f>'A) Base RI'!X270</f>
        <v>0</v>
      </c>
      <c r="F270" s="390">
        <f>'A) Base RI'!Y270</f>
        <v>-74.75</v>
      </c>
      <c r="G270" s="394">
        <f t="shared" si="24"/>
        <v>560887.57000000007</v>
      </c>
      <c r="H270" s="10">
        <f>+'A) Base RI'!E270</f>
        <v>0</v>
      </c>
      <c r="I270" s="10">
        <f>+'A) Base RI'!F270</f>
        <v>0</v>
      </c>
      <c r="J270" s="10">
        <f>+'A) Base RI'!G270+'A) Base RI'!H270+'A) Base RI'!S270</f>
        <v>2307.6800000000003</v>
      </c>
      <c r="K270" s="10">
        <f>+'A) Base RI'!I270</f>
        <v>0</v>
      </c>
      <c r="L270" s="10">
        <f>+'A) Base RI'!J270</f>
        <v>6624.19</v>
      </c>
      <c r="M270" s="10">
        <f>+'A) Base RI'!K270</f>
        <v>0</v>
      </c>
      <c r="N270" s="10">
        <f>+'A) Base RI'!Q270</f>
        <v>3331.82</v>
      </c>
      <c r="O270" s="10">
        <f t="shared" si="25"/>
        <v>50239.5</v>
      </c>
      <c r="P270" s="10">
        <f>+'A) Base RI'!L270</f>
        <v>50239.5</v>
      </c>
      <c r="Q270" s="402">
        <f>'A) Base RI'!Z270</f>
        <v>1</v>
      </c>
      <c r="R270" s="394">
        <f t="shared" si="26"/>
        <v>623390.76</v>
      </c>
      <c r="S270" s="437">
        <f>+'A) Base RI'!U270</f>
        <v>79</v>
      </c>
      <c r="T270" s="394">
        <f t="shared" si="27"/>
        <v>573151.26</v>
      </c>
      <c r="U270" s="394">
        <f t="shared" si="28"/>
        <v>7891.022278481013</v>
      </c>
      <c r="V270" s="10">
        <f>+'A) Base RI'!O270</f>
        <v>246.6</v>
      </c>
      <c r="W270" s="10">
        <f>+'A) Base RI'!P270</f>
        <v>15240.15</v>
      </c>
      <c r="X270" s="10">
        <f>+'A) Base RI'!R270</f>
        <v>17265.55</v>
      </c>
      <c r="Y270" s="394">
        <f t="shared" si="29"/>
        <v>32752.3</v>
      </c>
      <c r="Z270" s="10">
        <f>+'A) Base RI'!N270</f>
        <v>5530.15</v>
      </c>
      <c r="AA270" s="10">
        <f>'A) Base RI'!V270</f>
        <v>241</v>
      </c>
    </row>
    <row r="271" spans="1:27" x14ac:dyDescent="0.25">
      <c r="A271" s="8">
        <f>'A) Base RI'!A271</f>
        <v>5863</v>
      </c>
      <c r="B271" s="32" t="str">
        <f>'A) Base RI'!B271</f>
        <v>Vinzel</v>
      </c>
      <c r="C271" s="10">
        <f>'A) Base RI'!C271+'A) Base RI'!D271</f>
        <v>1249194.19</v>
      </c>
      <c r="D271" s="10">
        <f>'A) Base RI'!W271</f>
        <v>-13258.33</v>
      </c>
      <c r="E271" s="390">
        <f>'A) Base RI'!X271</f>
        <v>0</v>
      </c>
      <c r="F271" s="390">
        <f>'A) Base RI'!Y271</f>
        <v>-1671.28</v>
      </c>
      <c r="G271" s="394">
        <f t="shared" si="24"/>
        <v>1234264.5799999998</v>
      </c>
      <c r="H271" s="10">
        <f>+'A) Base RI'!E271</f>
        <v>0</v>
      </c>
      <c r="I271" s="10">
        <f>+'A) Base RI'!F271</f>
        <v>0</v>
      </c>
      <c r="J271" s="10">
        <f>+'A) Base RI'!G271+'A) Base RI'!H271+'A) Base RI'!S271</f>
        <v>24978.37</v>
      </c>
      <c r="K271" s="10">
        <f>+'A) Base RI'!I271</f>
        <v>42873.3</v>
      </c>
      <c r="L271" s="10">
        <f>+'A) Base RI'!J271</f>
        <v>46887.76</v>
      </c>
      <c r="M271" s="10">
        <f>+'A) Base RI'!K271</f>
        <v>2189.4</v>
      </c>
      <c r="N271" s="10">
        <f>+'A) Base RI'!Q271</f>
        <v>0</v>
      </c>
      <c r="O271" s="10">
        <f t="shared" si="25"/>
        <v>84223.2</v>
      </c>
      <c r="P271" s="10">
        <f>+'A) Base RI'!L271</f>
        <v>84223.2</v>
      </c>
      <c r="Q271" s="402">
        <f>'A) Base RI'!Z271</f>
        <v>1</v>
      </c>
      <c r="R271" s="394">
        <f t="shared" si="26"/>
        <v>1435416.6099999999</v>
      </c>
      <c r="S271" s="437">
        <f>+'A) Base RI'!U271</f>
        <v>67</v>
      </c>
      <c r="T271" s="394">
        <f t="shared" si="27"/>
        <v>1349004.01</v>
      </c>
      <c r="U271" s="394">
        <f t="shared" si="28"/>
        <v>21424.128507462683</v>
      </c>
      <c r="V271" s="10">
        <f>+'A) Base RI'!O271</f>
        <v>0</v>
      </c>
      <c r="W271" s="10">
        <f>+'A) Base RI'!P271</f>
        <v>112519.5</v>
      </c>
      <c r="X271" s="10">
        <f>+'A) Base RI'!R271</f>
        <v>85563.15</v>
      </c>
      <c r="Y271" s="394">
        <f t="shared" si="29"/>
        <v>198082.65</v>
      </c>
      <c r="Z271" s="10">
        <f>+'A) Base RI'!N271</f>
        <v>18683.7</v>
      </c>
      <c r="AA271" s="10">
        <f>'A) Base RI'!V271</f>
        <v>369</v>
      </c>
    </row>
    <row r="272" spans="1:27" x14ac:dyDescent="0.25">
      <c r="A272" s="8">
        <f>'A) Base RI'!A272</f>
        <v>5871</v>
      </c>
      <c r="B272" s="32" t="str">
        <f>'A) Base RI'!B272</f>
        <v>L'Abbaye</v>
      </c>
      <c r="C272" s="10">
        <f>'A) Base RI'!C272+'A) Base RI'!D272</f>
        <v>3575954</v>
      </c>
      <c r="D272" s="10">
        <f>'A) Base RI'!W272</f>
        <v>-88551.23</v>
      </c>
      <c r="E272" s="390">
        <f>'A) Base RI'!X272</f>
        <v>0</v>
      </c>
      <c r="F272" s="390">
        <f>'A) Base RI'!Y272</f>
        <v>-372.69</v>
      </c>
      <c r="G272" s="394">
        <f t="shared" si="24"/>
        <v>3487030.08</v>
      </c>
      <c r="H272" s="10">
        <f>+'A) Base RI'!E272</f>
        <v>0</v>
      </c>
      <c r="I272" s="10">
        <f>+'A) Base RI'!F272</f>
        <v>0</v>
      </c>
      <c r="J272" s="10">
        <f>+'A) Base RI'!G272+'A) Base RI'!H272+'A) Base RI'!S272</f>
        <v>150025.88</v>
      </c>
      <c r="K272" s="10">
        <f>+'A) Base RI'!I272</f>
        <v>0</v>
      </c>
      <c r="L272" s="10">
        <f>+'A) Base RI'!J272</f>
        <v>75243.06</v>
      </c>
      <c r="M272" s="10">
        <f>+'A) Base RI'!K272</f>
        <v>1864.6</v>
      </c>
      <c r="N272" s="10">
        <f>+'A) Base RI'!Q272</f>
        <v>58010.5</v>
      </c>
      <c r="O272" s="10">
        <f t="shared" si="25"/>
        <v>276305.8</v>
      </c>
      <c r="P272" s="10">
        <f>+'A) Base RI'!L272</f>
        <v>276305.8</v>
      </c>
      <c r="Q272" s="402">
        <f>'A) Base RI'!Z272</f>
        <v>1</v>
      </c>
      <c r="R272" s="394">
        <f t="shared" si="26"/>
        <v>4048479.92</v>
      </c>
      <c r="S272" s="437">
        <f>+'A) Base RI'!U272</f>
        <v>76</v>
      </c>
      <c r="T272" s="394">
        <f t="shared" si="27"/>
        <v>3770309.52</v>
      </c>
      <c r="U272" s="394">
        <f t="shared" si="28"/>
        <v>53269.472631578945</v>
      </c>
      <c r="V272" s="10">
        <f>+'A) Base RI'!O272</f>
        <v>156841.9</v>
      </c>
      <c r="W272" s="10">
        <f>+'A) Base RI'!P272</f>
        <v>171152.4</v>
      </c>
      <c r="X272" s="10">
        <f>+'A) Base RI'!R272</f>
        <v>178978.75</v>
      </c>
      <c r="Y272" s="394">
        <f t="shared" si="29"/>
        <v>506973.05</v>
      </c>
      <c r="Z272" s="10">
        <f>+'A) Base RI'!N272</f>
        <v>774954</v>
      </c>
      <c r="AA272" s="10">
        <f>'A) Base RI'!V272</f>
        <v>1521</v>
      </c>
    </row>
    <row r="273" spans="1:27" x14ac:dyDescent="0.25">
      <c r="A273" s="8">
        <f>'A) Base RI'!A273</f>
        <v>5872</v>
      </c>
      <c r="B273" s="32" t="str">
        <f>'A) Base RI'!B273</f>
        <v>Le Chenit</v>
      </c>
      <c r="C273" s="10">
        <f>'A) Base RI'!C273+'A) Base RI'!D273</f>
        <v>7595371.7199999997</v>
      </c>
      <c r="D273" s="10">
        <f>'A) Base RI'!W273</f>
        <v>-106252.5</v>
      </c>
      <c r="E273" s="390">
        <f>'A) Base RI'!X273</f>
        <v>0</v>
      </c>
      <c r="F273" s="390">
        <f>'A) Base RI'!Y273</f>
        <v>-6231.42</v>
      </c>
      <c r="G273" s="394">
        <f t="shared" si="24"/>
        <v>7482887.7999999998</v>
      </c>
      <c r="H273" s="10">
        <f>+'A) Base RI'!E273</f>
        <v>0</v>
      </c>
      <c r="I273" s="10">
        <f>+'A) Base RI'!F273</f>
        <v>0</v>
      </c>
      <c r="J273" s="10">
        <f>+'A) Base RI'!G273+'A) Base RI'!H273+'A) Base RI'!S273</f>
        <v>4488923.43</v>
      </c>
      <c r="K273" s="10">
        <f>+'A) Base RI'!I273</f>
        <v>0</v>
      </c>
      <c r="L273" s="10">
        <f>+'A) Base RI'!J273</f>
        <v>466676.81</v>
      </c>
      <c r="M273" s="10">
        <f>+'A) Base RI'!K273</f>
        <v>55805.05</v>
      </c>
      <c r="N273" s="10">
        <f>+'A) Base RI'!Q273</f>
        <v>68523.38</v>
      </c>
      <c r="O273" s="10">
        <f t="shared" si="25"/>
        <v>778011.3</v>
      </c>
      <c r="P273" s="10">
        <f>+'A) Base RI'!L273</f>
        <v>778011.3</v>
      </c>
      <c r="Q273" s="402">
        <f>'A) Base RI'!Z273</f>
        <v>1</v>
      </c>
      <c r="R273" s="394">
        <f t="shared" si="26"/>
        <v>13340827.770000003</v>
      </c>
      <c r="S273" s="437">
        <f>+'A) Base RI'!U273</f>
        <v>58.5</v>
      </c>
      <c r="T273" s="394">
        <f t="shared" si="27"/>
        <v>12507011.420000002</v>
      </c>
      <c r="U273" s="394">
        <f t="shared" si="28"/>
        <v>228048.33794871799</v>
      </c>
      <c r="V273" s="10">
        <f>+'A) Base RI'!O273</f>
        <v>916450.5</v>
      </c>
      <c r="W273" s="10">
        <f>+'A) Base RI'!P273</f>
        <v>421204.85</v>
      </c>
      <c r="X273" s="10">
        <f>+'A) Base RI'!R273</f>
        <v>395737.2</v>
      </c>
      <c r="Y273" s="394">
        <f t="shared" si="29"/>
        <v>1733392.55</v>
      </c>
      <c r="Z273" s="10">
        <f>+'A) Base RI'!N273</f>
        <v>6657622.0499999998</v>
      </c>
      <c r="AA273" s="10">
        <f>'A) Base RI'!V273</f>
        <v>4569</v>
      </c>
    </row>
    <row r="274" spans="1:27" x14ac:dyDescent="0.25">
      <c r="A274" s="8">
        <f>'A) Base RI'!A274</f>
        <v>5873</v>
      </c>
      <c r="B274" s="32" t="str">
        <f>'A) Base RI'!B274</f>
        <v>Le Lieu</v>
      </c>
      <c r="C274" s="10">
        <f>'A) Base RI'!C274+'A) Base RI'!D274</f>
        <v>1733890.5</v>
      </c>
      <c r="D274" s="10">
        <f>'A) Base RI'!W274</f>
        <v>-23219.39</v>
      </c>
      <c r="E274" s="390">
        <f>'A) Base RI'!X274</f>
        <v>0</v>
      </c>
      <c r="F274" s="390">
        <f>'A) Base RI'!Y274</f>
        <v>-402.41</v>
      </c>
      <c r="G274" s="394">
        <f t="shared" si="24"/>
        <v>1710268.7000000002</v>
      </c>
      <c r="H274" s="10">
        <f>+'A) Base RI'!E274</f>
        <v>0</v>
      </c>
      <c r="I274" s="10">
        <f>+'A) Base RI'!F274</f>
        <v>0</v>
      </c>
      <c r="J274" s="10">
        <f>+'A) Base RI'!G274+'A) Base RI'!H274+'A) Base RI'!S274</f>
        <v>270550.58</v>
      </c>
      <c r="K274" s="10">
        <f>+'A) Base RI'!I274</f>
        <v>0</v>
      </c>
      <c r="L274" s="10">
        <f>+'A) Base RI'!J274</f>
        <v>64565.08</v>
      </c>
      <c r="M274" s="10">
        <f>+'A) Base RI'!K274</f>
        <v>0</v>
      </c>
      <c r="N274" s="10">
        <f>+'A) Base RI'!Q274</f>
        <v>9158.26</v>
      </c>
      <c r="O274" s="10">
        <f t="shared" si="25"/>
        <v>148716.43749999997</v>
      </c>
      <c r="P274" s="10">
        <f>+'A) Base RI'!L274</f>
        <v>118973.15</v>
      </c>
      <c r="Q274" s="402">
        <f>'A) Base RI'!Z274</f>
        <v>0.8</v>
      </c>
      <c r="R274" s="394">
        <f t="shared" si="26"/>
        <v>2203259.0575000001</v>
      </c>
      <c r="S274" s="437">
        <f>+'A) Base RI'!U274</f>
        <v>70</v>
      </c>
      <c r="T274" s="394">
        <f t="shared" si="27"/>
        <v>2054542.6200000003</v>
      </c>
      <c r="U274" s="394">
        <f t="shared" si="28"/>
        <v>31475.129392857143</v>
      </c>
      <c r="V274" s="10">
        <f>+'A) Base RI'!O274</f>
        <v>107400</v>
      </c>
      <c r="W274" s="10">
        <f>+'A) Base RI'!P274</f>
        <v>36203.15</v>
      </c>
      <c r="X274" s="10">
        <f>+'A) Base RI'!R274</f>
        <v>62741.8</v>
      </c>
      <c r="Y274" s="394">
        <f t="shared" si="29"/>
        <v>206344.95</v>
      </c>
      <c r="Z274" s="10">
        <f>+'A) Base RI'!N274</f>
        <v>899203.4</v>
      </c>
      <c r="AA274" s="10">
        <f>'A) Base RI'!V274</f>
        <v>881</v>
      </c>
    </row>
    <row r="275" spans="1:27" x14ac:dyDescent="0.25">
      <c r="A275" s="8">
        <f>'A) Base RI'!A275</f>
        <v>5881</v>
      </c>
      <c r="B275" s="32" t="str">
        <f>'A) Base RI'!B275</f>
        <v>Blonay</v>
      </c>
      <c r="C275" s="10">
        <f>'A) Base RI'!C275+'A) Base RI'!D275</f>
        <v>23038610.529999997</v>
      </c>
      <c r="D275" s="10">
        <f>'A) Base RI'!W275</f>
        <v>-489682.34</v>
      </c>
      <c r="E275" s="390">
        <f>'A) Base RI'!X275</f>
        <v>0</v>
      </c>
      <c r="F275" s="390">
        <f>'A) Base RI'!Y275</f>
        <v>-24339.97</v>
      </c>
      <c r="G275" s="394">
        <f t="shared" si="24"/>
        <v>22524588.219999999</v>
      </c>
      <c r="H275" s="10">
        <f>+'A) Base RI'!E275</f>
        <v>0</v>
      </c>
      <c r="I275" s="10">
        <f>+'A) Base RI'!F275</f>
        <v>0</v>
      </c>
      <c r="J275" s="10">
        <f>+'A) Base RI'!G275+'A) Base RI'!H275+'A) Base RI'!S275</f>
        <v>502026.67</v>
      </c>
      <c r="K275" s="10">
        <f>+'A) Base RI'!I275</f>
        <v>568839.22</v>
      </c>
      <c r="L275" s="10">
        <f>+'A) Base RI'!J275</f>
        <v>-99312.89</v>
      </c>
      <c r="M275" s="10">
        <f>+'A) Base RI'!K275</f>
        <v>68498.850000000006</v>
      </c>
      <c r="N275" s="10">
        <f>+'A) Base RI'!Q275</f>
        <v>134100.25</v>
      </c>
      <c r="O275" s="10">
        <f t="shared" si="25"/>
        <v>1742292.45</v>
      </c>
      <c r="P275" s="10">
        <f>+'A) Base RI'!L275</f>
        <v>1742292.45</v>
      </c>
      <c r="Q275" s="402">
        <f>'A) Base RI'!Z275</f>
        <v>1</v>
      </c>
      <c r="R275" s="394">
        <f t="shared" si="26"/>
        <v>25441032.77</v>
      </c>
      <c r="S275" s="437">
        <f>+'A) Base RI'!U275</f>
        <v>68.5</v>
      </c>
      <c r="T275" s="394">
        <f t="shared" si="27"/>
        <v>23630241.469999999</v>
      </c>
      <c r="U275" s="394">
        <f t="shared" si="28"/>
        <v>371401.9382481752</v>
      </c>
      <c r="V275" s="10">
        <f>+'A) Base RI'!O275</f>
        <v>1948131.18</v>
      </c>
      <c r="W275" s="10">
        <f>+'A) Base RI'!P275</f>
        <v>1605703.7</v>
      </c>
      <c r="X275" s="10">
        <f>+'A) Base RI'!R275</f>
        <v>1279249.55</v>
      </c>
      <c r="Y275" s="394">
        <f t="shared" si="29"/>
        <v>4833084.43</v>
      </c>
      <c r="Z275" s="10">
        <f>+'A) Base RI'!N275</f>
        <v>69243.399999999994</v>
      </c>
      <c r="AA275" s="10">
        <f>'A) Base RI'!V275</f>
        <v>6291</v>
      </c>
    </row>
    <row r="276" spans="1:27" x14ac:dyDescent="0.25">
      <c r="A276" s="8">
        <f>'A) Base RI'!A276</f>
        <v>5882</v>
      </c>
      <c r="B276" s="32" t="str">
        <f>'A) Base RI'!B276</f>
        <v>Chardonne</v>
      </c>
      <c r="C276" s="10">
        <f>'A) Base RI'!C276+'A) Base RI'!D276</f>
        <v>10783665.02</v>
      </c>
      <c r="D276" s="10">
        <f>'A) Base RI'!W276</f>
        <v>-57817.440000000002</v>
      </c>
      <c r="E276" s="390">
        <f>'A) Base RI'!X276</f>
        <v>0</v>
      </c>
      <c r="F276" s="390">
        <f>'A) Base RI'!Y276</f>
        <v>-32860.769999999997</v>
      </c>
      <c r="G276" s="394">
        <f t="shared" si="24"/>
        <v>10692986.810000001</v>
      </c>
      <c r="H276" s="10">
        <f>+'A) Base RI'!E276</f>
        <v>0</v>
      </c>
      <c r="I276" s="10">
        <f>+'A) Base RI'!F276</f>
        <v>0</v>
      </c>
      <c r="J276" s="10">
        <f>+'A) Base RI'!G276+'A) Base RI'!H276+'A) Base RI'!S276</f>
        <v>203319.9</v>
      </c>
      <c r="K276" s="10">
        <f>+'A) Base RI'!I276</f>
        <v>577853.94999999995</v>
      </c>
      <c r="L276" s="10">
        <f>+'A) Base RI'!J276</f>
        <v>169623.76</v>
      </c>
      <c r="M276" s="10">
        <f>+'A) Base RI'!K276</f>
        <v>51194.35</v>
      </c>
      <c r="N276" s="10">
        <f>+'A) Base RI'!Q276</f>
        <v>12390.21</v>
      </c>
      <c r="O276" s="10">
        <f t="shared" si="25"/>
        <v>1005413.66</v>
      </c>
      <c r="P276" s="10">
        <f>+'A) Base RI'!L276</f>
        <v>1005413.66</v>
      </c>
      <c r="Q276" s="402">
        <f>'A) Base RI'!Z276</f>
        <v>1</v>
      </c>
      <c r="R276" s="394">
        <f t="shared" si="26"/>
        <v>12712782.640000001</v>
      </c>
      <c r="S276" s="437">
        <f>+'A) Base RI'!U276</f>
        <v>68</v>
      </c>
      <c r="T276" s="394">
        <f t="shared" si="27"/>
        <v>11656174.630000001</v>
      </c>
      <c r="U276" s="394">
        <f t="shared" si="28"/>
        <v>186952.68588235296</v>
      </c>
      <c r="V276" s="10">
        <f>+'A) Base RI'!O276</f>
        <v>429566.85</v>
      </c>
      <c r="W276" s="10">
        <f>+'A) Base RI'!P276</f>
        <v>619546.9</v>
      </c>
      <c r="X276" s="10">
        <f>+'A) Base RI'!R276</f>
        <v>414741.65</v>
      </c>
      <c r="Y276" s="394">
        <f t="shared" si="29"/>
        <v>1463855.4</v>
      </c>
      <c r="Z276" s="10">
        <f>+'A) Base RI'!N276</f>
        <v>7632.95</v>
      </c>
      <c r="AA276" s="10">
        <f>'A) Base RI'!V276</f>
        <v>3078</v>
      </c>
    </row>
    <row r="277" spans="1:27" x14ac:dyDescent="0.25">
      <c r="A277" s="8">
        <f>'A) Base RI'!A277</f>
        <v>5883</v>
      </c>
      <c r="B277" s="32" t="str">
        <f>'A) Base RI'!B277</f>
        <v>Corseaux</v>
      </c>
      <c r="C277" s="10">
        <f>'A) Base RI'!C277+'A) Base RI'!D277</f>
        <v>12065243.74</v>
      </c>
      <c r="D277" s="10">
        <f>'A) Base RI'!W277</f>
        <v>-25677.83</v>
      </c>
      <c r="E277" s="390">
        <f>'A) Base RI'!X277</f>
        <v>0</v>
      </c>
      <c r="F277" s="390">
        <f>'A) Base RI'!Y277</f>
        <v>-17532.259999999998</v>
      </c>
      <c r="G277" s="394">
        <f t="shared" si="24"/>
        <v>12022033.65</v>
      </c>
      <c r="H277" s="10">
        <f>+'A) Base RI'!E277</f>
        <v>0</v>
      </c>
      <c r="I277" s="10">
        <f>+'A) Base RI'!F277</f>
        <v>0</v>
      </c>
      <c r="J277" s="10">
        <f>+'A) Base RI'!G277+'A) Base RI'!H277+'A) Base RI'!S277</f>
        <v>90243.309999999983</v>
      </c>
      <c r="K277" s="10">
        <f>+'A) Base RI'!I277</f>
        <v>375246.94</v>
      </c>
      <c r="L277" s="10">
        <f>+'A) Base RI'!J277</f>
        <v>-158220.06</v>
      </c>
      <c r="M277" s="10">
        <f>+'A) Base RI'!K277</f>
        <v>16329.9</v>
      </c>
      <c r="N277" s="10">
        <f>+'A) Base RI'!Q277</f>
        <v>2879.24</v>
      </c>
      <c r="O277" s="10">
        <f t="shared" si="25"/>
        <v>685419.85</v>
      </c>
      <c r="P277" s="10">
        <f>+'A) Base RI'!L277</f>
        <v>685419.85</v>
      </c>
      <c r="Q277" s="402">
        <f>'A) Base RI'!Z277</f>
        <v>1</v>
      </c>
      <c r="R277" s="394">
        <f t="shared" si="26"/>
        <v>13033932.83</v>
      </c>
      <c r="S277" s="437">
        <f>+'A) Base RI'!U277</f>
        <v>67.5</v>
      </c>
      <c r="T277" s="394">
        <f t="shared" si="27"/>
        <v>12332183.08</v>
      </c>
      <c r="U277" s="394">
        <f t="shared" si="28"/>
        <v>193095.30118518518</v>
      </c>
      <c r="V277" s="10">
        <f>+'A) Base RI'!O277</f>
        <v>2110360.2999999998</v>
      </c>
      <c r="W277" s="10">
        <f>+'A) Base RI'!P277</f>
        <v>580616.25</v>
      </c>
      <c r="X277" s="10">
        <f>+'A) Base RI'!R277</f>
        <v>413980.2</v>
      </c>
      <c r="Y277" s="394">
        <f t="shared" si="29"/>
        <v>3104956.75</v>
      </c>
      <c r="Z277" s="10">
        <f>+'A) Base RI'!N277</f>
        <v>0</v>
      </c>
      <c r="AA277" s="10">
        <f>'A) Base RI'!V277</f>
        <v>2330</v>
      </c>
    </row>
    <row r="278" spans="1:27" x14ac:dyDescent="0.25">
      <c r="A278" s="8">
        <f>'A) Base RI'!A278</f>
        <v>5884</v>
      </c>
      <c r="B278" s="32" t="str">
        <f>'A) Base RI'!B278</f>
        <v>Corsier-sur-Vevey</v>
      </c>
      <c r="C278" s="10">
        <f>'A) Base RI'!C278+'A) Base RI'!D278</f>
        <v>6695797.6299999999</v>
      </c>
      <c r="D278" s="10">
        <f>'A) Base RI'!W278</f>
        <v>-213574.81</v>
      </c>
      <c r="E278" s="390">
        <f>'A) Base RI'!X278</f>
        <v>0</v>
      </c>
      <c r="F278" s="390">
        <f>'A) Base RI'!Y278</f>
        <v>-4080.92</v>
      </c>
      <c r="G278" s="394">
        <f t="shared" si="24"/>
        <v>6478141.9000000004</v>
      </c>
      <c r="H278" s="10">
        <f>+'A) Base RI'!E278</f>
        <v>0</v>
      </c>
      <c r="I278" s="10">
        <f>+'A) Base RI'!F278</f>
        <v>0</v>
      </c>
      <c r="J278" s="10">
        <f>+'A) Base RI'!G278+'A) Base RI'!H278+'A) Base RI'!S278</f>
        <v>1939867.38</v>
      </c>
      <c r="K278" s="10">
        <f>+'A) Base RI'!I278</f>
        <v>33220.85</v>
      </c>
      <c r="L278" s="10">
        <f>+'A) Base RI'!J278</f>
        <v>127959.97</v>
      </c>
      <c r="M278" s="10">
        <f>+'A) Base RI'!K278</f>
        <v>187082.9</v>
      </c>
      <c r="N278" s="10">
        <f>+'A) Base RI'!Q278</f>
        <v>13811.13</v>
      </c>
      <c r="O278" s="10">
        <f t="shared" si="25"/>
        <v>823758.83333333337</v>
      </c>
      <c r="P278" s="10">
        <f>+'A) Base RI'!L278</f>
        <v>988510.6</v>
      </c>
      <c r="Q278" s="402">
        <f>'A) Base RI'!Z278</f>
        <v>1.2</v>
      </c>
      <c r="R278" s="394">
        <f t="shared" si="26"/>
        <v>9603842.9633333366</v>
      </c>
      <c r="S278" s="437">
        <f>+'A) Base RI'!U278</f>
        <v>64.5</v>
      </c>
      <c r="T278" s="394">
        <f t="shared" si="27"/>
        <v>8593001.2300000023</v>
      </c>
      <c r="U278" s="394">
        <f t="shared" si="28"/>
        <v>148896.79012919901</v>
      </c>
      <c r="V278" s="10">
        <f>+'A) Base RI'!O278</f>
        <v>315162.8</v>
      </c>
      <c r="W278" s="10">
        <f>+'A) Base RI'!P278</f>
        <v>224319.55</v>
      </c>
      <c r="X278" s="10">
        <f>+'A) Base RI'!R278</f>
        <v>243783.1</v>
      </c>
      <c r="Y278" s="394">
        <f t="shared" si="29"/>
        <v>783265.45</v>
      </c>
      <c r="Z278" s="10">
        <f>+'A) Base RI'!N278</f>
        <v>551964.19999999995</v>
      </c>
      <c r="AA278" s="10">
        <f>'A) Base RI'!V278</f>
        <v>3390</v>
      </c>
    </row>
    <row r="279" spans="1:27" x14ac:dyDescent="0.25">
      <c r="A279" s="8">
        <f>'A) Base RI'!A279</f>
        <v>5885</v>
      </c>
      <c r="B279" s="32" t="str">
        <f>'A) Base RI'!B279</f>
        <v>Jongny</v>
      </c>
      <c r="C279" s="10">
        <f>'A) Base RI'!C279+'A) Base RI'!D279</f>
        <v>6148691.0699999994</v>
      </c>
      <c r="D279" s="10">
        <f>'A) Base RI'!W279</f>
        <v>-106805.73</v>
      </c>
      <c r="E279" s="390">
        <f>'A) Base RI'!X279</f>
        <v>0</v>
      </c>
      <c r="F279" s="390">
        <f>'A) Base RI'!Y279</f>
        <v>-9533.7199999999993</v>
      </c>
      <c r="G279" s="394">
        <f t="shared" si="24"/>
        <v>6032351.6199999992</v>
      </c>
      <c r="H279" s="10">
        <f>+'A) Base RI'!E279</f>
        <v>0</v>
      </c>
      <c r="I279" s="10">
        <f>+'A) Base RI'!F279</f>
        <v>0</v>
      </c>
      <c r="J279" s="10">
        <f>+'A) Base RI'!G279+'A) Base RI'!H279+'A) Base RI'!S279</f>
        <v>50549</v>
      </c>
      <c r="K279" s="10">
        <f>+'A) Base RI'!I279</f>
        <v>172503.95</v>
      </c>
      <c r="L279" s="10">
        <f>+'A) Base RI'!J279</f>
        <v>54698.69</v>
      </c>
      <c r="M279" s="10">
        <f>+'A) Base RI'!K279</f>
        <v>-12632.95</v>
      </c>
      <c r="N279" s="10">
        <f>+'A) Base RI'!Q279</f>
        <v>3480.39</v>
      </c>
      <c r="O279" s="10">
        <f t="shared" si="25"/>
        <v>445896.66666666669</v>
      </c>
      <c r="P279" s="10">
        <f>+'A) Base RI'!L279</f>
        <v>535076</v>
      </c>
      <c r="Q279" s="402">
        <f>'A) Base RI'!Z279</f>
        <v>1.2</v>
      </c>
      <c r="R279" s="394">
        <f t="shared" si="26"/>
        <v>6746847.3666666662</v>
      </c>
      <c r="S279" s="437">
        <f>+'A) Base RI'!U279</f>
        <v>69.5</v>
      </c>
      <c r="T279" s="394">
        <f t="shared" si="27"/>
        <v>6313583.6499999994</v>
      </c>
      <c r="U279" s="394">
        <f t="shared" si="28"/>
        <v>97076.940527577928</v>
      </c>
      <c r="V279" s="10">
        <f>+'A) Base RI'!O279</f>
        <v>49382.7</v>
      </c>
      <c r="W279" s="10">
        <f>+'A) Base RI'!P279</f>
        <v>893700.15</v>
      </c>
      <c r="X279" s="10">
        <f>+'A) Base RI'!R279</f>
        <v>218072</v>
      </c>
      <c r="Y279" s="394">
        <f t="shared" si="29"/>
        <v>1161154.8500000001</v>
      </c>
      <c r="Z279" s="10">
        <f>+'A) Base RI'!N279</f>
        <v>2403.85</v>
      </c>
      <c r="AA279" s="10">
        <f>'A) Base RI'!V279</f>
        <v>1805</v>
      </c>
    </row>
    <row r="280" spans="1:27" x14ac:dyDescent="0.25">
      <c r="A280" s="8">
        <f>'A) Base RI'!A280</f>
        <v>5886</v>
      </c>
      <c r="B280" s="32" t="str">
        <f>'A) Base RI'!B280</f>
        <v>Montreux</v>
      </c>
      <c r="C280" s="10">
        <f>'A) Base RI'!C280+'A) Base RI'!D280</f>
        <v>61818382.57</v>
      </c>
      <c r="D280" s="10">
        <f>'A) Base RI'!W280</f>
        <v>-886144.14</v>
      </c>
      <c r="E280" s="390">
        <f>'A) Base RI'!X280</f>
        <v>0</v>
      </c>
      <c r="F280" s="390">
        <f>'A) Base RI'!Y280</f>
        <v>-97724.35</v>
      </c>
      <c r="G280" s="394">
        <f t="shared" si="24"/>
        <v>60834514.079999998</v>
      </c>
      <c r="H280" s="10">
        <f>+'A) Base RI'!E280</f>
        <v>0</v>
      </c>
      <c r="I280" s="10">
        <f>+'A) Base RI'!F280</f>
        <v>0</v>
      </c>
      <c r="J280" s="10">
        <f>+'A) Base RI'!G280+'A) Base RI'!H280+'A) Base RI'!S280</f>
        <v>4363703.54</v>
      </c>
      <c r="K280" s="10">
        <f>+'A) Base RI'!I280</f>
        <v>4534589.04</v>
      </c>
      <c r="L280" s="10">
        <f>+'A) Base RI'!J280</f>
        <v>1980964.99</v>
      </c>
      <c r="M280" s="10">
        <f>+'A) Base RI'!K280</f>
        <v>627150.69999999995</v>
      </c>
      <c r="N280" s="10">
        <f>+'A) Base RI'!Q280</f>
        <v>321489.27</v>
      </c>
      <c r="O280" s="10">
        <f t="shared" si="25"/>
        <v>6858916.1799999997</v>
      </c>
      <c r="P280" s="10">
        <f>+'A) Base RI'!L280</f>
        <v>10288374.27</v>
      </c>
      <c r="Q280" s="402">
        <f>'A) Base RI'!Z280</f>
        <v>1.5</v>
      </c>
      <c r="R280" s="394">
        <f t="shared" si="26"/>
        <v>79521327.799999982</v>
      </c>
      <c r="S280" s="437">
        <f>+'A) Base RI'!U280</f>
        <v>65</v>
      </c>
      <c r="T280" s="394">
        <f t="shared" si="27"/>
        <v>72035260.919999987</v>
      </c>
      <c r="U280" s="394">
        <f t="shared" si="28"/>
        <v>1223405.0430769229</v>
      </c>
      <c r="V280" s="10">
        <f>+'A) Base RI'!O280</f>
        <v>21229157.899999999</v>
      </c>
      <c r="W280" s="10">
        <f>+'A) Base RI'!P280</f>
        <v>5645048.4500000002</v>
      </c>
      <c r="X280" s="10">
        <f>+'A) Base RI'!R280</f>
        <v>3438682.75</v>
      </c>
      <c r="Y280" s="394">
        <f t="shared" si="29"/>
        <v>30312889.099999998</v>
      </c>
      <c r="Z280" s="10">
        <f>+'A) Base RI'!N280</f>
        <v>1254691.7</v>
      </c>
      <c r="AA280" s="10">
        <f>'A) Base RI'!V280</f>
        <v>26012</v>
      </c>
    </row>
    <row r="281" spans="1:27" x14ac:dyDescent="0.25">
      <c r="A281" s="8">
        <f>'A) Base RI'!A281</f>
        <v>5888</v>
      </c>
      <c r="B281" s="32" t="str">
        <f>'A) Base RI'!B281</f>
        <v>Saint-Légier-La Chiésaz</v>
      </c>
      <c r="C281" s="10">
        <f>'A) Base RI'!C281+'A) Base RI'!D281</f>
        <v>20948256.559999999</v>
      </c>
      <c r="D281" s="10">
        <f>'A) Base RI'!W281</f>
        <v>-88256.45</v>
      </c>
      <c r="E281" s="390">
        <f>'A) Base RI'!X281</f>
        <v>0</v>
      </c>
      <c r="F281" s="390">
        <f>'A) Base RI'!Y281</f>
        <v>-28287.73</v>
      </c>
      <c r="G281" s="394">
        <f t="shared" si="24"/>
        <v>20831712.379999999</v>
      </c>
      <c r="H281" s="10">
        <f>+'A) Base RI'!E281</f>
        <v>0</v>
      </c>
      <c r="I281" s="10">
        <f>+'A) Base RI'!F281</f>
        <v>0</v>
      </c>
      <c r="J281" s="10">
        <f>+'A) Base RI'!G281+'A) Base RI'!H281+'A) Base RI'!S281</f>
        <v>214933.45999999996</v>
      </c>
      <c r="K281" s="10">
        <f>+'A) Base RI'!I281</f>
        <v>114723</v>
      </c>
      <c r="L281" s="10">
        <f>+'A) Base RI'!J281</f>
        <v>-14478.04</v>
      </c>
      <c r="M281" s="10">
        <f>+'A) Base RI'!K281</f>
        <v>51595.199999999997</v>
      </c>
      <c r="N281" s="10">
        <f>+'A) Base RI'!Q281</f>
        <v>13992.4</v>
      </c>
      <c r="O281" s="10">
        <f t="shared" si="25"/>
        <v>1667699.0833333333</v>
      </c>
      <c r="P281" s="10">
        <f>+'A) Base RI'!L281</f>
        <v>2001238.9</v>
      </c>
      <c r="Q281" s="402">
        <f>'A) Base RI'!Z281</f>
        <v>1.2</v>
      </c>
      <c r="R281" s="394">
        <f t="shared" si="26"/>
        <v>22880177.483333331</v>
      </c>
      <c r="S281" s="437">
        <f>+'A) Base RI'!U281</f>
        <v>68.5</v>
      </c>
      <c r="T281" s="394">
        <f t="shared" si="27"/>
        <v>21160883.199999999</v>
      </c>
      <c r="U281" s="394">
        <f t="shared" si="28"/>
        <v>334017.18953771284</v>
      </c>
      <c r="V281" s="10">
        <f>+'A) Base RI'!O281</f>
        <v>69723.199999999997</v>
      </c>
      <c r="W281" s="10">
        <f>+'A) Base RI'!P281</f>
        <v>1262564.25</v>
      </c>
      <c r="X281" s="10">
        <f>+'A) Base RI'!R281</f>
        <v>1330306.7</v>
      </c>
      <c r="Y281" s="394">
        <f t="shared" si="29"/>
        <v>2662594.15</v>
      </c>
      <c r="Z281" s="10">
        <f>+'A) Base RI'!N281</f>
        <v>210894</v>
      </c>
      <c r="AA281" s="10">
        <f>'A) Base RI'!V281</f>
        <v>5634</v>
      </c>
    </row>
    <row r="282" spans="1:27" x14ac:dyDescent="0.25">
      <c r="A282" s="8">
        <f>'A) Base RI'!A282</f>
        <v>5889</v>
      </c>
      <c r="B282" s="32" t="str">
        <f>'A) Base RI'!B282</f>
        <v>La Tour-de-Peilz</v>
      </c>
      <c r="C282" s="10">
        <f>'A) Base RI'!C282+'A) Base RI'!D282</f>
        <v>34167716.170000002</v>
      </c>
      <c r="D282" s="10">
        <f>'A) Base RI'!W282</f>
        <v>-303506.06</v>
      </c>
      <c r="E282" s="390">
        <f>'A) Base RI'!X282</f>
        <v>0</v>
      </c>
      <c r="F282" s="390">
        <f>'A) Base RI'!Y282</f>
        <v>-112201.94</v>
      </c>
      <c r="G282" s="394">
        <f t="shared" si="24"/>
        <v>33752008.170000002</v>
      </c>
      <c r="H282" s="10">
        <f>+'A) Base RI'!E282</f>
        <v>0</v>
      </c>
      <c r="I282" s="10">
        <f>+'A) Base RI'!F282</f>
        <v>0</v>
      </c>
      <c r="J282" s="10">
        <f>+'A) Base RI'!G282+'A) Base RI'!H282+'A) Base RI'!S282</f>
        <v>9282704.6699999999</v>
      </c>
      <c r="K282" s="10">
        <f>+'A) Base RI'!I282</f>
        <v>675203.69</v>
      </c>
      <c r="L282" s="10">
        <f>+'A) Base RI'!J282</f>
        <v>645786.52</v>
      </c>
      <c r="M282" s="10">
        <f>+'A) Base RI'!K282</f>
        <v>306717.05</v>
      </c>
      <c r="N282" s="10">
        <f>+'A) Base RI'!Q282</f>
        <v>146154.68</v>
      </c>
      <c r="O282" s="10">
        <f t="shared" si="25"/>
        <v>2585703.5833333335</v>
      </c>
      <c r="P282" s="10">
        <f>+'A) Base RI'!L282</f>
        <v>3102844.3</v>
      </c>
      <c r="Q282" s="402">
        <f>'A) Base RI'!Z282</f>
        <v>1.2</v>
      </c>
      <c r="R282" s="394">
        <f t="shared" si="26"/>
        <v>47394278.363333337</v>
      </c>
      <c r="S282" s="437">
        <f>+'A) Base RI'!U282</f>
        <v>64</v>
      </c>
      <c r="T282" s="394">
        <f t="shared" si="27"/>
        <v>44501857.730000004</v>
      </c>
      <c r="U282" s="394">
        <f t="shared" si="28"/>
        <v>740535.59942708339</v>
      </c>
      <c r="V282" s="10">
        <f>+'A) Base RI'!O282</f>
        <v>237280.9</v>
      </c>
      <c r="W282" s="10">
        <f>+'A) Base RI'!P282</f>
        <v>1687943.05</v>
      </c>
      <c r="X282" s="10">
        <f>+'A) Base RI'!R282</f>
        <v>1895537.55</v>
      </c>
      <c r="Y282" s="394">
        <f t="shared" si="29"/>
        <v>3820761.5</v>
      </c>
      <c r="Z282" s="10">
        <f>+'A) Base RI'!N282</f>
        <v>259436.3</v>
      </c>
      <c r="AA282" s="10">
        <f>'A) Base RI'!V282</f>
        <v>12222</v>
      </c>
    </row>
    <row r="283" spans="1:27" x14ac:dyDescent="0.25">
      <c r="A283" s="8">
        <f>'A) Base RI'!A283</f>
        <v>5890</v>
      </c>
      <c r="B283" s="32" t="str">
        <f>'A) Base RI'!B283</f>
        <v>Vevey</v>
      </c>
      <c r="C283" s="10">
        <f>'A) Base RI'!C283+'A) Base RI'!D283</f>
        <v>43051261.190000005</v>
      </c>
      <c r="D283" s="10">
        <f>'A) Base RI'!W283</f>
        <v>-698119.75</v>
      </c>
      <c r="E283" s="390">
        <f>'A) Base RI'!X283</f>
        <v>0</v>
      </c>
      <c r="F283" s="390">
        <f>'A) Base RI'!Y283</f>
        <v>-38688.300000000003</v>
      </c>
      <c r="G283" s="394">
        <f t="shared" si="24"/>
        <v>42314453.140000008</v>
      </c>
      <c r="H283" s="10">
        <f>+'A) Base RI'!E283</f>
        <v>0</v>
      </c>
      <c r="I283" s="10">
        <f>+'A) Base RI'!F283</f>
        <v>0</v>
      </c>
      <c r="J283" s="10">
        <f>+'A) Base RI'!G283+'A) Base RI'!H283+'A) Base RI'!S283</f>
        <v>21377273.009999998</v>
      </c>
      <c r="K283" s="10">
        <f>+'A) Base RI'!I283</f>
        <v>388358.83</v>
      </c>
      <c r="L283" s="10">
        <f>+'A) Base RI'!J283</f>
        <v>3327671</v>
      </c>
      <c r="M283" s="10">
        <f>+'A) Base RI'!K283</f>
        <v>796821.45</v>
      </c>
      <c r="N283" s="10">
        <f>+'A) Base RI'!Q283</f>
        <v>191449.14</v>
      </c>
      <c r="O283" s="10">
        <f t="shared" si="25"/>
        <v>3852344.86</v>
      </c>
      <c r="P283" s="10">
        <f>+'A) Base RI'!L283</f>
        <v>5778517.29</v>
      </c>
      <c r="Q283" s="402">
        <f>'A) Base RI'!Z283</f>
        <v>1.5</v>
      </c>
      <c r="R283" s="394">
        <f t="shared" si="26"/>
        <v>72248371.430000007</v>
      </c>
      <c r="S283" s="437">
        <f>+'A) Base RI'!U283</f>
        <v>74.5</v>
      </c>
      <c r="T283" s="394">
        <f t="shared" si="27"/>
        <v>67599205.120000005</v>
      </c>
      <c r="U283" s="394">
        <f t="shared" si="28"/>
        <v>969776.79771812086</v>
      </c>
      <c r="V283" s="10">
        <f>+'A) Base RI'!O283</f>
        <v>1949287.4</v>
      </c>
      <c r="W283" s="10">
        <f>+'A) Base RI'!P283</f>
        <v>2434402.0499999998</v>
      </c>
      <c r="X283" s="10">
        <f>+'A) Base RI'!R283</f>
        <v>1549727</v>
      </c>
      <c r="Y283" s="394">
        <f t="shared" si="29"/>
        <v>5933416.4499999993</v>
      </c>
      <c r="Z283" s="10">
        <f>+'A) Base RI'!N283</f>
        <v>1260005.1000000001</v>
      </c>
      <c r="AA283" s="10">
        <f>'A) Base RI'!V283</f>
        <v>19721</v>
      </c>
    </row>
    <row r="284" spans="1:27" x14ac:dyDescent="0.25">
      <c r="A284" s="8">
        <f>'A) Base RI'!A284</f>
        <v>5891</v>
      </c>
      <c r="B284" s="32" t="str">
        <f>'A) Base RI'!B284</f>
        <v>Veytaux</v>
      </c>
      <c r="C284" s="10">
        <f>'A) Base RI'!C284+'A) Base RI'!D284</f>
        <v>2233190.67</v>
      </c>
      <c r="D284" s="10">
        <f>'A) Base RI'!W284</f>
        <v>-38546.910000000003</v>
      </c>
      <c r="E284" s="390">
        <f>'A) Base RI'!X284</f>
        <v>0</v>
      </c>
      <c r="F284" s="390">
        <f>'A) Base RI'!Y284</f>
        <v>-1163.5</v>
      </c>
      <c r="G284" s="394">
        <f t="shared" si="24"/>
        <v>2193480.2599999998</v>
      </c>
      <c r="H284" s="10">
        <f>+'A) Base RI'!E284</f>
        <v>0</v>
      </c>
      <c r="I284" s="10">
        <f>+'A) Base RI'!F284</f>
        <v>0</v>
      </c>
      <c r="J284" s="10">
        <f>+'A) Base RI'!G284+'A) Base RI'!H284+'A) Base RI'!S284</f>
        <v>102374.19</v>
      </c>
      <c r="K284" s="10">
        <f>+'A) Base RI'!I284</f>
        <v>43104.95</v>
      </c>
      <c r="L284" s="10">
        <f>+'A) Base RI'!J284</f>
        <v>60495.839999999997</v>
      </c>
      <c r="M284" s="10">
        <f>+'A) Base RI'!K284</f>
        <v>15204.85</v>
      </c>
      <c r="N284" s="10">
        <f>+'A) Base RI'!Q284</f>
        <v>9717.17</v>
      </c>
      <c r="O284" s="10">
        <f t="shared" si="25"/>
        <v>294695.8</v>
      </c>
      <c r="P284" s="10">
        <f>+'A) Base RI'!L284</f>
        <v>442043.7</v>
      </c>
      <c r="Q284" s="402">
        <f>'A) Base RI'!Z284</f>
        <v>1.5</v>
      </c>
      <c r="R284" s="394">
        <f t="shared" si="26"/>
        <v>2719073.0599999996</v>
      </c>
      <c r="S284" s="437">
        <f>+'A) Base RI'!U284</f>
        <v>69.5</v>
      </c>
      <c r="T284" s="394">
        <f t="shared" si="27"/>
        <v>2409172.4099999997</v>
      </c>
      <c r="U284" s="394">
        <f t="shared" si="28"/>
        <v>39123.353381294961</v>
      </c>
      <c r="V284" s="10">
        <f>+'A) Base RI'!O284</f>
        <v>7716.2</v>
      </c>
      <c r="W284" s="10">
        <f>+'A) Base RI'!P284</f>
        <v>157602.6</v>
      </c>
      <c r="X284" s="10">
        <f>+'A) Base RI'!R284</f>
        <v>94879.1</v>
      </c>
      <c r="Y284" s="394">
        <f t="shared" si="29"/>
        <v>260197.90000000002</v>
      </c>
      <c r="Z284" s="10">
        <f>+'A) Base RI'!N284</f>
        <v>2689.3</v>
      </c>
      <c r="AA284" s="10">
        <f>'A) Base RI'!V284</f>
        <v>952</v>
      </c>
    </row>
    <row r="285" spans="1:27" x14ac:dyDescent="0.25">
      <c r="A285" s="8">
        <f>'A) Base RI'!A285</f>
        <v>5902</v>
      </c>
      <c r="B285" s="32" t="str">
        <f>'A) Base RI'!B285</f>
        <v>Belmont-sur-Yverdon</v>
      </c>
      <c r="C285" s="10">
        <f>'A) Base RI'!C285+'A) Base RI'!D285</f>
        <v>782946.94</v>
      </c>
      <c r="D285" s="10">
        <f>'A) Base RI'!W285</f>
        <v>-47.61</v>
      </c>
      <c r="E285" s="390">
        <f>'A) Base RI'!X285</f>
        <v>0</v>
      </c>
      <c r="F285" s="390">
        <f>'A) Base RI'!Y285</f>
        <v>-135.94999999999999</v>
      </c>
      <c r="G285" s="394">
        <f t="shared" si="24"/>
        <v>782763.38</v>
      </c>
      <c r="H285" s="10">
        <f>+'A) Base RI'!E285</f>
        <v>0</v>
      </c>
      <c r="I285" s="10">
        <f>+'A) Base RI'!F285</f>
        <v>0</v>
      </c>
      <c r="J285" s="10">
        <f>+'A) Base RI'!G285+'A) Base RI'!H285+'A) Base RI'!S285</f>
        <v>2398.4700000000003</v>
      </c>
      <c r="K285" s="10">
        <f>+'A) Base RI'!I285</f>
        <v>0</v>
      </c>
      <c r="L285" s="10">
        <f>+'A) Base RI'!J285</f>
        <v>2692.1</v>
      </c>
      <c r="M285" s="10">
        <f>+'A) Base RI'!K285</f>
        <v>0</v>
      </c>
      <c r="N285" s="10">
        <f>+'A) Base RI'!Q285</f>
        <v>0</v>
      </c>
      <c r="O285" s="10">
        <f t="shared" si="25"/>
        <v>59786.55</v>
      </c>
      <c r="P285" s="10">
        <f>+'A) Base RI'!L285</f>
        <v>59786.55</v>
      </c>
      <c r="Q285" s="402">
        <f>'A) Base RI'!Z285</f>
        <v>1</v>
      </c>
      <c r="R285" s="394">
        <f t="shared" si="26"/>
        <v>847640.5</v>
      </c>
      <c r="S285" s="437">
        <f>+'A) Base RI'!U285</f>
        <v>70</v>
      </c>
      <c r="T285" s="394">
        <f t="shared" si="27"/>
        <v>787853.95</v>
      </c>
      <c r="U285" s="394">
        <f t="shared" si="28"/>
        <v>12109.15</v>
      </c>
      <c r="V285" s="10">
        <f>+'A) Base RI'!O285</f>
        <v>360.6</v>
      </c>
      <c r="W285" s="10">
        <f>+'A) Base RI'!P285</f>
        <v>41136.35</v>
      </c>
      <c r="X285" s="10">
        <f>+'A) Base RI'!R285</f>
        <v>21279.599999999999</v>
      </c>
      <c r="Y285" s="394">
        <f t="shared" si="29"/>
        <v>62776.549999999996</v>
      </c>
      <c r="Z285" s="10">
        <f>+'A) Base RI'!N285</f>
        <v>0</v>
      </c>
      <c r="AA285" s="10">
        <f>'A) Base RI'!V285</f>
        <v>415</v>
      </c>
    </row>
    <row r="286" spans="1:27" x14ac:dyDescent="0.25">
      <c r="A286" s="8">
        <f>'A) Base RI'!A286</f>
        <v>5903</v>
      </c>
      <c r="B286" s="32" t="str">
        <f>'A) Base RI'!B286</f>
        <v>Bioley-Magnoux</v>
      </c>
      <c r="C286" s="10">
        <f>'A) Base RI'!C286+'A) Base RI'!D286</f>
        <v>401336.7</v>
      </c>
      <c r="D286" s="10">
        <f>'A) Base RI'!W286</f>
        <v>-2000.24</v>
      </c>
      <c r="E286" s="390">
        <f>'A) Base RI'!X286</f>
        <v>0</v>
      </c>
      <c r="F286" s="390">
        <f>'A) Base RI'!Y286</f>
        <v>-143.72</v>
      </c>
      <c r="G286" s="394">
        <f t="shared" si="24"/>
        <v>399192.74000000005</v>
      </c>
      <c r="H286" s="10">
        <f>+'A) Base RI'!E286</f>
        <v>0</v>
      </c>
      <c r="I286" s="10">
        <f>+'A) Base RI'!F286</f>
        <v>0</v>
      </c>
      <c r="J286" s="10">
        <f>+'A) Base RI'!G286+'A) Base RI'!H286+'A) Base RI'!S286</f>
        <v>-2356.89</v>
      </c>
      <c r="K286" s="10">
        <f>+'A) Base RI'!I286</f>
        <v>0</v>
      </c>
      <c r="L286" s="10">
        <f>+'A) Base RI'!J286</f>
        <v>711.72</v>
      </c>
      <c r="M286" s="10">
        <f>+'A) Base RI'!K286</f>
        <v>0</v>
      </c>
      <c r="N286" s="10">
        <f>+'A) Base RI'!Q286</f>
        <v>0</v>
      </c>
      <c r="O286" s="10">
        <f t="shared" si="25"/>
        <v>38714.785714285717</v>
      </c>
      <c r="P286" s="10">
        <f>+'A) Base RI'!L286</f>
        <v>27100.35</v>
      </c>
      <c r="Q286" s="402">
        <f>'A) Base RI'!Z286</f>
        <v>0.7</v>
      </c>
      <c r="R286" s="394">
        <f t="shared" si="26"/>
        <v>436262.35571428575</v>
      </c>
      <c r="S286" s="437">
        <f>+'A) Base RI'!U286</f>
        <v>72</v>
      </c>
      <c r="T286" s="394">
        <f t="shared" si="27"/>
        <v>397547.57</v>
      </c>
      <c r="U286" s="394">
        <f t="shared" si="28"/>
        <v>6059.1993849206356</v>
      </c>
      <c r="V286" s="10">
        <f>+'A) Base RI'!O286</f>
        <v>0</v>
      </c>
      <c r="W286" s="10">
        <f>+'A) Base RI'!P286</f>
        <v>0</v>
      </c>
      <c r="X286" s="10">
        <f>+'A) Base RI'!R286</f>
        <v>0</v>
      </c>
      <c r="Y286" s="394">
        <f t="shared" si="29"/>
        <v>0</v>
      </c>
      <c r="Z286" s="10">
        <f>+'A) Base RI'!N286</f>
        <v>35867.85</v>
      </c>
      <c r="AA286" s="10">
        <f>'A) Base RI'!V286</f>
        <v>234</v>
      </c>
    </row>
    <row r="287" spans="1:27" x14ac:dyDescent="0.25">
      <c r="A287" s="8">
        <f>'A) Base RI'!A287</f>
        <v>5904</v>
      </c>
      <c r="B287" s="32" t="str">
        <f>'A) Base RI'!B287</f>
        <v>Chamblon</v>
      </c>
      <c r="C287" s="10">
        <f>'A) Base RI'!C287+'A) Base RI'!D287</f>
        <v>1322310.7799999998</v>
      </c>
      <c r="D287" s="10">
        <f>'A) Base RI'!W287</f>
        <v>-5642.34</v>
      </c>
      <c r="E287" s="390">
        <f>'A) Base RI'!X287</f>
        <v>0</v>
      </c>
      <c r="F287" s="390">
        <f>'A) Base RI'!Y287</f>
        <v>-212.77</v>
      </c>
      <c r="G287" s="394">
        <f t="shared" si="24"/>
        <v>1316455.6699999997</v>
      </c>
      <c r="H287" s="10">
        <f>+'A) Base RI'!E287</f>
        <v>0</v>
      </c>
      <c r="I287" s="10">
        <f>+'A) Base RI'!F287</f>
        <v>0</v>
      </c>
      <c r="J287" s="10">
        <f>+'A) Base RI'!G287+'A) Base RI'!H287+'A) Base RI'!S287</f>
        <v>19932.68</v>
      </c>
      <c r="K287" s="10">
        <f>+'A) Base RI'!I287</f>
        <v>0</v>
      </c>
      <c r="L287" s="10">
        <f>+'A) Base RI'!J287</f>
        <v>27953.1</v>
      </c>
      <c r="M287" s="10">
        <f>+'A) Base RI'!K287</f>
        <v>1431.65</v>
      </c>
      <c r="N287" s="10">
        <f>+'A) Base RI'!Q287</f>
        <v>0</v>
      </c>
      <c r="O287" s="10">
        <f t="shared" si="25"/>
        <v>97989.1</v>
      </c>
      <c r="P287" s="10">
        <f>+'A) Base RI'!L287</f>
        <v>97989.1</v>
      </c>
      <c r="Q287" s="402">
        <f>'A) Base RI'!Z287</f>
        <v>1</v>
      </c>
      <c r="R287" s="394">
        <f t="shared" si="26"/>
        <v>1463762.1999999997</v>
      </c>
      <c r="S287" s="437">
        <f>+'A) Base RI'!U287</f>
        <v>66</v>
      </c>
      <c r="T287" s="394">
        <f t="shared" si="27"/>
        <v>1364341.4499999997</v>
      </c>
      <c r="U287" s="394">
        <f t="shared" si="28"/>
        <v>22178.215151515149</v>
      </c>
      <c r="V287" s="10">
        <f>+'A) Base RI'!O287</f>
        <v>0</v>
      </c>
      <c r="W287" s="10">
        <f>+'A) Base RI'!P287</f>
        <v>34131.1</v>
      </c>
      <c r="X287" s="10">
        <f>+'A) Base RI'!R287</f>
        <v>12514</v>
      </c>
      <c r="Y287" s="394">
        <f t="shared" si="29"/>
        <v>46645.1</v>
      </c>
      <c r="Z287" s="10">
        <f>+'A) Base RI'!N287</f>
        <v>32442.95</v>
      </c>
      <c r="AA287" s="10">
        <f>'A) Base RI'!V287</f>
        <v>561</v>
      </c>
    </row>
    <row r="288" spans="1:27" x14ac:dyDescent="0.25">
      <c r="A288" s="8">
        <f>'A) Base RI'!A288</f>
        <v>5905</v>
      </c>
      <c r="B288" s="32" t="str">
        <f>'A) Base RI'!B288</f>
        <v>Champvent</v>
      </c>
      <c r="C288" s="10">
        <f>'A) Base RI'!C288+'A) Base RI'!D288</f>
        <v>1317036.33</v>
      </c>
      <c r="D288" s="10">
        <f>'A) Base RI'!W288</f>
        <v>-3492.36</v>
      </c>
      <c r="E288" s="390">
        <f>'A) Base RI'!X288</f>
        <v>0</v>
      </c>
      <c r="F288" s="390">
        <f>'A) Base RI'!Y288</f>
        <v>-614.89</v>
      </c>
      <c r="G288" s="394">
        <f t="shared" si="24"/>
        <v>1312929.08</v>
      </c>
      <c r="H288" s="10">
        <f>+'A) Base RI'!E288</f>
        <v>0</v>
      </c>
      <c r="I288" s="10">
        <f>+'A) Base RI'!F288</f>
        <v>0</v>
      </c>
      <c r="J288" s="10">
        <f>+'A) Base RI'!G288+'A) Base RI'!H288+'A) Base RI'!S288</f>
        <v>178694.44</v>
      </c>
      <c r="K288" s="10">
        <f>+'A) Base RI'!I288</f>
        <v>0</v>
      </c>
      <c r="L288" s="10">
        <f>+'A) Base RI'!J288</f>
        <v>27902.33</v>
      </c>
      <c r="M288" s="10">
        <f>+'A) Base RI'!K288</f>
        <v>3104.55</v>
      </c>
      <c r="N288" s="10">
        <f>+'A) Base RI'!Q288</f>
        <v>465.13</v>
      </c>
      <c r="O288" s="10">
        <f t="shared" si="25"/>
        <v>103440.55</v>
      </c>
      <c r="P288" s="10">
        <f>+'A) Base RI'!L288</f>
        <v>103440.55</v>
      </c>
      <c r="Q288" s="402">
        <f>'A) Base RI'!Z288</f>
        <v>1</v>
      </c>
      <c r="R288" s="394">
        <f t="shared" si="26"/>
        <v>1626536.08</v>
      </c>
      <c r="S288" s="437">
        <f>+'A) Base RI'!U288</f>
        <v>70</v>
      </c>
      <c r="T288" s="394">
        <f t="shared" si="27"/>
        <v>1519990.98</v>
      </c>
      <c r="U288" s="394">
        <f t="shared" si="28"/>
        <v>23236.229714285717</v>
      </c>
      <c r="V288" s="10">
        <f>+'A) Base RI'!O288</f>
        <v>0</v>
      </c>
      <c r="W288" s="10">
        <f>+'A) Base RI'!P288</f>
        <v>66973.7</v>
      </c>
      <c r="X288" s="10">
        <f>+'A) Base RI'!R288</f>
        <v>118583.65</v>
      </c>
      <c r="Y288" s="394">
        <f t="shared" si="29"/>
        <v>185557.34999999998</v>
      </c>
      <c r="Z288" s="10">
        <f>+'A) Base RI'!N288</f>
        <v>273258</v>
      </c>
      <c r="AA288" s="10">
        <f>'A) Base RI'!V288</f>
        <v>712</v>
      </c>
    </row>
    <row r="289" spans="1:27" x14ac:dyDescent="0.25">
      <c r="A289" s="8">
        <f>'A) Base RI'!A289</f>
        <v>5907</v>
      </c>
      <c r="B289" s="32" t="str">
        <f>'A) Base RI'!B289</f>
        <v>Chavannes-le-Chêne</v>
      </c>
      <c r="C289" s="10">
        <f>'A) Base RI'!C289+'A) Base RI'!D289</f>
        <v>547006.25</v>
      </c>
      <c r="D289" s="10">
        <f>'A) Base RI'!W289</f>
        <v>-3075.95</v>
      </c>
      <c r="E289" s="390">
        <f>'A) Base RI'!X289</f>
        <v>0</v>
      </c>
      <c r="F289" s="390">
        <f>'A) Base RI'!Y289</f>
        <v>-4.53</v>
      </c>
      <c r="G289" s="394">
        <f t="shared" si="24"/>
        <v>543925.77</v>
      </c>
      <c r="H289" s="10">
        <f>+'A) Base RI'!E289</f>
        <v>0</v>
      </c>
      <c r="I289" s="10">
        <f>+'A) Base RI'!F289</f>
        <v>2030</v>
      </c>
      <c r="J289" s="10">
        <f>+'A) Base RI'!G289+'A) Base RI'!H289+'A) Base RI'!S289</f>
        <v>917.38</v>
      </c>
      <c r="K289" s="10">
        <f>+'A) Base RI'!I289</f>
        <v>0</v>
      </c>
      <c r="L289" s="10">
        <f>+'A) Base RI'!J289</f>
        <v>-9093.52</v>
      </c>
      <c r="M289" s="10">
        <f>+'A) Base RI'!K289</f>
        <v>520.70000000000005</v>
      </c>
      <c r="N289" s="10">
        <f>+'A) Base RI'!Q289</f>
        <v>0</v>
      </c>
      <c r="O289" s="10">
        <f t="shared" si="25"/>
        <v>48075.75</v>
      </c>
      <c r="P289" s="10">
        <f>+'A) Base RI'!L289</f>
        <v>48075.75</v>
      </c>
      <c r="Q289" s="402">
        <f>'A) Base RI'!Z289</f>
        <v>1</v>
      </c>
      <c r="R289" s="394">
        <f t="shared" si="26"/>
        <v>586376.07999999996</v>
      </c>
      <c r="S289" s="437">
        <f>+'A) Base RI'!U289</f>
        <v>75</v>
      </c>
      <c r="T289" s="394">
        <f t="shared" si="27"/>
        <v>535749.63</v>
      </c>
      <c r="U289" s="394">
        <f t="shared" si="28"/>
        <v>7818.3477333333331</v>
      </c>
      <c r="V289" s="10">
        <f>+'A) Base RI'!O289</f>
        <v>0</v>
      </c>
      <c r="W289" s="10">
        <f>+'A) Base RI'!P289</f>
        <v>10435.35</v>
      </c>
      <c r="X289" s="10">
        <f>+'A) Base RI'!R289</f>
        <v>9770</v>
      </c>
      <c r="Y289" s="394">
        <f t="shared" si="29"/>
        <v>20205.349999999999</v>
      </c>
      <c r="Z289" s="10">
        <f>+'A) Base RI'!N289</f>
        <v>8695.1</v>
      </c>
      <c r="AA289" s="10">
        <f>'A) Base RI'!V289</f>
        <v>325</v>
      </c>
    </row>
    <row r="290" spans="1:27" x14ac:dyDescent="0.25">
      <c r="A290" s="8">
        <f>'A) Base RI'!A290</f>
        <v>5908</v>
      </c>
      <c r="B290" s="32" t="str">
        <f>'A) Base RI'!B290</f>
        <v>Chêne-Pâquier</v>
      </c>
      <c r="C290" s="10">
        <f>'A) Base RI'!C290+'A) Base RI'!D290</f>
        <v>308949.82</v>
      </c>
      <c r="D290" s="10">
        <f>'A) Base RI'!W290</f>
        <v>-7072.3</v>
      </c>
      <c r="E290" s="390">
        <f>'A) Base RI'!X290</f>
        <v>0</v>
      </c>
      <c r="F290" s="390">
        <f>'A) Base RI'!Y290</f>
        <v>-49.33</v>
      </c>
      <c r="G290" s="394">
        <f t="shared" si="24"/>
        <v>301828.19</v>
      </c>
      <c r="H290" s="10">
        <f>+'A) Base RI'!E290</f>
        <v>0</v>
      </c>
      <c r="I290" s="10">
        <f>+'A) Base RI'!F290</f>
        <v>0</v>
      </c>
      <c r="J290" s="10">
        <f>+'A) Base RI'!G290+'A) Base RI'!H290+'A) Base RI'!S290</f>
        <v>11563.23</v>
      </c>
      <c r="K290" s="10">
        <f>+'A) Base RI'!I290</f>
        <v>0</v>
      </c>
      <c r="L290" s="10">
        <f>+'A) Base RI'!J290</f>
        <v>11594.65</v>
      </c>
      <c r="M290" s="10">
        <f>+'A) Base RI'!K290</f>
        <v>662.95</v>
      </c>
      <c r="N290" s="10">
        <f>+'A) Base RI'!Q290</f>
        <v>0</v>
      </c>
      <c r="O290" s="10">
        <f t="shared" si="25"/>
        <v>23047.35</v>
      </c>
      <c r="P290" s="10">
        <f>+'A) Base RI'!L290</f>
        <v>23047.35</v>
      </c>
      <c r="Q290" s="402">
        <f>'A) Base RI'!Z290</f>
        <v>1</v>
      </c>
      <c r="R290" s="394">
        <f t="shared" si="26"/>
        <v>348696.37</v>
      </c>
      <c r="S290" s="437">
        <f>+'A) Base RI'!U290</f>
        <v>79</v>
      </c>
      <c r="T290" s="394">
        <f t="shared" si="27"/>
        <v>324986.07</v>
      </c>
      <c r="U290" s="394">
        <f t="shared" si="28"/>
        <v>4413.8781012658228</v>
      </c>
      <c r="V290" s="10">
        <f>+'A) Base RI'!O290</f>
        <v>8555.2000000000007</v>
      </c>
      <c r="W290" s="10">
        <f>+'A) Base RI'!P290</f>
        <v>4400</v>
      </c>
      <c r="X290" s="10">
        <f>+'A) Base RI'!R290</f>
        <v>1651.25</v>
      </c>
      <c r="Y290" s="394">
        <f t="shared" si="29"/>
        <v>14606.45</v>
      </c>
      <c r="Z290" s="10">
        <f>+'A) Base RI'!N290</f>
        <v>436.2</v>
      </c>
      <c r="AA290" s="10">
        <f>'A) Base RI'!V290</f>
        <v>153</v>
      </c>
    </row>
    <row r="291" spans="1:27" x14ac:dyDescent="0.25">
      <c r="A291" s="8">
        <f>'A) Base RI'!A291</f>
        <v>5909</v>
      </c>
      <c r="B291" s="32" t="str">
        <f>'A) Base RI'!B291</f>
        <v>Cheseaux-Noréaz</v>
      </c>
      <c r="C291" s="10">
        <f>'A) Base RI'!C291+'A) Base RI'!D291</f>
        <v>2292853.7399999998</v>
      </c>
      <c r="D291" s="10">
        <f>'A) Base RI'!W291</f>
        <v>-1915.8</v>
      </c>
      <c r="E291" s="390">
        <f>'A) Base RI'!X291</f>
        <v>0</v>
      </c>
      <c r="F291" s="390">
        <f>'A) Base RI'!Y291</f>
        <v>-761.37</v>
      </c>
      <c r="G291" s="394">
        <f t="shared" si="24"/>
        <v>2290176.5699999998</v>
      </c>
      <c r="H291" s="10">
        <f>+'A) Base RI'!E291</f>
        <v>0</v>
      </c>
      <c r="I291" s="10">
        <f>+'A) Base RI'!F291</f>
        <v>0</v>
      </c>
      <c r="J291" s="10">
        <f>+'A) Base RI'!G291+'A) Base RI'!H291+'A) Base RI'!S291</f>
        <v>-9433.7300000000014</v>
      </c>
      <c r="K291" s="10">
        <f>+'A) Base RI'!I291</f>
        <v>0</v>
      </c>
      <c r="L291" s="10">
        <f>+'A) Base RI'!J291</f>
        <v>25369.15</v>
      </c>
      <c r="M291" s="10">
        <f>+'A) Base RI'!K291</f>
        <v>768.05</v>
      </c>
      <c r="N291" s="10">
        <f>+'A) Base RI'!Q291</f>
        <v>2108.14</v>
      </c>
      <c r="O291" s="10">
        <f t="shared" si="25"/>
        <v>163216.22</v>
      </c>
      <c r="P291" s="10">
        <f>+'A) Base RI'!L291</f>
        <v>163216.22</v>
      </c>
      <c r="Q291" s="402">
        <f>'A) Base RI'!Z291</f>
        <v>1</v>
      </c>
      <c r="R291" s="394">
        <f t="shared" si="26"/>
        <v>2472204.4</v>
      </c>
      <c r="S291" s="437">
        <f>+'A) Base RI'!U291</f>
        <v>67</v>
      </c>
      <c r="T291" s="394">
        <f t="shared" si="27"/>
        <v>2308220.13</v>
      </c>
      <c r="U291" s="394">
        <f t="shared" si="28"/>
        <v>36898.573134328355</v>
      </c>
      <c r="V291" s="10">
        <f>+'A) Base RI'!O291</f>
        <v>15566.6</v>
      </c>
      <c r="W291" s="10">
        <f>+'A) Base RI'!P291</f>
        <v>112643.65</v>
      </c>
      <c r="X291" s="10">
        <f>+'A) Base RI'!R291</f>
        <v>137179.85</v>
      </c>
      <c r="Y291" s="394">
        <f t="shared" si="29"/>
        <v>265390.09999999998</v>
      </c>
      <c r="Z291" s="10">
        <f>+'A) Base RI'!N291</f>
        <v>7393.8</v>
      </c>
      <c r="AA291" s="10">
        <f>'A) Base RI'!V291</f>
        <v>728</v>
      </c>
    </row>
    <row r="292" spans="1:27" x14ac:dyDescent="0.25">
      <c r="A292" s="8">
        <f>'A) Base RI'!A292</f>
        <v>5910</v>
      </c>
      <c r="B292" s="32" t="str">
        <f>'A) Base RI'!B292</f>
        <v>Cronay</v>
      </c>
      <c r="C292" s="10">
        <f>'A) Base RI'!C292+'A) Base RI'!D292</f>
        <v>751573.59</v>
      </c>
      <c r="D292" s="10">
        <f>'A) Base RI'!W292</f>
        <v>-18196.66</v>
      </c>
      <c r="E292" s="390">
        <f>'A) Base RI'!X292</f>
        <v>0</v>
      </c>
      <c r="F292" s="390">
        <f>'A) Base RI'!Y292</f>
        <v>0</v>
      </c>
      <c r="G292" s="394">
        <f t="shared" si="24"/>
        <v>733376.92999999993</v>
      </c>
      <c r="H292" s="10">
        <f>+'A) Base RI'!E292</f>
        <v>0</v>
      </c>
      <c r="I292" s="10">
        <f>+'A) Base RI'!F292</f>
        <v>2200</v>
      </c>
      <c r="J292" s="10">
        <f>+'A) Base RI'!G292+'A) Base RI'!H292+'A) Base RI'!S292</f>
        <v>11037.99</v>
      </c>
      <c r="K292" s="10">
        <f>+'A) Base RI'!I292</f>
        <v>0</v>
      </c>
      <c r="L292" s="10">
        <f>+'A) Base RI'!J292</f>
        <v>8599.1200000000008</v>
      </c>
      <c r="M292" s="10">
        <f>+'A) Base RI'!K292</f>
        <v>0</v>
      </c>
      <c r="N292" s="10">
        <f>+'A) Base RI'!Q292</f>
        <v>0</v>
      </c>
      <c r="O292" s="10">
        <f t="shared" si="25"/>
        <v>61018</v>
      </c>
      <c r="P292" s="10">
        <f>+'A) Base RI'!L292</f>
        <v>61018</v>
      </c>
      <c r="Q292" s="402">
        <f>'A) Base RI'!Z292</f>
        <v>1</v>
      </c>
      <c r="R292" s="394">
        <f t="shared" si="26"/>
        <v>816232.03999999992</v>
      </c>
      <c r="S292" s="437">
        <f>+'A) Base RI'!U292</f>
        <v>77</v>
      </c>
      <c r="T292" s="394">
        <f t="shared" si="27"/>
        <v>753014.03999999992</v>
      </c>
      <c r="U292" s="394">
        <f t="shared" si="28"/>
        <v>10600.416103896103</v>
      </c>
      <c r="V292" s="10">
        <f>+'A) Base RI'!O292</f>
        <v>0</v>
      </c>
      <c r="W292" s="10">
        <f>+'A) Base RI'!P292</f>
        <v>44207.8</v>
      </c>
      <c r="X292" s="10">
        <f>+'A) Base RI'!R292</f>
        <v>13554.7</v>
      </c>
      <c r="Y292" s="394">
        <f t="shared" si="29"/>
        <v>57762.5</v>
      </c>
      <c r="Z292" s="10">
        <f>+'A) Base RI'!N292</f>
        <v>0</v>
      </c>
      <c r="AA292" s="10">
        <f>'A) Base RI'!V292</f>
        <v>403</v>
      </c>
    </row>
    <row r="293" spans="1:27" x14ac:dyDescent="0.25">
      <c r="A293" s="8">
        <f>'A) Base RI'!A293</f>
        <v>5911</v>
      </c>
      <c r="B293" s="32" t="str">
        <f>'A) Base RI'!B293</f>
        <v>Cuarny</v>
      </c>
      <c r="C293" s="10">
        <f>'A) Base RI'!C293+'A) Base RI'!D293</f>
        <v>532427.22</v>
      </c>
      <c r="D293" s="10">
        <f>'A) Base RI'!W293</f>
        <v>-2706.69</v>
      </c>
      <c r="E293" s="390">
        <f>'A) Base RI'!X293</f>
        <v>0</v>
      </c>
      <c r="F293" s="390">
        <f>'A) Base RI'!Y293</f>
        <v>-600.22</v>
      </c>
      <c r="G293" s="394">
        <f t="shared" si="24"/>
        <v>529120.31000000006</v>
      </c>
      <c r="H293" s="10">
        <f>+'A) Base RI'!E293</f>
        <v>0</v>
      </c>
      <c r="I293" s="10">
        <f>+'A) Base RI'!F293</f>
        <v>1390</v>
      </c>
      <c r="J293" s="10">
        <f>+'A) Base RI'!G293+'A) Base RI'!H293+'A) Base RI'!S293</f>
        <v>7914.5700000000006</v>
      </c>
      <c r="K293" s="10">
        <f>+'A) Base RI'!I293</f>
        <v>0</v>
      </c>
      <c r="L293" s="10">
        <f>+'A) Base RI'!J293</f>
        <v>1364.8</v>
      </c>
      <c r="M293" s="10">
        <f>+'A) Base RI'!K293</f>
        <v>2738.5</v>
      </c>
      <c r="N293" s="10">
        <f>+'A) Base RI'!Q293</f>
        <v>0</v>
      </c>
      <c r="O293" s="10">
        <f t="shared" si="25"/>
        <v>35287.1</v>
      </c>
      <c r="P293" s="10">
        <f>+'A) Base RI'!L293</f>
        <v>35287.1</v>
      </c>
      <c r="Q293" s="402">
        <f>'A) Base RI'!Z293</f>
        <v>1</v>
      </c>
      <c r="R293" s="394">
        <f t="shared" si="26"/>
        <v>577815.28</v>
      </c>
      <c r="S293" s="437">
        <f>+'A) Base RI'!U293</f>
        <v>77</v>
      </c>
      <c r="T293" s="394">
        <f t="shared" si="27"/>
        <v>538399.68000000005</v>
      </c>
      <c r="U293" s="394">
        <f t="shared" si="28"/>
        <v>7504.0945454545454</v>
      </c>
      <c r="V293" s="10">
        <f>+'A) Base RI'!O293</f>
        <v>1676.5</v>
      </c>
      <c r="W293" s="10">
        <f>+'A) Base RI'!P293</f>
        <v>18095.45</v>
      </c>
      <c r="X293" s="10">
        <f>+'A) Base RI'!R293</f>
        <v>28123.95</v>
      </c>
      <c r="Y293" s="394">
        <f t="shared" si="29"/>
        <v>47895.9</v>
      </c>
      <c r="Z293" s="10">
        <f>+'A) Base RI'!N293</f>
        <v>1009.45</v>
      </c>
      <c r="AA293" s="10">
        <f>'A) Base RI'!V293</f>
        <v>245</v>
      </c>
    </row>
    <row r="294" spans="1:27" x14ac:dyDescent="0.25">
      <c r="A294" s="8">
        <f>'A) Base RI'!A294</f>
        <v>5912</v>
      </c>
      <c r="B294" s="32" t="str">
        <f>'A) Base RI'!B294</f>
        <v>Démoret</v>
      </c>
      <c r="C294" s="10">
        <f>'A) Base RI'!C294+'A) Base RI'!D294</f>
        <v>350946.35</v>
      </c>
      <c r="D294" s="10">
        <f>'A) Base RI'!W294</f>
        <v>-2205.6</v>
      </c>
      <c r="E294" s="390">
        <f>'A) Base RI'!X294</f>
        <v>0</v>
      </c>
      <c r="F294" s="390">
        <f>'A) Base RI'!Y294</f>
        <v>0</v>
      </c>
      <c r="G294" s="394">
        <f t="shared" si="24"/>
        <v>348740.75</v>
      </c>
      <c r="H294" s="10">
        <f>+'A) Base RI'!E294</f>
        <v>0</v>
      </c>
      <c r="I294" s="10">
        <f>+'A) Base RI'!F294</f>
        <v>880</v>
      </c>
      <c r="J294" s="10">
        <f>+'A) Base RI'!G294+'A) Base RI'!H294+'A) Base RI'!S294</f>
        <v>4404.79</v>
      </c>
      <c r="K294" s="10">
        <f>+'A) Base RI'!I294</f>
        <v>0</v>
      </c>
      <c r="L294" s="10">
        <f>+'A) Base RI'!J294</f>
        <v>6624.13</v>
      </c>
      <c r="M294" s="10">
        <f>+'A) Base RI'!K294</f>
        <v>0</v>
      </c>
      <c r="N294" s="10">
        <f>+'A) Base RI'!Q294</f>
        <v>0</v>
      </c>
      <c r="O294" s="10">
        <f t="shared" si="25"/>
        <v>21877.3</v>
      </c>
      <c r="P294" s="10">
        <f>+'A) Base RI'!L294</f>
        <v>21877.3</v>
      </c>
      <c r="Q294" s="402">
        <f>'A) Base RI'!Z294</f>
        <v>1</v>
      </c>
      <c r="R294" s="394">
        <f t="shared" si="26"/>
        <v>382526.97</v>
      </c>
      <c r="S294" s="437">
        <f>+'A) Base RI'!U294</f>
        <v>81</v>
      </c>
      <c r="T294" s="394">
        <f t="shared" si="27"/>
        <v>359769.67</v>
      </c>
      <c r="U294" s="394">
        <f t="shared" si="28"/>
        <v>4722.5551851851851</v>
      </c>
      <c r="V294" s="10">
        <f>+'A) Base RI'!O294</f>
        <v>0</v>
      </c>
      <c r="W294" s="10">
        <f>+'A) Base RI'!P294</f>
        <v>20262.2</v>
      </c>
      <c r="X294" s="10">
        <f>+'A) Base RI'!R294</f>
        <v>11314.3</v>
      </c>
      <c r="Y294" s="394">
        <f t="shared" si="29"/>
        <v>31576.5</v>
      </c>
      <c r="Z294" s="10">
        <f>+'A) Base RI'!N294</f>
        <v>3569.75</v>
      </c>
      <c r="AA294" s="10">
        <f>'A) Base RI'!V294</f>
        <v>164</v>
      </c>
    </row>
    <row r="295" spans="1:27" x14ac:dyDescent="0.25">
      <c r="A295" s="8">
        <f>'A) Base RI'!A295</f>
        <v>5913</v>
      </c>
      <c r="B295" s="32" t="str">
        <f>'A) Base RI'!B295</f>
        <v>Donneloye</v>
      </c>
      <c r="C295" s="10">
        <f>'A) Base RI'!C295+'A) Base RI'!D295</f>
        <v>1613197.95</v>
      </c>
      <c r="D295" s="10">
        <f>'A) Base RI'!W295</f>
        <v>-17825.29</v>
      </c>
      <c r="E295" s="390">
        <f>'A) Base RI'!X295</f>
        <v>0</v>
      </c>
      <c r="F295" s="390">
        <f>'A) Base RI'!Y295</f>
        <v>-113.86</v>
      </c>
      <c r="G295" s="394">
        <f t="shared" si="24"/>
        <v>1595258.7999999998</v>
      </c>
      <c r="H295" s="10">
        <f>+'A) Base RI'!E295</f>
        <v>0</v>
      </c>
      <c r="I295" s="10">
        <f>+'A) Base RI'!F295</f>
        <v>0</v>
      </c>
      <c r="J295" s="10">
        <f>+'A) Base RI'!G295+'A) Base RI'!H295+'A) Base RI'!S295</f>
        <v>3891.6299999999997</v>
      </c>
      <c r="K295" s="10">
        <f>+'A) Base RI'!I295</f>
        <v>0</v>
      </c>
      <c r="L295" s="10">
        <f>+'A) Base RI'!J295</f>
        <v>21753.759999999998</v>
      </c>
      <c r="M295" s="10">
        <f>+'A) Base RI'!K295</f>
        <v>1585.35</v>
      </c>
      <c r="N295" s="10">
        <f>+'A) Base RI'!Q295</f>
        <v>0</v>
      </c>
      <c r="O295" s="10">
        <f t="shared" si="25"/>
        <v>121723</v>
      </c>
      <c r="P295" s="10">
        <f>+'A) Base RI'!L295</f>
        <v>121723</v>
      </c>
      <c r="Q295" s="402">
        <f>'A) Base RI'!Z295</f>
        <v>1</v>
      </c>
      <c r="R295" s="394">
        <f t="shared" si="26"/>
        <v>1744212.5399999998</v>
      </c>
      <c r="S295" s="437">
        <f>+'A) Base RI'!U295</f>
        <v>73</v>
      </c>
      <c r="T295" s="394">
        <f t="shared" si="27"/>
        <v>1620904.1899999997</v>
      </c>
      <c r="U295" s="394">
        <f t="shared" si="28"/>
        <v>23893.322465753423</v>
      </c>
      <c r="V295" s="10">
        <f>+'A) Base RI'!O295</f>
        <v>4630.3</v>
      </c>
      <c r="W295" s="10">
        <f>+'A) Base RI'!P295</f>
        <v>91602.5</v>
      </c>
      <c r="X295" s="10">
        <f>+'A) Base RI'!R295</f>
        <v>47018.9</v>
      </c>
      <c r="Y295" s="394">
        <f t="shared" si="29"/>
        <v>143251.70000000001</v>
      </c>
      <c r="Z295" s="10">
        <f>+'A) Base RI'!N295</f>
        <v>29277.45</v>
      </c>
      <c r="AA295" s="10">
        <f>'A) Base RI'!V295</f>
        <v>891</v>
      </c>
    </row>
    <row r="296" spans="1:27" x14ac:dyDescent="0.25">
      <c r="A296" s="8">
        <f>'A) Base RI'!A296</f>
        <v>5914</v>
      </c>
      <c r="B296" s="32" t="str">
        <f>'A) Base RI'!B296</f>
        <v>Ependes</v>
      </c>
      <c r="C296" s="10">
        <f>'A) Base RI'!C296+'A) Base RI'!D296</f>
        <v>625914.66</v>
      </c>
      <c r="D296" s="10">
        <f>'A) Base RI'!W296</f>
        <v>-11855.03</v>
      </c>
      <c r="E296" s="390">
        <f>'A) Base RI'!X296</f>
        <v>0</v>
      </c>
      <c r="F296" s="390">
        <f>'A) Base RI'!Y296</f>
        <v>-3.01</v>
      </c>
      <c r="G296" s="394">
        <f t="shared" si="24"/>
        <v>614056.62</v>
      </c>
      <c r="H296" s="10">
        <f>+'A) Base RI'!E296</f>
        <v>0</v>
      </c>
      <c r="I296" s="10">
        <f>+'A) Base RI'!F296</f>
        <v>2290</v>
      </c>
      <c r="J296" s="10">
        <f>+'A) Base RI'!G296+'A) Base RI'!H296+'A) Base RI'!S296</f>
        <v>23276.700000000004</v>
      </c>
      <c r="K296" s="10">
        <f>+'A) Base RI'!I296</f>
        <v>0</v>
      </c>
      <c r="L296" s="10">
        <f>+'A) Base RI'!J296</f>
        <v>7438.26</v>
      </c>
      <c r="M296" s="10">
        <f>+'A) Base RI'!K296</f>
        <v>8081.45</v>
      </c>
      <c r="N296" s="10">
        <f>+'A) Base RI'!Q296</f>
        <v>2446.0500000000002</v>
      </c>
      <c r="O296" s="10">
        <f t="shared" si="25"/>
        <v>64880.15</v>
      </c>
      <c r="P296" s="10">
        <f>+'A) Base RI'!L296</f>
        <v>64880.15</v>
      </c>
      <c r="Q296" s="402">
        <f>'A) Base RI'!Z296</f>
        <v>1</v>
      </c>
      <c r="R296" s="394">
        <f t="shared" si="26"/>
        <v>722469.23</v>
      </c>
      <c r="S296" s="437">
        <f>+'A) Base RI'!U296</f>
        <v>73.5</v>
      </c>
      <c r="T296" s="394">
        <f t="shared" si="27"/>
        <v>647217.63</v>
      </c>
      <c r="U296" s="394">
        <f t="shared" si="28"/>
        <v>9829.5133333333324</v>
      </c>
      <c r="V296" s="10">
        <f>+'A) Base RI'!O296</f>
        <v>44453.2</v>
      </c>
      <c r="W296" s="10">
        <f>+'A) Base RI'!P296</f>
        <v>42893</v>
      </c>
      <c r="X296" s="10">
        <f>+'A) Base RI'!R296</f>
        <v>33599.1</v>
      </c>
      <c r="Y296" s="394">
        <f t="shared" si="29"/>
        <v>120945.29999999999</v>
      </c>
      <c r="Z296" s="10">
        <f>+'A) Base RI'!N296</f>
        <v>11708.55</v>
      </c>
      <c r="AA296" s="10">
        <f>'A) Base RI'!V296</f>
        <v>381</v>
      </c>
    </row>
    <row r="297" spans="1:27" x14ac:dyDescent="0.25">
      <c r="A297" s="8">
        <f>'A) Base RI'!A297</f>
        <v>5919</v>
      </c>
      <c r="B297" s="32" t="str">
        <f>'A) Base RI'!B297</f>
        <v>Mathod</v>
      </c>
      <c r="C297" s="10">
        <f>'A) Base RI'!C297+'A) Base RI'!D297</f>
        <v>1200523.8499999999</v>
      </c>
      <c r="D297" s="10">
        <f>'A) Base RI'!W297</f>
        <v>-26247.29</v>
      </c>
      <c r="E297" s="390">
        <f>'A) Base RI'!X297</f>
        <v>0</v>
      </c>
      <c r="F297" s="390">
        <f>'A) Base RI'!Y297</f>
        <v>-66.72</v>
      </c>
      <c r="G297" s="394">
        <f t="shared" si="24"/>
        <v>1174209.8399999999</v>
      </c>
      <c r="H297" s="10">
        <f>+'A) Base RI'!E297</f>
        <v>0</v>
      </c>
      <c r="I297" s="10">
        <f>+'A) Base RI'!F297</f>
        <v>3860</v>
      </c>
      <c r="J297" s="10">
        <f>+'A) Base RI'!G297+'A) Base RI'!H297+'A) Base RI'!S297</f>
        <v>15314.76</v>
      </c>
      <c r="K297" s="10">
        <f>+'A) Base RI'!I297</f>
        <v>0</v>
      </c>
      <c r="L297" s="10">
        <f>+'A) Base RI'!J297</f>
        <v>23681.83</v>
      </c>
      <c r="M297" s="10">
        <f>+'A) Base RI'!K297</f>
        <v>9487.2999999999993</v>
      </c>
      <c r="N297" s="10">
        <f>+'A) Base RI'!Q297</f>
        <v>1659.81</v>
      </c>
      <c r="O297" s="10">
        <f t="shared" si="25"/>
        <v>117098.25</v>
      </c>
      <c r="P297" s="10">
        <f>+'A) Base RI'!L297</f>
        <v>140517.9</v>
      </c>
      <c r="Q297" s="402">
        <f>'A) Base RI'!Z297</f>
        <v>1.2</v>
      </c>
      <c r="R297" s="394">
        <f t="shared" si="26"/>
        <v>1345311.79</v>
      </c>
      <c r="S297" s="437">
        <f>+'A) Base RI'!U297</f>
        <v>72</v>
      </c>
      <c r="T297" s="394">
        <f t="shared" si="27"/>
        <v>1214866.24</v>
      </c>
      <c r="U297" s="394">
        <f t="shared" si="28"/>
        <v>18684.885972222222</v>
      </c>
      <c r="V297" s="10">
        <f>+'A) Base RI'!O297</f>
        <v>0</v>
      </c>
      <c r="W297" s="10">
        <f>+'A) Base RI'!P297</f>
        <v>59761.5</v>
      </c>
      <c r="X297" s="10">
        <f>+'A) Base RI'!R297</f>
        <v>29137.5</v>
      </c>
      <c r="Y297" s="394">
        <f t="shared" si="29"/>
        <v>88899</v>
      </c>
      <c r="Z297" s="10">
        <f>+'A) Base RI'!N297</f>
        <v>11130.05</v>
      </c>
      <c r="AA297" s="10">
        <f>'A) Base RI'!V297</f>
        <v>655</v>
      </c>
    </row>
    <row r="298" spans="1:27" x14ac:dyDescent="0.25">
      <c r="A298" s="8">
        <f>'A) Base RI'!A298</f>
        <v>5921</v>
      </c>
      <c r="B298" s="32" t="str">
        <f>'A) Base RI'!B298</f>
        <v>Molondin</v>
      </c>
      <c r="C298" s="10">
        <f>'A) Base RI'!C298+'A) Base RI'!D298</f>
        <v>433827.44</v>
      </c>
      <c r="D298" s="10">
        <f>'A) Base RI'!W298</f>
        <v>-18273.919999999998</v>
      </c>
      <c r="E298" s="390">
        <f>'A) Base RI'!X298</f>
        <v>0</v>
      </c>
      <c r="F298" s="390">
        <f>'A) Base RI'!Y298</f>
        <v>-19.93</v>
      </c>
      <c r="G298" s="394">
        <f t="shared" si="24"/>
        <v>415533.59</v>
      </c>
      <c r="H298" s="10">
        <f>+'A) Base RI'!E298</f>
        <v>0</v>
      </c>
      <c r="I298" s="10">
        <f>+'A) Base RI'!F298</f>
        <v>1420.9</v>
      </c>
      <c r="J298" s="10">
        <f>+'A) Base RI'!G298+'A) Base RI'!H298+'A) Base RI'!S298</f>
        <v>12499.21</v>
      </c>
      <c r="K298" s="10">
        <f>+'A) Base RI'!I298</f>
        <v>0</v>
      </c>
      <c r="L298" s="10">
        <f>+'A) Base RI'!J298</f>
        <v>12004.38</v>
      </c>
      <c r="M298" s="10">
        <f>+'A) Base RI'!K298</f>
        <v>0</v>
      </c>
      <c r="N298" s="10">
        <f>+'A) Base RI'!Q298</f>
        <v>0</v>
      </c>
      <c r="O298" s="10">
        <f t="shared" si="25"/>
        <v>34416.65</v>
      </c>
      <c r="P298" s="10">
        <f>+'A) Base RI'!L298</f>
        <v>34416.65</v>
      </c>
      <c r="Q298" s="402">
        <f>'A) Base RI'!Z298</f>
        <v>1</v>
      </c>
      <c r="R298" s="394">
        <f t="shared" si="26"/>
        <v>475874.7300000001</v>
      </c>
      <c r="S298" s="437">
        <f>+'A) Base RI'!U298</f>
        <v>81</v>
      </c>
      <c r="T298" s="394">
        <f t="shared" si="27"/>
        <v>440037.18000000005</v>
      </c>
      <c r="U298" s="394">
        <f t="shared" si="28"/>
        <v>5874.9966666666678</v>
      </c>
      <c r="V298" s="10">
        <f>+'A) Base RI'!O298</f>
        <v>3618.6</v>
      </c>
      <c r="W298" s="10">
        <f>+'A) Base RI'!P298</f>
        <v>653.25</v>
      </c>
      <c r="X298" s="10">
        <f>+'A) Base RI'!R298</f>
        <v>0</v>
      </c>
      <c r="Y298" s="394">
        <f t="shared" si="29"/>
        <v>4271.8500000000004</v>
      </c>
      <c r="Z298" s="10">
        <f>+'A) Base RI'!N298</f>
        <v>8046.65</v>
      </c>
      <c r="AA298" s="10">
        <f>'A) Base RI'!V298</f>
        <v>239</v>
      </c>
    </row>
    <row r="299" spans="1:27" x14ac:dyDescent="0.25">
      <c r="A299" s="8">
        <f>'A) Base RI'!A299</f>
        <v>5922</v>
      </c>
      <c r="B299" s="32" t="str">
        <f>'A) Base RI'!B299</f>
        <v>Montagny-près-Yverdon</v>
      </c>
      <c r="C299" s="10">
        <f>'A) Base RI'!C299+'A) Base RI'!D299</f>
        <v>1648818.6600000001</v>
      </c>
      <c r="D299" s="10">
        <f>'A) Base RI'!W299</f>
        <v>-29613.51</v>
      </c>
      <c r="E299" s="390">
        <f>'A) Base RI'!X299</f>
        <v>0</v>
      </c>
      <c r="F299" s="390">
        <f>'A) Base RI'!Y299</f>
        <v>-444.96</v>
      </c>
      <c r="G299" s="394">
        <f t="shared" si="24"/>
        <v>1618760.1900000002</v>
      </c>
      <c r="H299" s="10">
        <f>+'A) Base RI'!E299</f>
        <v>0</v>
      </c>
      <c r="I299" s="10">
        <f>+'A) Base RI'!F299</f>
        <v>0</v>
      </c>
      <c r="J299" s="10">
        <f>+'A) Base RI'!G299+'A) Base RI'!H299+'A) Base RI'!S299</f>
        <v>478662.8</v>
      </c>
      <c r="K299" s="10">
        <f>+'A) Base RI'!I299</f>
        <v>0</v>
      </c>
      <c r="L299" s="10">
        <f>+'A) Base RI'!J299</f>
        <v>91122.68</v>
      </c>
      <c r="M299" s="10">
        <f>+'A) Base RI'!K299</f>
        <v>29094.15</v>
      </c>
      <c r="N299" s="10">
        <f>+'A) Base RI'!Q299</f>
        <v>8693.7900000000009</v>
      </c>
      <c r="O299" s="10">
        <f t="shared" si="25"/>
        <v>328770.99999999994</v>
      </c>
      <c r="P299" s="10">
        <f>+'A) Base RI'!L299</f>
        <v>263016.8</v>
      </c>
      <c r="Q299" s="402">
        <f>'A) Base RI'!Z299</f>
        <v>0.8</v>
      </c>
      <c r="R299" s="394">
        <f t="shared" si="26"/>
        <v>2555104.6100000003</v>
      </c>
      <c r="S299" s="437">
        <f>+'A) Base RI'!U299</f>
        <v>64.5</v>
      </c>
      <c r="T299" s="394">
        <f t="shared" si="27"/>
        <v>2197239.4600000004</v>
      </c>
      <c r="U299" s="394">
        <f t="shared" si="28"/>
        <v>39614.024961240313</v>
      </c>
      <c r="V299" s="10">
        <f>+'A) Base RI'!O299</f>
        <v>0</v>
      </c>
      <c r="W299" s="10">
        <f>+'A) Base RI'!P299</f>
        <v>228232.2</v>
      </c>
      <c r="X299" s="10">
        <f>+'A) Base RI'!R299</f>
        <v>100434.2</v>
      </c>
      <c r="Y299" s="394">
        <f t="shared" si="29"/>
        <v>328666.40000000002</v>
      </c>
      <c r="Z299" s="10">
        <f>+'A) Base RI'!N299</f>
        <v>373184.55</v>
      </c>
      <c r="AA299" s="10">
        <f>'A) Base RI'!V299</f>
        <v>775</v>
      </c>
    </row>
    <row r="300" spans="1:27" x14ac:dyDescent="0.25">
      <c r="A300" s="8">
        <f>'A) Base RI'!A300</f>
        <v>5923</v>
      </c>
      <c r="B300" s="32" t="str">
        <f>'A) Base RI'!B300</f>
        <v>Oppens</v>
      </c>
      <c r="C300" s="10">
        <f>'A) Base RI'!C300+'A) Base RI'!D300</f>
        <v>377113.16</v>
      </c>
      <c r="D300" s="10">
        <f>'A) Base RI'!W300</f>
        <v>-5294.37</v>
      </c>
      <c r="E300" s="390">
        <f>'A) Base RI'!X300</f>
        <v>0</v>
      </c>
      <c r="F300" s="390">
        <f>'A) Base RI'!Y300</f>
        <v>-0.17</v>
      </c>
      <c r="G300" s="394">
        <f t="shared" si="24"/>
        <v>371818.62</v>
      </c>
      <c r="H300" s="10">
        <f>+'A) Base RI'!E300</f>
        <v>0</v>
      </c>
      <c r="I300" s="10">
        <f>+'A) Base RI'!F300</f>
        <v>0</v>
      </c>
      <c r="J300" s="10">
        <f>+'A) Base RI'!G300+'A) Base RI'!H300+'A) Base RI'!S300</f>
        <v>-949.50000000000011</v>
      </c>
      <c r="K300" s="10">
        <f>+'A) Base RI'!I300</f>
        <v>0</v>
      </c>
      <c r="L300" s="10">
        <f>+'A) Base RI'!J300</f>
        <v>15044.24</v>
      </c>
      <c r="M300" s="10">
        <f>+'A) Base RI'!K300</f>
        <v>0</v>
      </c>
      <c r="N300" s="10">
        <f>+'A) Base RI'!Q300</f>
        <v>364.95</v>
      </c>
      <c r="O300" s="10">
        <f t="shared" si="25"/>
        <v>26403.4</v>
      </c>
      <c r="P300" s="10">
        <f>+'A) Base RI'!L300</f>
        <v>26403.4</v>
      </c>
      <c r="Q300" s="402">
        <f>'A) Base RI'!Z300</f>
        <v>1</v>
      </c>
      <c r="R300" s="394">
        <f t="shared" si="26"/>
        <v>412681.71</v>
      </c>
      <c r="S300" s="437">
        <f>+'A) Base RI'!U300</f>
        <v>81</v>
      </c>
      <c r="T300" s="394">
        <f t="shared" si="27"/>
        <v>386278.31</v>
      </c>
      <c r="U300" s="394">
        <f t="shared" si="28"/>
        <v>5094.8359259259259</v>
      </c>
      <c r="V300" s="10">
        <f>+'A) Base RI'!O300</f>
        <v>0</v>
      </c>
      <c r="W300" s="10">
        <f>+'A) Base RI'!P300</f>
        <v>34066.9</v>
      </c>
      <c r="X300" s="10">
        <f>+'A) Base RI'!R300</f>
        <v>27999.75</v>
      </c>
      <c r="Y300" s="394">
        <f t="shared" si="29"/>
        <v>62066.65</v>
      </c>
      <c r="Z300" s="10">
        <f>+'A) Base RI'!N300</f>
        <v>12323.55</v>
      </c>
      <c r="AA300" s="10">
        <f>'A) Base RI'!V300</f>
        <v>201</v>
      </c>
    </row>
    <row r="301" spans="1:27" x14ac:dyDescent="0.25">
      <c r="A301" s="8">
        <f>'A) Base RI'!A301</f>
        <v>5924</v>
      </c>
      <c r="B301" s="32" t="str">
        <f>'A) Base RI'!B301</f>
        <v>Orges</v>
      </c>
      <c r="C301" s="10">
        <f>'A) Base RI'!C301+'A) Base RI'!D301</f>
        <v>877776.53</v>
      </c>
      <c r="D301" s="10">
        <f>'A) Base RI'!W301</f>
        <v>-1776.21</v>
      </c>
      <c r="E301" s="390">
        <f>'A) Base RI'!X301</f>
        <v>0</v>
      </c>
      <c r="F301" s="390">
        <f>'A) Base RI'!Y301</f>
        <v>-881.5</v>
      </c>
      <c r="G301" s="394">
        <f t="shared" si="24"/>
        <v>875118.82000000007</v>
      </c>
      <c r="H301" s="10">
        <f>+'A) Base RI'!E301</f>
        <v>0</v>
      </c>
      <c r="I301" s="10">
        <f>+'A) Base RI'!F301</f>
        <v>0</v>
      </c>
      <c r="J301" s="10">
        <f>+'A) Base RI'!G301+'A) Base RI'!H301+'A) Base RI'!S301</f>
        <v>21430.179999999997</v>
      </c>
      <c r="K301" s="10">
        <f>+'A) Base RI'!I301</f>
        <v>0</v>
      </c>
      <c r="L301" s="10">
        <f>+'A) Base RI'!J301</f>
        <v>15442.3</v>
      </c>
      <c r="M301" s="10">
        <f>+'A) Base RI'!K301</f>
        <v>-179</v>
      </c>
      <c r="N301" s="10">
        <f>+'A) Base RI'!Q301</f>
        <v>5.52</v>
      </c>
      <c r="O301" s="10">
        <f t="shared" si="25"/>
        <v>58334.75</v>
      </c>
      <c r="P301" s="10">
        <f>+'A) Base RI'!L301</f>
        <v>58334.75</v>
      </c>
      <c r="Q301" s="402">
        <f>'A) Base RI'!Z301</f>
        <v>1</v>
      </c>
      <c r="R301" s="394">
        <f t="shared" si="26"/>
        <v>970152.57000000018</v>
      </c>
      <c r="S301" s="437">
        <f>+'A) Base RI'!U301</f>
        <v>74</v>
      </c>
      <c r="T301" s="394">
        <f t="shared" si="27"/>
        <v>911996.82000000018</v>
      </c>
      <c r="U301" s="394">
        <f t="shared" si="28"/>
        <v>13110.169864864867</v>
      </c>
      <c r="V301" s="10">
        <f>+'A) Base RI'!O301</f>
        <v>0</v>
      </c>
      <c r="W301" s="10">
        <f>+'A) Base RI'!P301</f>
        <v>50312.55</v>
      </c>
      <c r="X301" s="10">
        <f>+'A) Base RI'!R301</f>
        <v>31744.55</v>
      </c>
      <c r="Y301" s="394">
        <f t="shared" si="29"/>
        <v>82057.100000000006</v>
      </c>
      <c r="Z301" s="10">
        <f>+'A) Base RI'!N301</f>
        <v>18896.3</v>
      </c>
      <c r="AA301" s="10">
        <f>'A) Base RI'!V301</f>
        <v>367</v>
      </c>
    </row>
    <row r="302" spans="1:27" x14ac:dyDescent="0.25">
      <c r="A302" s="8">
        <f>'A) Base RI'!A302</f>
        <v>5925</v>
      </c>
      <c r="B302" s="32" t="str">
        <f>'A) Base RI'!B302</f>
        <v>Orzens</v>
      </c>
      <c r="C302" s="10">
        <f>'A) Base RI'!C302+'A) Base RI'!D302</f>
        <v>377194.33999999997</v>
      </c>
      <c r="D302" s="10">
        <f>'A) Base RI'!W302</f>
        <v>-12375.55</v>
      </c>
      <c r="E302" s="390">
        <f>'A) Base RI'!X302</f>
        <v>0</v>
      </c>
      <c r="F302" s="390">
        <f>'A) Base RI'!Y302</f>
        <v>-245.38</v>
      </c>
      <c r="G302" s="394">
        <f t="shared" si="24"/>
        <v>364573.41</v>
      </c>
      <c r="H302" s="10">
        <f>+'A) Base RI'!E302</f>
        <v>0</v>
      </c>
      <c r="I302" s="10">
        <f>+'A) Base RI'!F302</f>
        <v>1240</v>
      </c>
      <c r="J302" s="10">
        <f>+'A) Base RI'!G302+'A) Base RI'!H302+'A) Base RI'!S302</f>
        <v>5006.45</v>
      </c>
      <c r="K302" s="10">
        <f>+'A) Base RI'!I302</f>
        <v>0</v>
      </c>
      <c r="L302" s="10">
        <f>+'A) Base RI'!J302</f>
        <v>10860.24</v>
      </c>
      <c r="M302" s="10">
        <f>+'A) Base RI'!K302</f>
        <v>0</v>
      </c>
      <c r="N302" s="10">
        <f>+'A) Base RI'!Q302</f>
        <v>257.86</v>
      </c>
      <c r="O302" s="10">
        <f t="shared" si="25"/>
        <v>31278.400000000001</v>
      </c>
      <c r="P302" s="10">
        <f>+'A) Base RI'!L302</f>
        <v>31278.400000000001</v>
      </c>
      <c r="Q302" s="402">
        <f>'A) Base RI'!Z302</f>
        <v>1</v>
      </c>
      <c r="R302" s="394">
        <f t="shared" si="26"/>
        <v>413216.36</v>
      </c>
      <c r="S302" s="437">
        <f>+'A) Base RI'!U302</f>
        <v>79</v>
      </c>
      <c r="T302" s="394">
        <f t="shared" si="27"/>
        <v>380697.95999999996</v>
      </c>
      <c r="U302" s="394">
        <f t="shared" si="28"/>
        <v>5230.5868354430377</v>
      </c>
      <c r="V302" s="10">
        <f>+'A) Base RI'!O302</f>
        <v>112955.2</v>
      </c>
      <c r="W302" s="10">
        <f>+'A) Base RI'!P302</f>
        <v>10837.5</v>
      </c>
      <c r="X302" s="10">
        <f>+'A) Base RI'!R302</f>
        <v>13223.4</v>
      </c>
      <c r="Y302" s="394">
        <f t="shared" si="29"/>
        <v>137016.1</v>
      </c>
      <c r="Z302" s="10">
        <f>+'A) Base RI'!N302</f>
        <v>514.25</v>
      </c>
      <c r="AA302" s="10">
        <f>'A) Base RI'!V302</f>
        <v>202</v>
      </c>
    </row>
    <row r="303" spans="1:27" x14ac:dyDescent="0.25">
      <c r="A303" s="8">
        <f>'A) Base RI'!A303</f>
        <v>5926</v>
      </c>
      <c r="B303" s="32" t="str">
        <f>'A) Base RI'!B303</f>
        <v>Pomy</v>
      </c>
      <c r="C303" s="10">
        <f>'A) Base RI'!C303+'A) Base RI'!D303</f>
        <v>1887479.4300000002</v>
      </c>
      <c r="D303" s="10">
        <f>'A) Base RI'!W303</f>
        <v>-81744.06</v>
      </c>
      <c r="E303" s="390">
        <f>'A) Base RI'!X303</f>
        <v>0</v>
      </c>
      <c r="F303" s="390">
        <f>'A) Base RI'!Y303</f>
        <v>-194.64</v>
      </c>
      <c r="G303" s="394">
        <f t="shared" si="24"/>
        <v>1805540.7300000002</v>
      </c>
      <c r="H303" s="10">
        <f>+'A) Base RI'!E303</f>
        <v>0</v>
      </c>
      <c r="I303" s="10">
        <f>+'A) Base RI'!F303</f>
        <v>0</v>
      </c>
      <c r="J303" s="10">
        <f>+'A) Base RI'!G303+'A) Base RI'!H303+'A) Base RI'!S303</f>
        <v>22151.97</v>
      </c>
      <c r="K303" s="10">
        <f>+'A) Base RI'!I303</f>
        <v>0</v>
      </c>
      <c r="L303" s="10">
        <f>+'A) Base RI'!J303</f>
        <v>19080.93</v>
      </c>
      <c r="M303" s="10">
        <f>+'A) Base RI'!K303</f>
        <v>0</v>
      </c>
      <c r="N303" s="10">
        <f>+'A) Base RI'!Q303</f>
        <v>118.75</v>
      </c>
      <c r="O303" s="10">
        <f t="shared" si="25"/>
        <v>132240</v>
      </c>
      <c r="P303" s="10">
        <f>+'A) Base RI'!L303</f>
        <v>132240</v>
      </c>
      <c r="Q303" s="402">
        <f>'A) Base RI'!Z303</f>
        <v>1</v>
      </c>
      <c r="R303" s="394">
        <f t="shared" si="26"/>
        <v>1979132.3800000001</v>
      </c>
      <c r="S303" s="437">
        <f>+'A) Base RI'!U303</f>
        <v>71</v>
      </c>
      <c r="T303" s="394">
        <f t="shared" si="27"/>
        <v>1846892.3800000001</v>
      </c>
      <c r="U303" s="394">
        <f t="shared" si="28"/>
        <v>27875.103943661972</v>
      </c>
      <c r="V303" s="10">
        <f>+'A) Base RI'!O303</f>
        <v>2683.8</v>
      </c>
      <c r="W303" s="10">
        <f>+'A) Base RI'!P303</f>
        <v>139129.54999999999</v>
      </c>
      <c r="X303" s="10">
        <f>+'A) Base RI'!R303</f>
        <v>52958</v>
      </c>
      <c r="Y303" s="394">
        <f t="shared" si="29"/>
        <v>194771.34999999998</v>
      </c>
      <c r="Z303" s="10">
        <f>+'A) Base RI'!N303</f>
        <v>30239.599999999999</v>
      </c>
      <c r="AA303" s="10">
        <f>'A) Base RI'!V303</f>
        <v>838</v>
      </c>
    </row>
    <row r="304" spans="1:27" x14ac:dyDescent="0.25">
      <c r="A304" s="8">
        <f>'A) Base RI'!A304</f>
        <v>5928</v>
      </c>
      <c r="B304" s="32" t="str">
        <f>'A) Base RI'!B304</f>
        <v>Rovray</v>
      </c>
      <c r="C304" s="10">
        <f>'A) Base RI'!C304+'A) Base RI'!D304</f>
        <v>384904.47</v>
      </c>
      <c r="D304" s="10">
        <f>'A) Base RI'!W304</f>
        <v>-9588.84</v>
      </c>
      <c r="E304" s="390">
        <f>'A) Base RI'!X304</f>
        <v>0</v>
      </c>
      <c r="F304" s="390">
        <f>'A) Base RI'!Y304</f>
        <v>0</v>
      </c>
      <c r="G304" s="394">
        <f t="shared" si="24"/>
        <v>375315.62999999995</v>
      </c>
      <c r="H304" s="10">
        <f>+'A) Base RI'!E304</f>
        <v>0</v>
      </c>
      <c r="I304" s="10">
        <f>+'A) Base RI'!F304</f>
        <v>0</v>
      </c>
      <c r="J304" s="10">
        <f>+'A) Base RI'!G304+'A) Base RI'!H304+'A) Base RI'!S304</f>
        <v>342.11</v>
      </c>
      <c r="K304" s="10">
        <f>+'A) Base RI'!I304</f>
        <v>0</v>
      </c>
      <c r="L304" s="10">
        <f>+'A) Base RI'!J304</f>
        <v>-8779.6</v>
      </c>
      <c r="M304" s="10">
        <f>+'A) Base RI'!K304</f>
        <v>0</v>
      </c>
      <c r="N304" s="10">
        <f>+'A) Base RI'!Q304</f>
        <v>0</v>
      </c>
      <c r="O304" s="10">
        <f t="shared" si="25"/>
        <v>23473.3</v>
      </c>
      <c r="P304" s="10">
        <f>+'A) Base RI'!L304</f>
        <v>23473.3</v>
      </c>
      <c r="Q304" s="402">
        <f>'A) Base RI'!Z304</f>
        <v>1</v>
      </c>
      <c r="R304" s="394">
        <f t="shared" si="26"/>
        <v>390351.43999999994</v>
      </c>
      <c r="S304" s="437">
        <f>+'A) Base RI'!U304</f>
        <v>71.5</v>
      </c>
      <c r="T304" s="394">
        <f t="shared" si="27"/>
        <v>366878.13999999996</v>
      </c>
      <c r="U304" s="394">
        <f t="shared" si="28"/>
        <v>5459.4606993006983</v>
      </c>
      <c r="V304" s="10">
        <f>+'A) Base RI'!O304</f>
        <v>790.2</v>
      </c>
      <c r="W304" s="10">
        <f>+'A) Base RI'!P304</f>
        <v>451.35</v>
      </c>
      <c r="X304" s="10">
        <f>+'A) Base RI'!R304</f>
        <v>18200</v>
      </c>
      <c r="Y304" s="394">
        <f t="shared" si="29"/>
        <v>19441.55</v>
      </c>
      <c r="Z304" s="10">
        <f>+'A) Base RI'!N304</f>
        <v>10979.85</v>
      </c>
      <c r="AA304" s="10">
        <f>'A) Base RI'!V304</f>
        <v>206</v>
      </c>
    </row>
    <row r="305" spans="1:27" x14ac:dyDescent="0.25">
      <c r="A305" s="8">
        <f>'A) Base RI'!A305</f>
        <v>5929</v>
      </c>
      <c r="B305" s="32" t="str">
        <f>'A) Base RI'!B305</f>
        <v>Suchy</v>
      </c>
      <c r="C305" s="10">
        <f>'A) Base RI'!C305+'A) Base RI'!D305</f>
        <v>1216951.27</v>
      </c>
      <c r="D305" s="10">
        <f>'A) Base RI'!W305</f>
        <v>-12531.13</v>
      </c>
      <c r="E305" s="390">
        <f>'A) Base RI'!X305</f>
        <v>0</v>
      </c>
      <c r="F305" s="390">
        <f>'A) Base RI'!Y305</f>
        <v>-29</v>
      </c>
      <c r="G305" s="394">
        <f t="shared" si="24"/>
        <v>1204391.1400000001</v>
      </c>
      <c r="H305" s="10">
        <f>+'A) Base RI'!E305</f>
        <v>0</v>
      </c>
      <c r="I305" s="10">
        <f>+'A) Base RI'!F305</f>
        <v>0</v>
      </c>
      <c r="J305" s="10">
        <f>+'A) Base RI'!G305+'A) Base RI'!H305+'A) Base RI'!S305</f>
        <v>53387.82</v>
      </c>
      <c r="K305" s="10">
        <f>+'A) Base RI'!I305</f>
        <v>41100.15</v>
      </c>
      <c r="L305" s="10">
        <f>+'A) Base RI'!J305</f>
        <v>3702.39</v>
      </c>
      <c r="M305" s="10">
        <f>+'A) Base RI'!K305</f>
        <v>0</v>
      </c>
      <c r="N305" s="10">
        <f>+'A) Base RI'!Q305</f>
        <v>0</v>
      </c>
      <c r="O305" s="10">
        <f t="shared" si="25"/>
        <v>116107.68749999999</v>
      </c>
      <c r="P305" s="10">
        <f>+'A) Base RI'!L305</f>
        <v>92886.15</v>
      </c>
      <c r="Q305" s="402">
        <f>'A) Base RI'!Z305</f>
        <v>0.8</v>
      </c>
      <c r="R305" s="394">
        <f t="shared" si="26"/>
        <v>1418689.1875</v>
      </c>
      <c r="S305" s="437">
        <f>+'A) Base RI'!U305</f>
        <v>70</v>
      </c>
      <c r="T305" s="394">
        <f t="shared" si="27"/>
        <v>1302581.5</v>
      </c>
      <c r="U305" s="394">
        <f t="shared" si="28"/>
        <v>20266.988392857143</v>
      </c>
      <c r="V305" s="10">
        <f>+'A) Base RI'!O305</f>
        <v>0</v>
      </c>
      <c r="W305" s="10">
        <f>+'A) Base RI'!P305</f>
        <v>81326.3</v>
      </c>
      <c r="X305" s="10">
        <f>+'A) Base RI'!R305</f>
        <v>62114.8</v>
      </c>
      <c r="Y305" s="394">
        <f t="shared" si="29"/>
        <v>143441.1</v>
      </c>
      <c r="Z305" s="10">
        <f>+'A) Base RI'!N305</f>
        <v>6048.3</v>
      </c>
      <c r="AA305" s="10">
        <f>'A) Base RI'!V305</f>
        <v>656</v>
      </c>
    </row>
    <row r="306" spans="1:27" x14ac:dyDescent="0.25">
      <c r="A306" s="8">
        <f>'A) Base RI'!A306</f>
        <v>5930</v>
      </c>
      <c r="B306" s="32" t="str">
        <f>'A) Base RI'!B306</f>
        <v>Suscévaz</v>
      </c>
      <c r="C306" s="10">
        <f>'A) Base RI'!C306+'A) Base RI'!D306</f>
        <v>450847.18</v>
      </c>
      <c r="D306" s="10">
        <f>'A) Base RI'!W306</f>
        <v>-9284.16</v>
      </c>
      <c r="E306" s="390">
        <f>'A) Base RI'!X306</f>
        <v>0</v>
      </c>
      <c r="F306" s="390">
        <f>'A) Base RI'!Y306</f>
        <v>0</v>
      </c>
      <c r="G306" s="394">
        <f t="shared" si="24"/>
        <v>441563.02</v>
      </c>
      <c r="H306" s="10">
        <f>+'A) Base RI'!E306</f>
        <v>0</v>
      </c>
      <c r="I306" s="10">
        <f>+'A) Base RI'!F306</f>
        <v>1170</v>
      </c>
      <c r="J306" s="10">
        <f>+'A) Base RI'!G306+'A) Base RI'!H306+'A) Base RI'!S306</f>
        <v>1535.86</v>
      </c>
      <c r="K306" s="10">
        <f>+'A) Base RI'!I306</f>
        <v>0</v>
      </c>
      <c r="L306" s="10">
        <f>+'A) Base RI'!J306</f>
        <v>4628.62</v>
      </c>
      <c r="M306" s="10">
        <f>+'A) Base RI'!K306</f>
        <v>228.6</v>
      </c>
      <c r="N306" s="10">
        <f>+'A) Base RI'!Q306</f>
        <v>0</v>
      </c>
      <c r="O306" s="10">
        <f t="shared" si="25"/>
        <v>30524.5</v>
      </c>
      <c r="P306" s="10">
        <f>+'A) Base RI'!L306</f>
        <v>30524.5</v>
      </c>
      <c r="Q306" s="402">
        <f>'A) Base RI'!Z306</f>
        <v>1</v>
      </c>
      <c r="R306" s="394">
        <f t="shared" si="26"/>
        <v>479650.6</v>
      </c>
      <c r="S306" s="437">
        <f>+'A) Base RI'!U306</f>
        <v>72</v>
      </c>
      <c r="T306" s="394">
        <f t="shared" si="27"/>
        <v>447727.5</v>
      </c>
      <c r="U306" s="394">
        <f t="shared" si="28"/>
        <v>6661.8138888888889</v>
      </c>
      <c r="V306" s="10">
        <f>+'A) Base RI'!O306</f>
        <v>0</v>
      </c>
      <c r="W306" s="10">
        <f>+'A) Base RI'!P306</f>
        <v>55040</v>
      </c>
      <c r="X306" s="10">
        <f>+'A) Base RI'!R306</f>
        <v>24801.8</v>
      </c>
      <c r="Y306" s="394">
        <f t="shared" si="29"/>
        <v>79841.8</v>
      </c>
      <c r="Z306" s="10">
        <f>+'A) Base RI'!N306</f>
        <v>0</v>
      </c>
      <c r="AA306" s="10">
        <f>'A) Base RI'!V306</f>
        <v>215</v>
      </c>
    </row>
    <row r="307" spans="1:27" x14ac:dyDescent="0.25">
      <c r="A307" s="8">
        <f>'A) Base RI'!A307</f>
        <v>5931</v>
      </c>
      <c r="B307" s="32" t="str">
        <f>'A) Base RI'!B307</f>
        <v>Treycovagnes</v>
      </c>
      <c r="C307" s="10">
        <f>'A) Base RI'!C307+'A) Base RI'!D307</f>
        <v>1021412.2100000001</v>
      </c>
      <c r="D307" s="10">
        <f>'A) Base RI'!W307</f>
        <v>-4568.16</v>
      </c>
      <c r="E307" s="390">
        <f>'A) Base RI'!X307</f>
        <v>0</v>
      </c>
      <c r="F307" s="390">
        <f>'A) Base RI'!Y307</f>
        <v>-41.03</v>
      </c>
      <c r="G307" s="394">
        <f t="shared" si="24"/>
        <v>1016803.02</v>
      </c>
      <c r="H307" s="10">
        <f>+'A) Base RI'!E307</f>
        <v>0</v>
      </c>
      <c r="I307" s="10">
        <f>+'A) Base RI'!F307</f>
        <v>0</v>
      </c>
      <c r="J307" s="10">
        <f>+'A) Base RI'!G307+'A) Base RI'!H307+'A) Base RI'!S307</f>
        <v>36998.880000000005</v>
      </c>
      <c r="K307" s="10">
        <f>+'A) Base RI'!I307</f>
        <v>0</v>
      </c>
      <c r="L307" s="10">
        <f>+'A) Base RI'!J307</f>
        <v>10376.91</v>
      </c>
      <c r="M307" s="10">
        <f>+'A) Base RI'!K307</f>
        <v>781.4</v>
      </c>
      <c r="N307" s="10">
        <f>+'A) Base RI'!Q307</f>
        <v>0</v>
      </c>
      <c r="O307" s="10">
        <f t="shared" si="25"/>
        <v>80371.8</v>
      </c>
      <c r="P307" s="10">
        <f>+'A) Base RI'!L307</f>
        <v>80371.8</v>
      </c>
      <c r="Q307" s="402">
        <f>'A) Base RI'!Z307</f>
        <v>1</v>
      </c>
      <c r="R307" s="394">
        <f t="shared" si="26"/>
        <v>1145332.0099999998</v>
      </c>
      <c r="S307" s="437">
        <f>+'A) Base RI'!U307</f>
        <v>75</v>
      </c>
      <c r="T307" s="394">
        <f t="shared" si="27"/>
        <v>1064178.8099999998</v>
      </c>
      <c r="U307" s="394">
        <f t="shared" si="28"/>
        <v>15271.093466666664</v>
      </c>
      <c r="V307" s="10">
        <f>+'A) Base RI'!O307</f>
        <v>0</v>
      </c>
      <c r="W307" s="10">
        <f>+'A) Base RI'!P307</f>
        <v>98909.35</v>
      </c>
      <c r="X307" s="10">
        <f>+'A) Base RI'!R307</f>
        <v>56168.800000000003</v>
      </c>
      <c r="Y307" s="394">
        <f t="shared" si="29"/>
        <v>155078.15000000002</v>
      </c>
      <c r="Z307" s="10">
        <f>+'A) Base RI'!N307</f>
        <v>12375.15</v>
      </c>
      <c r="AA307" s="10">
        <f>'A) Base RI'!V307</f>
        <v>490</v>
      </c>
    </row>
    <row r="308" spans="1:27" x14ac:dyDescent="0.25">
      <c r="A308" s="8">
        <f>'A) Base RI'!A308</f>
        <v>5932</v>
      </c>
      <c r="B308" s="32" t="str">
        <f>'A) Base RI'!B308</f>
        <v>Ursins</v>
      </c>
      <c r="C308" s="10">
        <f>'A) Base RI'!C308+'A) Base RI'!D308</f>
        <v>509146.61000000004</v>
      </c>
      <c r="D308" s="10">
        <f>'A) Base RI'!W308</f>
        <v>-18154.11</v>
      </c>
      <c r="E308" s="390">
        <f>'A) Base RI'!X308</f>
        <v>0</v>
      </c>
      <c r="F308" s="390">
        <f>'A) Base RI'!Y308</f>
        <v>0</v>
      </c>
      <c r="G308" s="394">
        <f t="shared" si="24"/>
        <v>490992.50000000006</v>
      </c>
      <c r="H308" s="10">
        <f>+'A) Base RI'!E308</f>
        <v>0</v>
      </c>
      <c r="I308" s="10">
        <f>+'A) Base RI'!F308</f>
        <v>1410</v>
      </c>
      <c r="J308" s="10">
        <f>+'A) Base RI'!G308+'A) Base RI'!H308+'A) Base RI'!S308</f>
        <v>707.98</v>
      </c>
      <c r="K308" s="10">
        <f>+'A) Base RI'!I308</f>
        <v>46204.7</v>
      </c>
      <c r="L308" s="10">
        <f>+'A) Base RI'!J308</f>
        <v>1744.92</v>
      </c>
      <c r="M308" s="10">
        <f>+'A) Base RI'!K308</f>
        <v>819.5</v>
      </c>
      <c r="N308" s="10">
        <f>+'A) Base RI'!Q308</f>
        <v>2970.43</v>
      </c>
      <c r="O308" s="10">
        <f t="shared" si="25"/>
        <v>32899.300000000003</v>
      </c>
      <c r="P308" s="10">
        <f>+'A) Base RI'!L308</f>
        <v>32899.300000000003</v>
      </c>
      <c r="Q308" s="402">
        <f>'A) Base RI'!Z308</f>
        <v>1</v>
      </c>
      <c r="R308" s="394">
        <f t="shared" si="26"/>
        <v>577749.33000000019</v>
      </c>
      <c r="S308" s="437">
        <f>+'A) Base RI'!U308</f>
        <v>75</v>
      </c>
      <c r="T308" s="394">
        <f t="shared" si="27"/>
        <v>542620.53000000014</v>
      </c>
      <c r="U308" s="394">
        <f t="shared" si="28"/>
        <v>7703.3244000000022</v>
      </c>
      <c r="V308" s="10">
        <f>+'A) Base RI'!O308</f>
        <v>0</v>
      </c>
      <c r="W308" s="10">
        <f>+'A) Base RI'!P308</f>
        <v>9848.7000000000007</v>
      </c>
      <c r="X308" s="10">
        <f>+'A) Base RI'!R308</f>
        <v>0</v>
      </c>
      <c r="Y308" s="394">
        <f t="shared" si="29"/>
        <v>9848.7000000000007</v>
      </c>
      <c r="Z308" s="10">
        <f>+'A) Base RI'!N308</f>
        <v>0</v>
      </c>
      <c r="AA308" s="10">
        <f>'A) Base RI'!V308</f>
        <v>228</v>
      </c>
    </row>
    <row r="309" spans="1:27" x14ac:dyDescent="0.25">
      <c r="A309" s="8">
        <f>'A) Base RI'!A309</f>
        <v>5933</v>
      </c>
      <c r="B309" s="32" t="str">
        <f>'A) Base RI'!B309</f>
        <v>Valeyres-sous-Montagny</v>
      </c>
      <c r="C309" s="10">
        <f>'A) Base RI'!C309+'A) Base RI'!D309</f>
        <v>1267894.45</v>
      </c>
      <c r="D309" s="10">
        <f>'A) Base RI'!W309</f>
        <v>-29548.06</v>
      </c>
      <c r="E309" s="390">
        <f>'A) Base RI'!X309</f>
        <v>-14260.6</v>
      </c>
      <c r="F309" s="390">
        <f>'A) Base RI'!Y309</f>
        <v>-2642.79</v>
      </c>
      <c r="G309" s="394">
        <f t="shared" si="24"/>
        <v>1221442.9999999998</v>
      </c>
      <c r="H309" s="10">
        <f>+'A) Base RI'!E309</f>
        <v>0</v>
      </c>
      <c r="I309" s="10">
        <f>+'A) Base RI'!F309</f>
        <v>0</v>
      </c>
      <c r="J309" s="10">
        <f>+'A) Base RI'!G309+'A) Base RI'!H309+'A) Base RI'!S309</f>
        <v>14120.17</v>
      </c>
      <c r="K309" s="10">
        <f>+'A) Base RI'!I309</f>
        <v>0</v>
      </c>
      <c r="L309" s="10">
        <f>+'A) Base RI'!J309</f>
        <v>17395.04</v>
      </c>
      <c r="M309" s="10">
        <f>+'A) Base RI'!K309</f>
        <v>4918.05</v>
      </c>
      <c r="N309" s="10">
        <f>+'A) Base RI'!Q309</f>
        <v>2884.24</v>
      </c>
      <c r="O309" s="10">
        <f t="shared" si="25"/>
        <v>121538.15</v>
      </c>
      <c r="P309" s="10">
        <f>+'A) Base RI'!L309</f>
        <v>121538.15</v>
      </c>
      <c r="Q309" s="402">
        <f>'A) Base RI'!Z309</f>
        <v>1</v>
      </c>
      <c r="R309" s="394">
        <f t="shared" si="26"/>
        <v>1382298.6499999997</v>
      </c>
      <c r="S309" s="437">
        <f>+'A) Base RI'!U309</f>
        <v>70.5</v>
      </c>
      <c r="T309" s="394">
        <f t="shared" si="27"/>
        <v>1255842.4499999997</v>
      </c>
      <c r="U309" s="394">
        <f t="shared" si="28"/>
        <v>19607.073049645387</v>
      </c>
      <c r="V309" s="10">
        <f>+'A) Base RI'!O309</f>
        <v>0</v>
      </c>
      <c r="W309" s="10">
        <f>+'A) Base RI'!P309</f>
        <v>75840</v>
      </c>
      <c r="X309" s="10">
        <f>+'A) Base RI'!R309</f>
        <v>56608.65</v>
      </c>
      <c r="Y309" s="394">
        <f t="shared" si="29"/>
        <v>132448.65</v>
      </c>
      <c r="Z309" s="10">
        <f>+'A) Base RI'!N309</f>
        <v>17443.900000000001</v>
      </c>
      <c r="AA309" s="10">
        <f>'A) Base RI'!V309</f>
        <v>697</v>
      </c>
    </row>
    <row r="310" spans="1:27" x14ac:dyDescent="0.25">
      <c r="A310" s="8">
        <f>'A) Base RI'!A310</f>
        <v>5934</v>
      </c>
      <c r="B310" s="32" t="str">
        <f>'A) Base RI'!B310</f>
        <v>Valeyres-sous-Ursins</v>
      </c>
      <c r="C310" s="10">
        <f>'A) Base RI'!C310+'A) Base RI'!D310</f>
        <v>495592.52</v>
      </c>
      <c r="D310" s="10">
        <f>'A) Base RI'!W310</f>
        <v>-4191.24</v>
      </c>
      <c r="E310" s="390">
        <f>'A) Base RI'!X310</f>
        <v>0</v>
      </c>
      <c r="F310" s="390">
        <f>'A) Base RI'!Y310</f>
        <v>0</v>
      </c>
      <c r="G310" s="394">
        <f t="shared" si="24"/>
        <v>491401.28</v>
      </c>
      <c r="H310" s="10">
        <f>+'A) Base RI'!E310</f>
        <v>0</v>
      </c>
      <c r="I310" s="10">
        <f>+'A) Base RI'!F310</f>
        <v>1490</v>
      </c>
      <c r="J310" s="10">
        <f>+'A) Base RI'!G310+'A) Base RI'!H310+'A) Base RI'!S310</f>
        <v>178.12</v>
      </c>
      <c r="K310" s="10">
        <f>+'A) Base RI'!I310</f>
        <v>0</v>
      </c>
      <c r="L310" s="10">
        <f>+'A) Base RI'!J310</f>
        <v>18715.39</v>
      </c>
      <c r="M310" s="10">
        <f>+'A) Base RI'!K310</f>
        <v>34.700000000000003</v>
      </c>
      <c r="N310" s="10">
        <f>+'A) Base RI'!Q310</f>
        <v>0</v>
      </c>
      <c r="O310" s="10">
        <f t="shared" si="25"/>
        <v>28588.35</v>
      </c>
      <c r="P310" s="10">
        <f>+'A) Base RI'!L310</f>
        <v>28588.35</v>
      </c>
      <c r="Q310" s="402">
        <f>'A) Base RI'!Z310</f>
        <v>1</v>
      </c>
      <c r="R310" s="394">
        <f t="shared" si="26"/>
        <v>540407.84000000008</v>
      </c>
      <c r="S310" s="437">
        <f>+'A) Base RI'!U310</f>
        <v>77</v>
      </c>
      <c r="T310" s="394">
        <f t="shared" si="27"/>
        <v>510294.79000000004</v>
      </c>
      <c r="U310" s="394">
        <f t="shared" si="28"/>
        <v>7018.283636363637</v>
      </c>
      <c r="V310" s="10">
        <f>+'A) Base RI'!O310</f>
        <v>0</v>
      </c>
      <c r="W310" s="10">
        <f>+'A) Base RI'!P310</f>
        <v>622</v>
      </c>
      <c r="X310" s="10">
        <f>+'A) Base RI'!R310</f>
        <v>1589.6</v>
      </c>
      <c r="Y310" s="394">
        <f t="shared" si="29"/>
        <v>2211.6</v>
      </c>
      <c r="Z310" s="10">
        <f>+'A) Base RI'!N310</f>
        <v>16396.150000000001</v>
      </c>
      <c r="AA310" s="10">
        <f>'A) Base RI'!V310</f>
        <v>247</v>
      </c>
    </row>
    <row r="311" spans="1:27" x14ac:dyDescent="0.25">
      <c r="A311" s="8">
        <f>'A) Base RI'!A311</f>
        <v>5935</v>
      </c>
      <c r="B311" s="32" t="str">
        <f>'A) Base RI'!B311</f>
        <v>Villars-Epeney</v>
      </c>
      <c r="C311" s="10">
        <f>'A) Base RI'!C311+'A) Base RI'!D311</f>
        <v>183660.87</v>
      </c>
      <c r="D311" s="10">
        <f>'A) Base RI'!W311</f>
        <v>-24.25</v>
      </c>
      <c r="E311" s="390">
        <f>'A) Base RI'!X311</f>
        <v>0</v>
      </c>
      <c r="F311" s="390">
        <f>'A) Base RI'!Y311</f>
        <v>-255.68</v>
      </c>
      <c r="G311" s="394">
        <f t="shared" si="24"/>
        <v>183380.94</v>
      </c>
      <c r="H311" s="10">
        <f>+'A) Base RI'!E311</f>
        <v>0</v>
      </c>
      <c r="I311" s="10">
        <f>+'A) Base RI'!F311</f>
        <v>0</v>
      </c>
      <c r="J311" s="10">
        <f>+'A) Base RI'!G311+'A) Base RI'!H311+'A) Base RI'!S311</f>
        <v>486.27</v>
      </c>
      <c r="K311" s="10">
        <f>+'A) Base RI'!I311</f>
        <v>0</v>
      </c>
      <c r="L311" s="10">
        <f>+'A) Base RI'!J311</f>
        <v>2477.0700000000002</v>
      </c>
      <c r="M311" s="10">
        <f>+'A) Base RI'!K311</f>
        <v>0</v>
      </c>
      <c r="N311" s="10">
        <f>+'A) Base RI'!Q311</f>
        <v>0</v>
      </c>
      <c r="O311" s="10">
        <f t="shared" si="25"/>
        <v>20549.55</v>
      </c>
      <c r="P311" s="10">
        <f>+'A) Base RI'!L311</f>
        <v>20549.55</v>
      </c>
      <c r="Q311" s="402">
        <f>'A) Base RI'!Z311</f>
        <v>1</v>
      </c>
      <c r="R311" s="394">
        <f t="shared" si="26"/>
        <v>206893.83</v>
      </c>
      <c r="S311" s="437">
        <f>+'A) Base RI'!U311</f>
        <v>60</v>
      </c>
      <c r="T311" s="394">
        <f t="shared" si="27"/>
        <v>186344.28</v>
      </c>
      <c r="U311" s="394">
        <f t="shared" si="28"/>
        <v>3448.2304999999997</v>
      </c>
      <c r="V311" s="10">
        <f>+'A) Base RI'!O311</f>
        <v>0</v>
      </c>
      <c r="W311" s="10">
        <f>+'A) Base RI'!P311</f>
        <v>10120</v>
      </c>
      <c r="X311" s="10">
        <f>+'A) Base RI'!R311</f>
        <v>0</v>
      </c>
      <c r="Y311" s="394">
        <f t="shared" si="29"/>
        <v>10120</v>
      </c>
      <c r="Z311" s="10">
        <f>+'A) Base RI'!N311</f>
        <v>0</v>
      </c>
      <c r="AA311" s="10">
        <f>'A) Base RI'!V311</f>
        <v>95</v>
      </c>
    </row>
    <row r="312" spans="1:27" x14ac:dyDescent="0.25">
      <c r="A312" s="8">
        <f>'A) Base RI'!A312</f>
        <v>5937</v>
      </c>
      <c r="B312" s="32" t="str">
        <f>'A) Base RI'!B312</f>
        <v>Vugelles-La Mothe</v>
      </c>
      <c r="C312" s="10">
        <f>'A) Base RI'!C312+'A) Base RI'!D312</f>
        <v>236342.65000000002</v>
      </c>
      <c r="D312" s="10">
        <f>'A) Base RI'!W312</f>
        <v>-22710.7</v>
      </c>
      <c r="E312" s="390">
        <f>'A) Base RI'!X312</f>
        <v>0</v>
      </c>
      <c r="F312" s="390">
        <f>'A) Base RI'!Y312</f>
        <v>-27.91</v>
      </c>
      <c r="G312" s="394">
        <f t="shared" si="24"/>
        <v>213604.04</v>
      </c>
      <c r="H312" s="10">
        <f>+'A) Base RI'!E312</f>
        <v>0</v>
      </c>
      <c r="I312" s="10">
        <f>+'A) Base RI'!F312</f>
        <v>0</v>
      </c>
      <c r="J312" s="10">
        <f>+'A) Base RI'!G312+'A) Base RI'!H312+'A) Base RI'!S312</f>
        <v>6351.49</v>
      </c>
      <c r="K312" s="10">
        <f>+'A) Base RI'!I312</f>
        <v>0</v>
      </c>
      <c r="L312" s="10">
        <f>+'A) Base RI'!J312</f>
        <v>4311.78</v>
      </c>
      <c r="M312" s="10">
        <f>+'A) Base RI'!K312</f>
        <v>0</v>
      </c>
      <c r="N312" s="10">
        <f>+'A) Base RI'!Q312</f>
        <v>1938.72</v>
      </c>
      <c r="O312" s="10">
        <f t="shared" si="25"/>
        <v>16812.17142857143</v>
      </c>
      <c r="P312" s="10">
        <f>+'A) Base RI'!L312</f>
        <v>11768.52</v>
      </c>
      <c r="Q312" s="402">
        <f>'A) Base RI'!Z312</f>
        <v>0.7</v>
      </c>
      <c r="R312" s="394">
        <f t="shared" si="26"/>
        <v>243018.20142857142</v>
      </c>
      <c r="S312" s="437">
        <f>+'A) Base RI'!U312</f>
        <v>70</v>
      </c>
      <c r="T312" s="394">
        <f t="shared" si="27"/>
        <v>226206.03</v>
      </c>
      <c r="U312" s="394">
        <f t="shared" si="28"/>
        <v>3471.6885918367348</v>
      </c>
      <c r="V312" s="10">
        <f>+'A) Base RI'!O312</f>
        <v>0</v>
      </c>
      <c r="W312" s="10">
        <f>+'A) Base RI'!P312</f>
        <v>10230</v>
      </c>
      <c r="X312" s="10">
        <f>+'A) Base RI'!R312</f>
        <v>0</v>
      </c>
      <c r="Y312" s="394">
        <f t="shared" si="29"/>
        <v>10230</v>
      </c>
      <c r="Z312" s="10">
        <f>+'A) Base RI'!N312</f>
        <v>0</v>
      </c>
      <c r="AA312" s="10">
        <f>'A) Base RI'!V312</f>
        <v>140</v>
      </c>
    </row>
    <row r="313" spans="1:27" x14ac:dyDescent="0.25">
      <c r="A313" s="8">
        <f>'A) Base RI'!A313</f>
        <v>5938</v>
      </c>
      <c r="B313" s="32" t="str">
        <f>'A) Base RI'!B313</f>
        <v>Yverdon-les-Bains</v>
      </c>
      <c r="C313" s="10">
        <f>'A) Base RI'!C313+'A) Base RI'!D313</f>
        <v>47405843.18</v>
      </c>
      <c r="D313" s="10">
        <f>'A) Base RI'!W313</f>
        <v>-1612544.18</v>
      </c>
      <c r="E313" s="390">
        <f>'A) Base RI'!X313</f>
        <v>0</v>
      </c>
      <c r="F313" s="390">
        <f>'A) Base RI'!Y313</f>
        <v>-21296.37</v>
      </c>
      <c r="G313" s="394">
        <f t="shared" si="24"/>
        <v>45772002.630000003</v>
      </c>
      <c r="H313" s="10">
        <f>+'A) Base RI'!E313</f>
        <v>0</v>
      </c>
      <c r="I313" s="10">
        <f>+'A) Base RI'!F313</f>
        <v>0</v>
      </c>
      <c r="J313" s="10">
        <f>+'A) Base RI'!G313+'A) Base RI'!H313+'A) Base RI'!S313</f>
        <v>4288553.78</v>
      </c>
      <c r="K313" s="10">
        <f>+'A) Base RI'!I313</f>
        <v>-73350.05</v>
      </c>
      <c r="L313" s="10">
        <f>+'A) Base RI'!J313</f>
        <v>1527061.42</v>
      </c>
      <c r="M313" s="10">
        <f>+'A) Base RI'!K313</f>
        <v>700264</v>
      </c>
      <c r="N313" s="10">
        <f>+'A) Base RI'!Q313</f>
        <v>592665.73</v>
      </c>
      <c r="O313" s="10">
        <f t="shared" si="25"/>
        <v>4400574.8499999996</v>
      </c>
      <c r="P313" s="10">
        <f>+'A) Base RI'!L313</f>
        <v>4400574.8499999996</v>
      </c>
      <c r="Q313" s="402">
        <f>'A) Base RI'!Z313</f>
        <v>1</v>
      </c>
      <c r="R313" s="394">
        <f t="shared" si="26"/>
        <v>57207772.360000007</v>
      </c>
      <c r="S313" s="437">
        <f>+'A) Base RI'!U313</f>
        <v>75</v>
      </c>
      <c r="T313" s="394">
        <f t="shared" si="27"/>
        <v>52106933.510000005</v>
      </c>
      <c r="U313" s="394">
        <f t="shared" si="28"/>
        <v>762770.29813333345</v>
      </c>
      <c r="V313" s="10">
        <f>+'A) Base RI'!O313</f>
        <v>1382582.8</v>
      </c>
      <c r="W313" s="10">
        <f>+'A) Base RI'!P313</f>
        <v>2434885.0499999998</v>
      </c>
      <c r="X313" s="10">
        <f>+'A) Base RI'!R313</f>
        <v>2456221.9500000002</v>
      </c>
      <c r="Y313" s="394">
        <f t="shared" si="29"/>
        <v>6273689.7999999998</v>
      </c>
      <c r="Z313" s="10">
        <f>+'A) Base RI'!N313</f>
        <v>4824763.5999999996</v>
      </c>
      <c r="AA313" s="10">
        <f>'A) Base RI'!V313</f>
        <v>29710</v>
      </c>
    </row>
    <row r="314" spans="1:27" x14ac:dyDescent="0.25">
      <c r="A314" s="8">
        <f>'A) Base RI'!A314</f>
        <v>5939</v>
      </c>
      <c r="B314" s="32" t="str">
        <f>'A) Base RI'!B314</f>
        <v>Yvonand</v>
      </c>
      <c r="C314" s="10">
        <f>'A) Base RI'!C314+'A) Base RI'!D314</f>
        <v>6672297.5200000005</v>
      </c>
      <c r="D314" s="10">
        <f>'A) Base RI'!W314</f>
        <v>-149908.45000000001</v>
      </c>
      <c r="E314" s="390">
        <f>'A) Base RI'!X314</f>
        <v>0</v>
      </c>
      <c r="F314" s="390">
        <f>'A) Base RI'!Y314</f>
        <v>-499.18</v>
      </c>
      <c r="G314" s="394">
        <f t="shared" si="24"/>
        <v>6521889.8900000006</v>
      </c>
      <c r="H314" s="10">
        <f>+'A) Base RI'!E314</f>
        <v>0</v>
      </c>
      <c r="I314" s="10">
        <f>+'A) Base RI'!F314</f>
        <v>0</v>
      </c>
      <c r="J314" s="10">
        <f>+'A) Base RI'!G314+'A) Base RI'!H314+'A) Base RI'!S314</f>
        <v>271576.33999999997</v>
      </c>
      <c r="K314" s="10">
        <f>+'A) Base RI'!I314</f>
        <v>0</v>
      </c>
      <c r="L314" s="10">
        <f>+'A) Base RI'!J314</f>
        <v>73635.88</v>
      </c>
      <c r="M314" s="10">
        <f>+'A) Base RI'!K314</f>
        <v>53811.65</v>
      </c>
      <c r="N314" s="10">
        <f>+'A) Base RI'!Q314</f>
        <v>21836.2</v>
      </c>
      <c r="O314" s="10">
        <f t="shared" si="25"/>
        <v>588836.15</v>
      </c>
      <c r="P314" s="10">
        <f>+'A) Base RI'!L314</f>
        <v>588836.15</v>
      </c>
      <c r="Q314" s="402">
        <f>'A) Base RI'!Z314</f>
        <v>1</v>
      </c>
      <c r="R314" s="394">
        <f t="shared" si="26"/>
        <v>7531586.1100000013</v>
      </c>
      <c r="S314" s="437">
        <f>+'A) Base RI'!U314</f>
        <v>71.5</v>
      </c>
      <c r="T314" s="394">
        <f t="shared" si="27"/>
        <v>6888938.3100000005</v>
      </c>
      <c r="U314" s="394">
        <f t="shared" si="28"/>
        <v>105336.86867132869</v>
      </c>
      <c r="V314" s="10">
        <f>+'A) Base RI'!O314</f>
        <v>282357.2</v>
      </c>
      <c r="W314" s="10">
        <f>+'A) Base RI'!P314</f>
        <v>177512.65</v>
      </c>
      <c r="X314" s="10">
        <f>+'A) Base RI'!R314</f>
        <v>146553.65</v>
      </c>
      <c r="Y314" s="394">
        <f t="shared" si="29"/>
        <v>606423.5</v>
      </c>
      <c r="Z314" s="10">
        <f>+'A) Base RI'!N314</f>
        <v>167773.55</v>
      </c>
      <c r="AA314" s="10">
        <f>'A) Base RI'!V314</f>
        <v>3512</v>
      </c>
    </row>
    <row r="315" spans="1:27" x14ac:dyDescent="0.25">
      <c r="A315" s="7"/>
      <c r="B315" s="24">
        <f>COUNTA(B7:B314)</f>
        <v>308</v>
      </c>
      <c r="C315" s="11">
        <f t="shared" ref="C315:P315" si="30">SUM(C7:C314)</f>
        <v>2060428935.4600008</v>
      </c>
      <c r="D315" s="11">
        <f t="shared" si="30"/>
        <v>-33010313.959999979</v>
      </c>
      <c r="E315" s="11">
        <f t="shared" si="30"/>
        <v>-23155.95</v>
      </c>
      <c r="F315" s="11">
        <f t="shared" si="30"/>
        <v>-5414014.9799999995</v>
      </c>
      <c r="G315" s="38">
        <f t="shared" si="30"/>
        <v>2021981450.5699997</v>
      </c>
      <c r="H315" s="11">
        <f t="shared" si="30"/>
        <v>0</v>
      </c>
      <c r="I315" s="98">
        <f t="shared" si="30"/>
        <v>105139.35</v>
      </c>
      <c r="J315" s="11">
        <f t="shared" si="30"/>
        <v>351560159.82000011</v>
      </c>
      <c r="K315" s="11">
        <f t="shared" si="30"/>
        <v>40618993.310000017</v>
      </c>
      <c r="L315" s="11">
        <f t="shared" si="30"/>
        <v>64886069.479999989</v>
      </c>
      <c r="M315" s="11">
        <f t="shared" si="30"/>
        <v>20497665.900000002</v>
      </c>
      <c r="N315" s="11">
        <f t="shared" si="30"/>
        <v>8990129.9899999984</v>
      </c>
      <c r="O315" s="11">
        <f t="shared" si="30"/>
        <v>186392708.44177091</v>
      </c>
      <c r="P315" s="11">
        <f t="shared" si="30"/>
        <v>223454205.30000007</v>
      </c>
      <c r="Q315" s="35"/>
      <c r="R315" s="38">
        <f>SUM(R7:R314)</f>
        <v>2695032316.8617716</v>
      </c>
      <c r="S315" s="19">
        <f>R315/U315</f>
        <v>67.550159546250498</v>
      </c>
      <c r="T315" s="38">
        <f t="shared" ref="T315:Z315" si="31">SUM(T7:T314)</f>
        <v>2488036803.1700006</v>
      </c>
      <c r="U315" s="38">
        <f t="shared" si="31"/>
        <v>39896757.238841556</v>
      </c>
      <c r="V315" s="11">
        <f t="shared" si="31"/>
        <v>105593921.53000003</v>
      </c>
      <c r="W315" s="11">
        <f t="shared" si="31"/>
        <v>122697377.90000005</v>
      </c>
      <c r="X315" s="11">
        <f t="shared" si="31"/>
        <v>94654101.150000006</v>
      </c>
      <c r="Y315" s="38">
        <f t="shared" si="31"/>
        <v>322945400.58000004</v>
      </c>
      <c r="Z315" s="11">
        <f t="shared" si="31"/>
        <v>82182598.849999994</v>
      </c>
      <c r="AA315" s="11">
        <f>SUM(AA7:AA314)</f>
        <v>823881</v>
      </c>
    </row>
    <row r="316" spans="1:27" x14ac:dyDescent="0.25">
      <c r="C316" s="6"/>
      <c r="E316" s="6"/>
      <c r="G316" s="6"/>
      <c r="I316" s="6"/>
      <c r="J316" s="6"/>
      <c r="K316" s="6"/>
      <c r="L316" s="6"/>
      <c r="M316" s="6"/>
      <c r="N316" s="6"/>
      <c r="O316" s="6"/>
      <c r="P316" s="6"/>
      <c r="Q316" s="6"/>
      <c r="R316" s="6"/>
      <c r="S316" s="362"/>
      <c r="T316" s="6"/>
      <c r="U316" s="6"/>
      <c r="V316" s="6"/>
      <c r="W316" s="6"/>
      <c r="X316" s="6"/>
      <c r="Y316" s="6"/>
      <c r="Z316" s="6"/>
    </row>
    <row r="317" spans="1:27" x14ac:dyDescent="0.25">
      <c r="C317" s="6"/>
      <c r="I317" s="6"/>
      <c r="J317" s="6"/>
      <c r="K317" s="6"/>
      <c r="L317" s="6"/>
      <c r="M317" s="6"/>
      <c r="N317" s="6"/>
      <c r="R317" s="6"/>
      <c r="T317" s="6"/>
      <c r="U317" s="6"/>
      <c r="V317" s="6"/>
      <c r="W317" s="6"/>
      <c r="X317" s="6"/>
      <c r="Y317" s="6"/>
      <c r="Z317" s="354"/>
    </row>
    <row r="318" spans="1:27" x14ac:dyDescent="0.25">
      <c r="C318" s="6"/>
      <c r="J318" s="6"/>
      <c r="R318" s="6"/>
      <c r="T318" s="6"/>
    </row>
    <row r="319" spans="1:27" x14ac:dyDescent="0.25">
      <c r="C319" s="6"/>
      <c r="G319" s="6"/>
      <c r="J319" s="36"/>
      <c r="R319" s="6"/>
      <c r="T319" s="6"/>
    </row>
    <row r="320" spans="1:27" x14ac:dyDescent="0.25">
      <c r="G320" s="6"/>
      <c r="R320" s="6"/>
    </row>
    <row r="321" spans="1:18" x14ac:dyDescent="0.25">
      <c r="G321" s="6"/>
      <c r="R321" s="6"/>
    </row>
    <row r="322" spans="1:18" x14ac:dyDescent="0.25">
      <c r="G322" s="6"/>
      <c r="R322" s="36"/>
    </row>
    <row r="323" spans="1:18" x14ac:dyDescent="0.25">
      <c r="G323" s="36"/>
      <c r="R323" s="411"/>
    </row>
    <row r="324" spans="1:18" s="6" customFormat="1" x14ac:dyDescent="0.25">
      <c r="A324" s="5"/>
      <c r="R324" s="413"/>
    </row>
    <row r="325" spans="1:18" x14ac:dyDescent="0.25">
      <c r="R325" s="6"/>
    </row>
  </sheetData>
  <mergeCells count="27">
    <mergeCell ref="Q4:Q6"/>
    <mergeCell ref="O4:O6"/>
    <mergeCell ref="V4:V5"/>
    <mergeCell ref="U4:U5"/>
    <mergeCell ref="Z4:Z5"/>
    <mergeCell ref="X4:X5"/>
    <mergeCell ref="P4:P5"/>
    <mergeCell ref="R4:R6"/>
    <mergeCell ref="AA4:AA5"/>
    <mergeCell ref="S4:S5"/>
    <mergeCell ref="W4:W5"/>
    <mergeCell ref="Y4:Y6"/>
    <mergeCell ref="T4:T6"/>
    <mergeCell ref="A4:A6"/>
    <mergeCell ref="B4:B6"/>
    <mergeCell ref="N4:N6"/>
    <mergeCell ref="C4:C5"/>
    <mergeCell ref="H4:H5"/>
    <mergeCell ref="I4:I5"/>
    <mergeCell ref="J4:J5"/>
    <mergeCell ref="G4:G5"/>
    <mergeCell ref="K4:K5"/>
    <mergeCell ref="L4:L5"/>
    <mergeCell ref="M4:M5"/>
    <mergeCell ref="D4:D6"/>
    <mergeCell ref="E4:E6"/>
    <mergeCell ref="F4:F6"/>
  </mergeCells>
  <phoneticPr fontId="0" type="noConversion"/>
  <pageMargins left="0" right="0" top="0" bottom="0" header="0.51181102362204722" footer="0.51181102362204722"/>
  <pageSetup paperSize="8" scale="70" orientation="landscape" horizontalDpi="4294967292" verticalDpi="4294967292"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Feuil6">
    <tabColor rgb="FF00B050"/>
  </sheetPr>
  <dimension ref="A1:J332"/>
  <sheetViews>
    <sheetView workbookViewId="0">
      <selection activeCell="G19" sqref="G19"/>
    </sheetView>
  </sheetViews>
  <sheetFormatPr baseColWidth="10" defaultColWidth="11" defaultRowHeight="15" x14ac:dyDescent="0.25"/>
  <cols>
    <col min="1" max="1" width="7.25" style="13" customWidth="1"/>
    <col min="2" max="2" width="17.375" style="13" bestFit="1" customWidth="1"/>
    <col min="3" max="3" width="18" style="6" customWidth="1"/>
    <col min="4" max="4" width="9.875" style="6" bestFit="1" customWidth="1"/>
    <col min="5" max="5" width="10.75" style="6" bestFit="1" customWidth="1"/>
    <col min="6" max="6" width="11.25" style="6" bestFit="1" customWidth="1"/>
    <col min="7" max="7" width="13" style="28" bestFit="1" customWidth="1"/>
    <col min="8" max="8" width="12.25" style="6" bestFit="1" customWidth="1"/>
    <col min="9" max="9" width="11" style="13"/>
    <col min="10" max="10" width="14.625" style="13" bestFit="1" customWidth="1"/>
    <col min="11" max="16384" width="11" style="13"/>
  </cols>
  <sheetData>
    <row r="1" spans="1:10" ht="21" x14ac:dyDescent="0.25">
      <c r="A1" s="51" t="s">
        <v>421</v>
      </c>
      <c r="B1" s="42"/>
      <c r="C1" s="44"/>
      <c r="D1" s="44"/>
      <c r="E1" s="44"/>
      <c r="F1" s="44"/>
      <c r="G1" s="52"/>
      <c r="H1" s="44"/>
    </row>
    <row r="2" spans="1:10" s="400" customFormat="1" ht="21" x14ac:dyDescent="0.25">
      <c r="A2" s="200" t="str">
        <f>Paramètres!B5</f>
        <v>décompte provisoire 2021</v>
      </c>
      <c r="B2" s="42"/>
      <c r="C2" s="44"/>
      <c r="D2" s="44"/>
      <c r="E2" s="44"/>
      <c r="F2" s="44"/>
      <c r="G2" s="52"/>
      <c r="H2" s="44"/>
    </row>
    <row r="4" spans="1:10" ht="60" x14ac:dyDescent="0.25">
      <c r="A4" s="581" t="s">
        <v>46</v>
      </c>
      <c r="B4" s="581" t="s">
        <v>94</v>
      </c>
      <c r="C4" s="287" t="s">
        <v>410</v>
      </c>
      <c r="D4" s="287" t="s">
        <v>190</v>
      </c>
      <c r="E4" s="578" t="s">
        <v>136</v>
      </c>
      <c r="F4" s="578" t="s">
        <v>359</v>
      </c>
      <c r="G4" s="585" t="s">
        <v>282</v>
      </c>
      <c r="H4" s="578" t="s">
        <v>407</v>
      </c>
      <c r="I4" s="578" t="s">
        <v>517</v>
      </c>
    </row>
    <row r="5" spans="1:10" x14ac:dyDescent="0.25">
      <c r="A5" s="583"/>
      <c r="B5" s="583"/>
      <c r="C5" s="422">
        <f>Paramètres!B11</f>
        <v>0.5</v>
      </c>
      <c r="D5" s="399">
        <f>Paramètres!B12</f>
        <v>0.3</v>
      </c>
      <c r="E5" s="580"/>
      <c r="F5" s="580"/>
      <c r="G5" s="586"/>
      <c r="H5" s="579"/>
      <c r="I5" s="579"/>
    </row>
    <row r="6" spans="1:10" x14ac:dyDescent="0.25">
      <c r="A6" s="49">
        <f>'A) Base RI'!A7</f>
        <v>5401</v>
      </c>
      <c r="B6" s="491" t="str">
        <f>'A) Base RI'!B7</f>
        <v>Aigle</v>
      </c>
      <c r="C6" s="54">
        <f>'B) D RI'!Y7</f>
        <v>2198110.25</v>
      </c>
      <c r="D6" s="14">
        <f>'B) D RI'!Z7</f>
        <v>1208164.8999999999</v>
      </c>
      <c r="E6" s="10">
        <f>C6+D6</f>
        <v>3406275.15</v>
      </c>
      <c r="F6" s="14">
        <f>'B) D RI'!U7</f>
        <v>280991.46517676767</v>
      </c>
      <c r="G6" s="263">
        <f>E6/F6</f>
        <v>12.122343815165921</v>
      </c>
      <c r="H6" s="55">
        <f>(C6*$C$5)+(D6*$D$5)</f>
        <v>1461504.595</v>
      </c>
      <c r="I6" s="402">
        <f>H6/F6</f>
        <v>5.201241945482538</v>
      </c>
      <c r="J6" s="397"/>
    </row>
    <row r="7" spans="1:10" x14ac:dyDescent="0.25">
      <c r="A7" s="49">
        <f>'A) Base RI'!A8</f>
        <v>5402</v>
      </c>
      <c r="B7" s="492" t="str">
        <f>'A) Base RI'!B8</f>
        <v>Bex</v>
      </c>
      <c r="C7" s="10">
        <f>'B) D RI'!Y8</f>
        <v>1585982.05</v>
      </c>
      <c r="D7" s="432">
        <f>'B) D RI'!Z8</f>
        <v>360746.15</v>
      </c>
      <c r="E7" s="10">
        <f t="shared" ref="E7:E69" si="0">C7+D7</f>
        <v>1946728.2000000002</v>
      </c>
      <c r="F7" s="432">
        <f>'B) D RI'!U8</f>
        <v>192706.98084507044</v>
      </c>
      <c r="G7" s="263">
        <f t="shared" ref="G7:G69" si="1">E7/F7</f>
        <v>10.102011828855854</v>
      </c>
      <c r="H7" s="55">
        <f t="shared" ref="H7:H69" si="2">(C7*$C$5)+(D7*$D$5)</f>
        <v>901214.87</v>
      </c>
      <c r="I7" s="402">
        <f t="shared" ref="I7:I69" si="3">H7/F7</f>
        <v>4.6766072824551417</v>
      </c>
    </row>
    <row r="8" spans="1:10" x14ac:dyDescent="0.25">
      <c r="A8" s="49">
        <f>'A) Base RI'!A9</f>
        <v>5403</v>
      </c>
      <c r="B8" s="492" t="str">
        <f>'A) Base RI'!B9</f>
        <v>Chessel</v>
      </c>
      <c r="C8" s="10">
        <f>'B) D RI'!Y9</f>
        <v>77839.199999999997</v>
      </c>
      <c r="D8" s="432">
        <f>'B) D RI'!Z9</f>
        <v>5448.25</v>
      </c>
      <c r="E8" s="10">
        <f t="shared" si="0"/>
        <v>83287.45</v>
      </c>
      <c r="F8" s="432">
        <f>'B) D RI'!U9</f>
        <v>12090.332702702703</v>
      </c>
      <c r="G8" s="263">
        <f t="shared" si="1"/>
        <v>6.8887641099720698</v>
      </c>
      <c r="H8" s="55">
        <f t="shared" si="2"/>
        <v>40554.074999999997</v>
      </c>
      <c r="I8" s="402">
        <f t="shared" si="3"/>
        <v>3.3542563300126917</v>
      </c>
    </row>
    <row r="9" spans="1:10" x14ac:dyDescent="0.25">
      <c r="A9" s="49">
        <f>'A) Base RI'!A10</f>
        <v>5404</v>
      </c>
      <c r="B9" s="492" t="str">
        <f>'A) Base RI'!B10</f>
        <v>Corbeyrier</v>
      </c>
      <c r="C9" s="10">
        <f>'B) D RI'!Y10</f>
        <v>97072.25</v>
      </c>
      <c r="D9" s="432">
        <f>'B) D RI'!Z10</f>
        <v>20708.849999999999</v>
      </c>
      <c r="E9" s="10">
        <f t="shared" si="0"/>
        <v>117781.1</v>
      </c>
      <c r="F9" s="432">
        <f>'B) D RI'!U10</f>
        <v>11581.118783783784</v>
      </c>
      <c r="G9" s="263">
        <f t="shared" si="1"/>
        <v>10.170096879147851</v>
      </c>
      <c r="H9" s="55">
        <f t="shared" si="2"/>
        <v>54748.78</v>
      </c>
      <c r="I9" s="402">
        <f t="shared" si="3"/>
        <v>4.727417188455127</v>
      </c>
    </row>
    <row r="10" spans="1:10" x14ac:dyDescent="0.25">
      <c r="A10" s="49">
        <f>'A) Base RI'!A11</f>
        <v>5405</v>
      </c>
      <c r="B10" s="492" t="str">
        <f>'A) Base RI'!B11</f>
        <v>Gryon</v>
      </c>
      <c r="C10" s="10">
        <f>'B) D RI'!Y11</f>
        <v>1453263.7</v>
      </c>
      <c r="D10" s="432">
        <f>'B) D RI'!Z11</f>
        <v>4448.5</v>
      </c>
      <c r="E10" s="10">
        <f t="shared" si="0"/>
        <v>1457712.2</v>
      </c>
      <c r="F10" s="432">
        <f>'B) D RI'!U11</f>
        <v>78111.135102040818</v>
      </c>
      <c r="G10" s="263">
        <f t="shared" si="1"/>
        <v>18.662028123080166</v>
      </c>
      <c r="H10" s="55">
        <f t="shared" si="2"/>
        <v>727966.4</v>
      </c>
      <c r="I10" s="402">
        <f t="shared" si="3"/>
        <v>9.3196238801166817</v>
      </c>
    </row>
    <row r="11" spans="1:10" x14ac:dyDescent="0.25">
      <c r="A11" s="49">
        <f>'A) Base RI'!A12</f>
        <v>5406</v>
      </c>
      <c r="B11" s="492" t="str">
        <f>'A) Base RI'!B12</f>
        <v>Lavey-Morcles</v>
      </c>
      <c r="C11" s="10">
        <f>'B) D RI'!Y12</f>
        <v>99996.05</v>
      </c>
      <c r="D11" s="432">
        <f>'B) D RI'!Z12</f>
        <v>1948.95</v>
      </c>
      <c r="E11" s="10">
        <f t="shared" si="0"/>
        <v>101945</v>
      </c>
      <c r="F11" s="432">
        <f>'B) D RI'!U12</f>
        <v>21513.822183969878</v>
      </c>
      <c r="G11" s="263">
        <f t="shared" si="1"/>
        <v>4.7385815095171715</v>
      </c>
      <c r="H11" s="55">
        <f t="shared" si="2"/>
        <v>50582.71</v>
      </c>
      <c r="I11" s="402">
        <f t="shared" si="3"/>
        <v>2.3511726353158009</v>
      </c>
    </row>
    <row r="12" spans="1:10" x14ac:dyDescent="0.25">
      <c r="A12" s="49">
        <f>'A) Base RI'!A13</f>
        <v>5407</v>
      </c>
      <c r="B12" s="492" t="str">
        <f>'A) Base RI'!B13</f>
        <v>Leysin</v>
      </c>
      <c r="C12" s="10">
        <f>'B) D RI'!Y13</f>
        <v>1102503.3999999999</v>
      </c>
      <c r="D12" s="432">
        <f>'B) D RI'!Z13</f>
        <v>85323.25</v>
      </c>
      <c r="E12" s="10">
        <f t="shared" si="0"/>
        <v>1187826.6499999999</v>
      </c>
      <c r="F12" s="432">
        <f>'B) D RI'!U13</f>
        <v>90687.443803418792</v>
      </c>
      <c r="G12" s="263">
        <f t="shared" si="1"/>
        <v>13.098027689200569</v>
      </c>
      <c r="H12" s="55">
        <f t="shared" si="2"/>
        <v>576848.67499999993</v>
      </c>
      <c r="I12" s="402">
        <f t="shared" si="3"/>
        <v>6.3608439140750548</v>
      </c>
    </row>
    <row r="13" spans="1:10" x14ac:dyDescent="0.25">
      <c r="A13" s="49">
        <f>'A) Base RI'!A14</f>
        <v>5408</v>
      </c>
      <c r="B13" s="492" t="str">
        <f>'A) Base RI'!B14</f>
        <v>Noville</v>
      </c>
      <c r="C13" s="10">
        <f>'B) D RI'!Y14</f>
        <v>444682.05</v>
      </c>
      <c r="D13" s="432">
        <f>'B) D RI'!Z14</f>
        <v>139810.25</v>
      </c>
      <c r="E13" s="10">
        <f t="shared" si="0"/>
        <v>584492.30000000005</v>
      </c>
      <c r="F13" s="432">
        <f>'B) D RI'!U14</f>
        <v>41389.442632696395</v>
      </c>
      <c r="G13" s="263">
        <f t="shared" si="1"/>
        <v>14.121772674905968</v>
      </c>
      <c r="H13" s="55">
        <f t="shared" si="2"/>
        <v>264284.09999999998</v>
      </c>
      <c r="I13" s="402">
        <f t="shared" si="3"/>
        <v>6.3853022217608606</v>
      </c>
    </row>
    <row r="14" spans="1:10" x14ac:dyDescent="0.25">
      <c r="A14" s="49">
        <f>'A) Base RI'!A15</f>
        <v>5409</v>
      </c>
      <c r="B14" s="492" t="str">
        <f>'A) Base RI'!B15</f>
        <v>Ollon</v>
      </c>
      <c r="C14" s="10">
        <f>'B) D RI'!Y15</f>
        <v>7815865.5</v>
      </c>
      <c r="D14" s="432">
        <f>'B) D RI'!Z15</f>
        <v>83657.55</v>
      </c>
      <c r="E14" s="10">
        <f t="shared" si="0"/>
        <v>7899523.0499999998</v>
      </c>
      <c r="F14" s="432">
        <f>'B) D RI'!U15</f>
        <v>428262.96074660635</v>
      </c>
      <c r="G14" s="263">
        <f t="shared" si="1"/>
        <v>18.445496748606217</v>
      </c>
      <c r="H14" s="55">
        <f t="shared" si="2"/>
        <v>3933030.0150000001</v>
      </c>
      <c r="I14" s="402">
        <f t="shared" si="3"/>
        <v>9.1836800645645518</v>
      </c>
    </row>
    <row r="15" spans="1:10" x14ac:dyDescent="0.25">
      <c r="A15" s="49">
        <f>'A) Base RI'!A16</f>
        <v>5410</v>
      </c>
      <c r="B15" s="492" t="str">
        <f>'A) Base RI'!B16</f>
        <v>Ormont-Dessous</v>
      </c>
      <c r="C15" s="10">
        <f>'B) D RI'!Y16</f>
        <v>650302.15</v>
      </c>
      <c r="D15" s="432">
        <f>'B) D RI'!Z16</f>
        <v>13127.75</v>
      </c>
      <c r="E15" s="10">
        <f t="shared" si="0"/>
        <v>663429.9</v>
      </c>
      <c r="F15" s="432">
        <f>'B) D RI'!U16</f>
        <v>38607.205194805196</v>
      </c>
      <c r="G15" s="263">
        <f t="shared" si="1"/>
        <v>17.184095472657212</v>
      </c>
      <c r="H15" s="55">
        <f t="shared" si="2"/>
        <v>329089.40000000002</v>
      </c>
      <c r="I15" s="402">
        <f t="shared" si="3"/>
        <v>8.5240410006233951</v>
      </c>
    </row>
    <row r="16" spans="1:10" x14ac:dyDescent="0.25">
      <c r="A16" s="49">
        <f>'A) Base RI'!A17</f>
        <v>5411</v>
      </c>
      <c r="B16" s="492" t="str">
        <f>'A) Base RI'!B17</f>
        <v>Ormont-Dessus</v>
      </c>
      <c r="C16" s="10">
        <f>'B) D RI'!Y17</f>
        <v>1025669.85</v>
      </c>
      <c r="D16" s="432">
        <f>'B) D RI'!Z17</f>
        <v>8538.2000000000007</v>
      </c>
      <c r="E16" s="10">
        <f t="shared" si="0"/>
        <v>1034208.0499999999</v>
      </c>
      <c r="F16" s="432">
        <f>'B) D RI'!U17</f>
        <v>77411.411228070181</v>
      </c>
      <c r="G16" s="263">
        <f t="shared" si="1"/>
        <v>13.359891437103595</v>
      </c>
      <c r="H16" s="55">
        <f t="shared" si="2"/>
        <v>515396.38500000001</v>
      </c>
      <c r="I16" s="402">
        <f t="shared" si="3"/>
        <v>6.657886438493346</v>
      </c>
    </row>
    <row r="17" spans="1:9" x14ac:dyDescent="0.25">
      <c r="A17" s="49">
        <f>'A) Base RI'!A18</f>
        <v>5412</v>
      </c>
      <c r="B17" s="492" t="str">
        <f>'A) Base RI'!B18</f>
        <v>Rennaz</v>
      </c>
      <c r="C17" s="10">
        <f>'B) D RI'!Y18</f>
        <v>122614.25</v>
      </c>
      <c r="D17" s="432">
        <f>'B) D RI'!Z18</f>
        <v>939726.85</v>
      </c>
      <c r="E17" s="10">
        <f t="shared" si="0"/>
        <v>1062341.1000000001</v>
      </c>
      <c r="F17" s="432">
        <f>'B) D RI'!U18</f>
        <v>28875.999420289856</v>
      </c>
      <c r="G17" s="263">
        <f t="shared" si="1"/>
        <v>36.789760400588634</v>
      </c>
      <c r="H17" s="55">
        <f t="shared" si="2"/>
        <v>343225.18</v>
      </c>
      <c r="I17" s="402">
        <f t="shared" si="3"/>
        <v>11.886174916558256</v>
      </c>
    </row>
    <row r="18" spans="1:9" x14ac:dyDescent="0.25">
      <c r="A18" s="49">
        <f>'A) Base RI'!A19</f>
        <v>5413</v>
      </c>
      <c r="B18" s="492" t="str">
        <f>'A) Base RI'!B19</f>
        <v>Roche</v>
      </c>
      <c r="C18" s="10">
        <f>'B) D RI'!Y19</f>
        <v>865195.1</v>
      </c>
      <c r="D18" s="432">
        <f>'B) D RI'!Z19</f>
        <v>228687.95</v>
      </c>
      <c r="E18" s="10">
        <f t="shared" si="0"/>
        <v>1093883.05</v>
      </c>
      <c r="F18" s="432">
        <f>'B) D RI'!U19</f>
        <v>43148.541249999987</v>
      </c>
      <c r="G18" s="263">
        <f t="shared" si="1"/>
        <v>25.351565042769561</v>
      </c>
      <c r="H18" s="55">
        <f t="shared" si="2"/>
        <v>501203.935</v>
      </c>
      <c r="I18" s="402">
        <f t="shared" si="3"/>
        <v>11.615779363108832</v>
      </c>
    </row>
    <row r="19" spans="1:9" x14ac:dyDescent="0.25">
      <c r="A19" s="49">
        <f>'A) Base RI'!A20</f>
        <v>5414</v>
      </c>
      <c r="B19" s="492" t="str">
        <f>'A) Base RI'!B20</f>
        <v>Villeneuve</v>
      </c>
      <c r="C19" s="10">
        <f>'B) D RI'!Y20</f>
        <v>1687343.9</v>
      </c>
      <c r="D19" s="432">
        <f>'B) D RI'!Z20</f>
        <v>1493353.75</v>
      </c>
      <c r="E19" s="10">
        <f t="shared" si="0"/>
        <v>3180697.65</v>
      </c>
      <c r="F19" s="432">
        <f>'B) D RI'!U20</f>
        <v>185712.20711111111</v>
      </c>
      <c r="G19" s="263">
        <f t="shared" si="1"/>
        <v>17.127025193863521</v>
      </c>
      <c r="H19" s="55">
        <f t="shared" si="2"/>
        <v>1291678.075</v>
      </c>
      <c r="I19" s="402">
        <f t="shared" si="3"/>
        <v>6.9552674812980522</v>
      </c>
    </row>
    <row r="20" spans="1:9" x14ac:dyDescent="0.25">
      <c r="A20" s="49">
        <f>'A) Base RI'!A21</f>
        <v>5415</v>
      </c>
      <c r="B20" s="492" t="str">
        <f>'A) Base RI'!B21</f>
        <v>Yvorne</v>
      </c>
      <c r="C20" s="10">
        <f>'B) D RI'!Y21</f>
        <v>546878.9</v>
      </c>
      <c r="D20" s="432">
        <f>'B) D RI'!Z21</f>
        <v>34692.85</v>
      </c>
      <c r="E20" s="10">
        <f t="shared" si="0"/>
        <v>581571.75</v>
      </c>
      <c r="F20" s="432">
        <f>'B) D RI'!U21</f>
        <v>35910.274638694631</v>
      </c>
      <c r="G20" s="263">
        <f t="shared" si="1"/>
        <v>16.195135120836287</v>
      </c>
      <c r="H20" s="55">
        <f t="shared" si="2"/>
        <v>283847.30499999999</v>
      </c>
      <c r="I20" s="402">
        <f t="shared" si="3"/>
        <v>7.9043479298302044</v>
      </c>
    </row>
    <row r="21" spans="1:9" x14ac:dyDescent="0.25">
      <c r="A21" s="49">
        <f>'A) Base RI'!A22</f>
        <v>5421</v>
      </c>
      <c r="B21" s="492" t="str">
        <f>'A) Base RI'!B22</f>
        <v>Apples</v>
      </c>
      <c r="C21" s="10">
        <f>'B) D RI'!Y22</f>
        <v>825572.55</v>
      </c>
      <c r="D21" s="432">
        <f>'B) D RI'!Z22</f>
        <v>45116.9</v>
      </c>
      <c r="E21" s="10">
        <f t="shared" si="0"/>
        <v>870689.45000000007</v>
      </c>
      <c r="F21" s="432">
        <f>'B) D RI'!U22</f>
        <v>68531.648243243253</v>
      </c>
      <c r="G21" s="263">
        <f t="shared" si="1"/>
        <v>12.704924984579574</v>
      </c>
      <c r="H21" s="55">
        <f t="shared" si="2"/>
        <v>426321.34500000003</v>
      </c>
      <c r="I21" s="402">
        <f t="shared" si="3"/>
        <v>6.2207951498092324</v>
      </c>
    </row>
    <row r="22" spans="1:9" x14ac:dyDescent="0.25">
      <c r="A22" s="49">
        <f>'A) Base RI'!A23</f>
        <v>5422</v>
      </c>
      <c r="B22" s="492" t="str">
        <f>'A) Base RI'!B23</f>
        <v>Aubonne</v>
      </c>
      <c r="C22" s="10">
        <f>'B) D RI'!Y23</f>
        <v>1463693.5</v>
      </c>
      <c r="D22" s="432">
        <f>'B) D RI'!Z23</f>
        <v>962173.15</v>
      </c>
      <c r="E22" s="10">
        <f t="shared" si="0"/>
        <v>2425866.65</v>
      </c>
      <c r="F22" s="432">
        <f>'B) D RI'!U23</f>
        <v>364706.48499999999</v>
      </c>
      <c r="G22" s="263">
        <f t="shared" si="1"/>
        <v>6.6515588556096006</v>
      </c>
      <c r="H22" s="55">
        <f t="shared" si="2"/>
        <v>1020498.6950000001</v>
      </c>
      <c r="I22" s="402">
        <f t="shared" si="3"/>
        <v>2.7981369593688474</v>
      </c>
    </row>
    <row r="23" spans="1:9" x14ac:dyDescent="0.25">
      <c r="A23" s="49">
        <f>'A) Base RI'!A24</f>
        <v>5423</v>
      </c>
      <c r="B23" s="492" t="str">
        <f>'A) Base RI'!B24</f>
        <v>Ballens</v>
      </c>
      <c r="C23" s="10">
        <f>'B) D RI'!Y24</f>
        <v>145887.70000000001</v>
      </c>
      <c r="D23" s="432">
        <f>'B) D RI'!Z24</f>
        <v>23690.6</v>
      </c>
      <c r="E23" s="10">
        <f t="shared" si="0"/>
        <v>169578.30000000002</v>
      </c>
      <c r="F23" s="432">
        <f>'B) D RI'!U24</f>
        <v>16194.440273972601</v>
      </c>
      <c r="G23" s="263">
        <f t="shared" si="1"/>
        <v>10.47139000367571</v>
      </c>
      <c r="H23" s="55">
        <f t="shared" si="2"/>
        <v>80051.03</v>
      </c>
      <c r="I23" s="402">
        <f t="shared" si="3"/>
        <v>4.9431180482758954</v>
      </c>
    </row>
    <row r="24" spans="1:9" x14ac:dyDescent="0.25">
      <c r="A24" s="49">
        <f>'A) Base RI'!A25</f>
        <v>5424</v>
      </c>
      <c r="B24" s="492" t="str">
        <f>'A) Base RI'!B25</f>
        <v>Berolle</v>
      </c>
      <c r="C24" s="10">
        <f>'B) D RI'!Y25</f>
        <v>31568.95</v>
      </c>
      <c r="D24" s="432">
        <f>'B) D RI'!Z25</f>
        <v>0</v>
      </c>
      <c r="E24" s="10">
        <f t="shared" si="0"/>
        <v>31568.95</v>
      </c>
      <c r="F24" s="432">
        <f>'B) D RI'!U25</f>
        <v>8301.8684768211915</v>
      </c>
      <c r="G24" s="263">
        <f t="shared" si="1"/>
        <v>3.8026319120979184</v>
      </c>
      <c r="H24" s="55">
        <f t="shared" si="2"/>
        <v>15784.475</v>
      </c>
      <c r="I24" s="402">
        <f t="shared" si="3"/>
        <v>1.9013159560489592</v>
      </c>
    </row>
    <row r="25" spans="1:9" x14ac:dyDescent="0.25">
      <c r="A25" s="49">
        <f>'A) Base RI'!A26</f>
        <v>5425</v>
      </c>
      <c r="B25" s="492" t="str">
        <f>'A) Base RI'!B26</f>
        <v>Bière</v>
      </c>
      <c r="C25" s="10">
        <f>'B) D RI'!Y26</f>
        <v>282247.05</v>
      </c>
      <c r="D25" s="432">
        <f>'B) D RI'!Z26</f>
        <v>73221.8</v>
      </c>
      <c r="E25" s="10">
        <f t="shared" si="0"/>
        <v>355468.85</v>
      </c>
      <c r="F25" s="432">
        <f>'B) D RI'!U26</f>
        <v>44230.498130934531</v>
      </c>
      <c r="G25" s="263">
        <f t="shared" si="1"/>
        <v>8.0367363023521392</v>
      </c>
      <c r="H25" s="55">
        <f t="shared" si="2"/>
        <v>163090.065</v>
      </c>
      <c r="I25" s="402">
        <f t="shared" si="3"/>
        <v>3.6872762435821596</v>
      </c>
    </row>
    <row r="26" spans="1:9" x14ac:dyDescent="0.25">
      <c r="A26" s="49">
        <f>'A) Base RI'!A27</f>
        <v>5426</v>
      </c>
      <c r="B26" s="492" t="str">
        <f>'A) Base RI'!B27</f>
        <v>Bougy-Villars</v>
      </c>
      <c r="C26" s="10">
        <f>'B) D RI'!Y27</f>
        <v>2208270.25</v>
      </c>
      <c r="D26" s="432">
        <f>'B) D RI'!Z27</f>
        <v>12144.3</v>
      </c>
      <c r="E26" s="10">
        <f t="shared" si="0"/>
        <v>2220414.5499999998</v>
      </c>
      <c r="F26" s="432">
        <f>'B) D RI'!U27</f>
        <v>53043.718423772611</v>
      </c>
      <c r="G26" s="263">
        <f t="shared" si="1"/>
        <v>41.860084774993382</v>
      </c>
      <c r="H26" s="55">
        <f t="shared" si="2"/>
        <v>1107778.415</v>
      </c>
      <c r="I26" s="402">
        <f t="shared" si="3"/>
        <v>20.884252611210734</v>
      </c>
    </row>
    <row r="27" spans="1:9" x14ac:dyDescent="0.25">
      <c r="A27" s="49">
        <f>'A) Base RI'!A28</f>
        <v>5427</v>
      </c>
      <c r="B27" s="492" t="str">
        <f>'A) Base RI'!B28</f>
        <v>Féchy</v>
      </c>
      <c r="C27" s="10">
        <f>'B) D RI'!Y28</f>
        <v>425690.30000000005</v>
      </c>
      <c r="D27" s="432">
        <f>'B) D RI'!Z28</f>
        <v>12746.65</v>
      </c>
      <c r="E27" s="10">
        <f t="shared" si="0"/>
        <v>438436.95000000007</v>
      </c>
      <c r="F27" s="432">
        <f>'B) D RI'!U28</f>
        <v>88218.508882211536</v>
      </c>
      <c r="G27" s="263">
        <f t="shared" si="1"/>
        <v>4.969897536869464</v>
      </c>
      <c r="H27" s="55">
        <f t="shared" si="2"/>
        <v>216669.14500000002</v>
      </c>
      <c r="I27" s="402">
        <f t="shared" si="3"/>
        <v>2.4560508644426813</v>
      </c>
    </row>
    <row r="28" spans="1:9" x14ac:dyDescent="0.25">
      <c r="A28" s="49">
        <f>'A) Base RI'!A29</f>
        <v>5428</v>
      </c>
      <c r="B28" s="492" t="str">
        <f>'A) Base RI'!B29</f>
        <v>Gimel</v>
      </c>
      <c r="C28" s="10">
        <f>'B) D RI'!Y29</f>
        <v>688447.54999999993</v>
      </c>
      <c r="D28" s="432">
        <f>'B) D RI'!Z29</f>
        <v>253111.45</v>
      </c>
      <c r="E28" s="10">
        <f t="shared" si="0"/>
        <v>941559</v>
      </c>
      <c r="F28" s="432">
        <f>'B) D RI'!U29</f>
        <v>70558.698881431759</v>
      </c>
      <c r="G28" s="263">
        <f t="shared" si="1"/>
        <v>13.34433620413288</v>
      </c>
      <c r="H28" s="55">
        <f t="shared" si="2"/>
        <v>420157.20999999996</v>
      </c>
      <c r="I28" s="402">
        <f t="shared" si="3"/>
        <v>5.9547187896143106</v>
      </c>
    </row>
    <row r="29" spans="1:9" x14ac:dyDescent="0.25">
      <c r="A29" s="49">
        <f>'A) Base RI'!A30</f>
        <v>5429</v>
      </c>
      <c r="B29" s="492" t="str">
        <f>'A) Base RI'!B30</f>
        <v>Longirod</v>
      </c>
      <c r="C29" s="10">
        <f>'B) D RI'!Y30</f>
        <v>160891.35</v>
      </c>
      <c r="D29" s="432">
        <f>'B) D RI'!Z30</f>
        <v>2875.4</v>
      </c>
      <c r="E29" s="10">
        <f t="shared" si="0"/>
        <v>163766.75</v>
      </c>
      <c r="F29" s="432">
        <f>'B) D RI'!U30</f>
        <v>18574.452387096771</v>
      </c>
      <c r="G29" s="263">
        <f t="shared" si="1"/>
        <v>8.8167740607935681</v>
      </c>
      <c r="H29" s="55">
        <f t="shared" si="2"/>
        <v>81308.294999999998</v>
      </c>
      <c r="I29" s="402">
        <f t="shared" si="3"/>
        <v>4.3774262253073433</v>
      </c>
    </row>
    <row r="30" spans="1:9" x14ac:dyDescent="0.25">
      <c r="A30" s="49">
        <f>'A) Base RI'!A31</f>
        <v>5430</v>
      </c>
      <c r="B30" s="492" t="str">
        <f>'A) Base RI'!B31</f>
        <v>Marchissy</v>
      </c>
      <c r="C30" s="10">
        <f>'B) D RI'!Y31</f>
        <v>93523.900000000009</v>
      </c>
      <c r="D30" s="432">
        <f>'B) D RI'!Z31</f>
        <v>3411.95</v>
      </c>
      <c r="E30" s="10">
        <f t="shared" si="0"/>
        <v>96935.85</v>
      </c>
      <c r="F30" s="432">
        <f>'B) D RI'!U31</f>
        <v>15580.981548387101</v>
      </c>
      <c r="G30" s="263">
        <f t="shared" si="1"/>
        <v>6.2214212691904853</v>
      </c>
      <c r="H30" s="55">
        <f t="shared" si="2"/>
        <v>47785.535000000003</v>
      </c>
      <c r="I30" s="402">
        <f t="shared" si="3"/>
        <v>3.0669142923763122</v>
      </c>
    </row>
    <row r="31" spans="1:9" x14ac:dyDescent="0.25">
      <c r="A31" s="49">
        <f>'A) Base RI'!A32</f>
        <v>5431</v>
      </c>
      <c r="B31" s="492" t="str">
        <f>'A) Base RI'!B32</f>
        <v>Mollens</v>
      </c>
      <c r="C31" s="10">
        <f>'B) D RI'!Y32</f>
        <v>34152.1</v>
      </c>
      <c r="D31" s="432">
        <f>'B) D RI'!Z32</f>
        <v>304.2</v>
      </c>
      <c r="E31" s="10">
        <f t="shared" si="0"/>
        <v>34456.299999999996</v>
      </c>
      <c r="F31" s="432">
        <f>'B) D RI'!U32</f>
        <v>10464.972567567567</v>
      </c>
      <c r="G31" s="263">
        <f t="shared" si="1"/>
        <v>3.2925361034184601</v>
      </c>
      <c r="H31" s="55">
        <f t="shared" si="2"/>
        <v>17167.309999999998</v>
      </c>
      <c r="I31" s="402">
        <f t="shared" si="3"/>
        <v>1.6404543718732645</v>
      </c>
    </row>
    <row r="32" spans="1:9" x14ac:dyDescent="0.25">
      <c r="A32" s="49">
        <f>'A) Base RI'!A33</f>
        <v>5434</v>
      </c>
      <c r="B32" s="492" t="str">
        <f>'A) Base RI'!B33</f>
        <v>Saint-George</v>
      </c>
      <c r="C32" s="10">
        <f>'B) D RI'!Y33</f>
        <v>264140.79999999999</v>
      </c>
      <c r="D32" s="432">
        <f>'B) D RI'!Z33</f>
        <v>35327.85</v>
      </c>
      <c r="E32" s="10">
        <f t="shared" si="0"/>
        <v>299468.64999999997</v>
      </c>
      <c r="F32" s="432">
        <f>'B) D RI'!U33</f>
        <v>43544.748513189443</v>
      </c>
      <c r="G32" s="263">
        <f t="shared" si="1"/>
        <v>6.8772621320638176</v>
      </c>
      <c r="H32" s="55">
        <f t="shared" si="2"/>
        <v>142668.755</v>
      </c>
      <c r="I32" s="402">
        <f t="shared" si="3"/>
        <v>3.2763710865567748</v>
      </c>
    </row>
    <row r="33" spans="1:9" x14ac:dyDescent="0.25">
      <c r="A33" s="49">
        <f>'A) Base RI'!A34</f>
        <v>5435</v>
      </c>
      <c r="B33" s="492" t="str">
        <f>'A) Base RI'!B34</f>
        <v>Saint-Livres</v>
      </c>
      <c r="C33" s="10">
        <f>'B) D RI'!Y34</f>
        <v>263622.95</v>
      </c>
      <c r="D33" s="432">
        <f>'B) D RI'!Z34</f>
        <v>17237.5</v>
      </c>
      <c r="E33" s="10">
        <f t="shared" si="0"/>
        <v>280860.45</v>
      </c>
      <c r="F33" s="432">
        <f>'B) D RI'!U34</f>
        <v>25854.309855072468</v>
      </c>
      <c r="G33" s="263">
        <f t="shared" si="1"/>
        <v>10.863196564687909</v>
      </c>
      <c r="H33" s="55">
        <f t="shared" si="2"/>
        <v>136982.72500000001</v>
      </c>
      <c r="I33" s="402">
        <f t="shared" si="3"/>
        <v>5.2982549434838146</v>
      </c>
    </row>
    <row r="34" spans="1:9" x14ac:dyDescent="0.25">
      <c r="A34" s="49">
        <f>'A) Base RI'!A35</f>
        <v>5436</v>
      </c>
      <c r="B34" s="492" t="str">
        <f>'A) Base RI'!B35</f>
        <v>Saint-Oyens</v>
      </c>
      <c r="C34" s="10">
        <f>'B) D RI'!Y35</f>
        <v>151642</v>
      </c>
      <c r="D34" s="432">
        <f>'B) D RI'!Z35</f>
        <v>0</v>
      </c>
      <c r="E34" s="10">
        <f t="shared" si="0"/>
        <v>151642</v>
      </c>
      <c r="F34" s="432">
        <f>'B) D RI'!U35</f>
        <v>16868.339629629631</v>
      </c>
      <c r="G34" s="263">
        <f t="shared" si="1"/>
        <v>8.9897407409106993</v>
      </c>
      <c r="H34" s="55">
        <f t="shared" si="2"/>
        <v>75821</v>
      </c>
      <c r="I34" s="402">
        <f t="shared" si="3"/>
        <v>4.4948703704553497</v>
      </c>
    </row>
    <row r="35" spans="1:9" x14ac:dyDescent="0.25">
      <c r="A35" s="49">
        <f>'A) Base RI'!A36</f>
        <v>5437</v>
      </c>
      <c r="B35" s="492" t="str">
        <f>'A) Base RI'!B36</f>
        <v>Saubraz</v>
      </c>
      <c r="C35" s="10">
        <f>'B) D RI'!Y36</f>
        <v>317060.2</v>
      </c>
      <c r="D35" s="432">
        <f>'B) D RI'!Z36</f>
        <v>0</v>
      </c>
      <c r="E35" s="10">
        <f t="shared" si="0"/>
        <v>317060.2</v>
      </c>
      <c r="F35" s="432">
        <f>'B) D RI'!U36</f>
        <v>13551.757374999997</v>
      </c>
      <c r="G35" s="263">
        <f t="shared" si="1"/>
        <v>23.396242363732554</v>
      </c>
      <c r="H35" s="55">
        <f t="shared" si="2"/>
        <v>158530.1</v>
      </c>
      <c r="I35" s="402">
        <f t="shared" si="3"/>
        <v>11.698121181866277</v>
      </c>
    </row>
    <row r="36" spans="1:9" x14ac:dyDescent="0.25">
      <c r="A36" s="49">
        <f>'A) Base RI'!A37</f>
        <v>5451</v>
      </c>
      <c r="B36" s="492" t="str">
        <f>'A) Base RI'!B37</f>
        <v>Avenches</v>
      </c>
      <c r="C36" s="10">
        <f>'B) D RI'!Y37</f>
        <v>794256.05</v>
      </c>
      <c r="D36" s="432">
        <f>'B) D RI'!Z37</f>
        <v>562337.4</v>
      </c>
      <c r="E36" s="10">
        <f t="shared" si="0"/>
        <v>1356593.4500000002</v>
      </c>
      <c r="F36" s="432">
        <f>'B) D RI'!U37</f>
        <v>137890.8513283208</v>
      </c>
      <c r="G36" s="263">
        <f t="shared" si="1"/>
        <v>9.8381686452129067</v>
      </c>
      <c r="H36" s="55">
        <f t="shared" si="2"/>
        <v>565829.245</v>
      </c>
      <c r="I36" s="402">
        <f t="shared" si="3"/>
        <v>4.103457477775299</v>
      </c>
    </row>
    <row r="37" spans="1:9" x14ac:dyDescent="0.25">
      <c r="A37" s="49">
        <f>'A) Base RI'!A38</f>
        <v>5456</v>
      </c>
      <c r="B37" s="492" t="str">
        <f>'A) Base RI'!B38</f>
        <v>Cudrefin</v>
      </c>
      <c r="C37" s="10">
        <f>'B) D RI'!Y38</f>
        <v>395782.25</v>
      </c>
      <c r="D37" s="432">
        <f>'B) D RI'!Z38</f>
        <v>5267</v>
      </c>
      <c r="E37" s="10">
        <f t="shared" si="0"/>
        <v>401049.25</v>
      </c>
      <c r="F37" s="432">
        <f>'B) D RI'!U38</f>
        <v>64144.951694915253</v>
      </c>
      <c r="G37" s="263">
        <f t="shared" si="1"/>
        <v>6.2522340324997243</v>
      </c>
      <c r="H37" s="55">
        <f t="shared" si="2"/>
        <v>199471.22500000001</v>
      </c>
      <c r="I37" s="402">
        <f t="shared" si="3"/>
        <v>3.1096948353585248</v>
      </c>
    </row>
    <row r="38" spans="1:9" x14ac:dyDescent="0.25">
      <c r="A38" s="49">
        <f>'A) Base RI'!A39</f>
        <v>5458</v>
      </c>
      <c r="B38" s="492" t="str">
        <f>'A) Base RI'!B39</f>
        <v>Faoug</v>
      </c>
      <c r="C38" s="10">
        <f>'B) D RI'!Y39</f>
        <v>247284.65</v>
      </c>
      <c r="D38" s="432">
        <f>'B) D RI'!Z39</f>
        <v>1661.35</v>
      </c>
      <c r="E38" s="10">
        <f t="shared" si="0"/>
        <v>248946</v>
      </c>
      <c r="F38" s="432">
        <f>'B) D RI'!U39</f>
        <v>34721.352769230762</v>
      </c>
      <c r="G38" s="263">
        <f t="shared" si="1"/>
        <v>7.1698243341662087</v>
      </c>
      <c r="H38" s="55">
        <f t="shared" si="2"/>
        <v>124140.73</v>
      </c>
      <c r="I38" s="402">
        <f t="shared" si="3"/>
        <v>3.5753425514575734</v>
      </c>
    </row>
    <row r="39" spans="1:9" x14ac:dyDescent="0.25">
      <c r="A39" s="49">
        <f>'A) Base RI'!A40</f>
        <v>5464</v>
      </c>
      <c r="B39" s="492" t="str">
        <f>'A) Base RI'!B40</f>
        <v>Vully-les-Lacs</v>
      </c>
      <c r="C39" s="10">
        <f>'B) D RI'!Y40</f>
        <v>1480598.5</v>
      </c>
      <c r="D39" s="432">
        <f>'B) D RI'!Z40</f>
        <v>340.45</v>
      </c>
      <c r="E39" s="10">
        <f t="shared" si="0"/>
        <v>1480938.95</v>
      </c>
      <c r="F39" s="432">
        <f>'B) D RI'!U40</f>
        <v>119169.3065671642</v>
      </c>
      <c r="G39" s="263">
        <f t="shared" si="1"/>
        <v>12.42718442072446</v>
      </c>
      <c r="H39" s="55">
        <f t="shared" si="2"/>
        <v>740401.38500000001</v>
      </c>
      <c r="I39" s="402">
        <f t="shared" si="3"/>
        <v>6.2130208384044545</v>
      </c>
    </row>
    <row r="40" spans="1:9" x14ac:dyDescent="0.25">
      <c r="A40" s="49">
        <f>'A) Base RI'!A41</f>
        <v>5471</v>
      </c>
      <c r="B40" s="492" t="str">
        <f>'A) Base RI'!B41</f>
        <v>Bettens</v>
      </c>
      <c r="C40" s="10">
        <f>'B) D RI'!Y41</f>
        <v>75195.900000000009</v>
      </c>
      <c r="D40" s="432">
        <f>'B) D RI'!Z41</f>
        <v>9506.5499999999993</v>
      </c>
      <c r="E40" s="10">
        <f t="shared" si="0"/>
        <v>84702.450000000012</v>
      </c>
      <c r="F40" s="432">
        <f>'B) D RI'!U41</f>
        <v>22893.023698412693</v>
      </c>
      <c r="G40" s="263">
        <f t="shared" si="1"/>
        <v>3.6999240954733703</v>
      </c>
      <c r="H40" s="55">
        <f t="shared" si="2"/>
        <v>40449.915000000001</v>
      </c>
      <c r="I40" s="402">
        <f t="shared" si="3"/>
        <v>1.766910109074173</v>
      </c>
    </row>
    <row r="41" spans="1:9" x14ac:dyDescent="0.25">
      <c r="A41" s="49">
        <f>'A) Base RI'!A42</f>
        <v>5472</v>
      </c>
      <c r="B41" s="492" t="str">
        <f>'A) Base RI'!B42</f>
        <v>Bournens</v>
      </c>
      <c r="C41" s="10">
        <f>'B) D RI'!Y42</f>
        <v>196752.3</v>
      </c>
      <c r="D41" s="432">
        <f>'B) D RI'!Z42</f>
        <v>0</v>
      </c>
      <c r="E41" s="10">
        <f t="shared" si="0"/>
        <v>196752.3</v>
      </c>
      <c r="F41" s="432">
        <f>'B) D RI'!U42</f>
        <v>22178.441944444447</v>
      </c>
      <c r="G41" s="263">
        <f t="shared" si="1"/>
        <v>8.871331020134404</v>
      </c>
      <c r="H41" s="55">
        <f t="shared" si="2"/>
        <v>98376.15</v>
      </c>
      <c r="I41" s="402">
        <f t="shared" si="3"/>
        <v>4.435665510067202</v>
      </c>
    </row>
    <row r="42" spans="1:9" x14ac:dyDescent="0.25">
      <c r="A42" s="49">
        <f>'A) Base RI'!A43</f>
        <v>5473</v>
      </c>
      <c r="B42" s="492" t="str">
        <f>'A) Base RI'!B43</f>
        <v>Boussens</v>
      </c>
      <c r="C42" s="10">
        <f>'B) D RI'!Y43</f>
        <v>253887.85</v>
      </c>
      <c r="D42" s="432">
        <f>'B) D RI'!Z43</f>
        <v>4238.3</v>
      </c>
      <c r="E42" s="10">
        <f t="shared" si="0"/>
        <v>258126.15</v>
      </c>
      <c r="F42" s="432">
        <f>'B) D RI'!U43</f>
        <v>37059.012888888894</v>
      </c>
      <c r="G42" s="263">
        <f t="shared" si="1"/>
        <v>6.9652732190660123</v>
      </c>
      <c r="H42" s="55">
        <f t="shared" si="2"/>
        <v>128215.41500000001</v>
      </c>
      <c r="I42" s="402">
        <f t="shared" si="3"/>
        <v>3.4597633613290819</v>
      </c>
    </row>
    <row r="43" spans="1:9" x14ac:dyDescent="0.25">
      <c r="A43" s="49">
        <f>'A) Base RI'!A44</f>
        <v>5474</v>
      </c>
      <c r="B43" s="492" t="str">
        <f>'A) Base RI'!B44</f>
        <v>La Chaux (Cossonay)</v>
      </c>
      <c r="C43" s="10">
        <f>'B) D RI'!Y44</f>
        <v>92933.15</v>
      </c>
      <c r="D43" s="432">
        <f>'B) D RI'!Z44</f>
        <v>2826.15</v>
      </c>
      <c r="E43" s="10">
        <f t="shared" si="0"/>
        <v>95759.299999999988</v>
      </c>
      <c r="F43" s="432">
        <f>'B) D RI'!U44</f>
        <v>12905.016929824562</v>
      </c>
      <c r="G43" s="263">
        <f t="shared" si="1"/>
        <v>7.4203157206785466</v>
      </c>
      <c r="H43" s="55">
        <f t="shared" si="2"/>
        <v>47314.42</v>
      </c>
      <c r="I43" s="402">
        <f t="shared" si="3"/>
        <v>3.6663586152027787</v>
      </c>
    </row>
    <row r="44" spans="1:9" x14ac:dyDescent="0.25">
      <c r="A44" s="49">
        <f>'A) Base RI'!A45</f>
        <v>5475</v>
      </c>
      <c r="B44" s="492" t="str">
        <f>'A) Base RI'!B45</f>
        <v>Chavannes-le-Veyron</v>
      </c>
      <c r="C44" s="10">
        <f>'B) D RI'!Y45</f>
        <v>9400.5500000000011</v>
      </c>
      <c r="D44" s="432">
        <f>'B) D RI'!Z45</f>
        <v>0</v>
      </c>
      <c r="E44" s="10">
        <f t="shared" si="0"/>
        <v>9400.5500000000011</v>
      </c>
      <c r="F44" s="432">
        <f>'B) D RI'!U45</f>
        <v>4277.2722666666668</v>
      </c>
      <c r="G44" s="263">
        <f t="shared" si="1"/>
        <v>2.1977908849197414</v>
      </c>
      <c r="H44" s="55">
        <f t="shared" si="2"/>
        <v>4700.2750000000005</v>
      </c>
      <c r="I44" s="402">
        <f t="shared" si="3"/>
        <v>1.0988954424598707</v>
      </c>
    </row>
    <row r="45" spans="1:9" x14ac:dyDescent="0.25">
      <c r="A45" s="49">
        <f>'A) Base RI'!A46</f>
        <v>5476</v>
      </c>
      <c r="B45" s="492" t="str">
        <f>'A) Base RI'!B46</f>
        <v>Chevilly</v>
      </c>
      <c r="C45" s="10">
        <f>'B) D RI'!Y46</f>
        <v>89222.05</v>
      </c>
      <c r="D45" s="432">
        <f>'B) D RI'!Z46</f>
        <v>0</v>
      </c>
      <c r="E45" s="10">
        <f t="shared" si="0"/>
        <v>89222.05</v>
      </c>
      <c r="F45" s="432">
        <f>'B) D RI'!U46</f>
        <v>12075.307586206898</v>
      </c>
      <c r="G45" s="263">
        <f t="shared" si="1"/>
        <v>7.388801433258271</v>
      </c>
      <c r="H45" s="55">
        <f t="shared" si="2"/>
        <v>44611.025000000001</v>
      </c>
      <c r="I45" s="402">
        <f t="shared" si="3"/>
        <v>3.6944007166291355</v>
      </c>
    </row>
    <row r="46" spans="1:9" x14ac:dyDescent="0.25">
      <c r="A46" s="49">
        <f>'A) Base RI'!A47</f>
        <v>5477</v>
      </c>
      <c r="B46" s="492" t="str">
        <f>'A) Base RI'!B47</f>
        <v>Cossonay</v>
      </c>
      <c r="C46" s="10">
        <f>'B) D RI'!Y47</f>
        <v>1066614.4500000002</v>
      </c>
      <c r="D46" s="432">
        <f>'B) D RI'!Z47</f>
        <v>116740.25</v>
      </c>
      <c r="E46" s="10">
        <f t="shared" si="0"/>
        <v>1183354.7000000002</v>
      </c>
      <c r="F46" s="432">
        <f>'B) D RI'!U47</f>
        <v>142597.98359712231</v>
      </c>
      <c r="G46" s="263">
        <f t="shared" si="1"/>
        <v>8.2985373996822833</v>
      </c>
      <c r="H46" s="55">
        <f t="shared" si="2"/>
        <v>568329.30000000005</v>
      </c>
      <c r="I46" s="402">
        <f t="shared" si="3"/>
        <v>3.9855353186878388</v>
      </c>
    </row>
    <row r="47" spans="1:9" x14ac:dyDescent="0.25">
      <c r="A47" s="49">
        <f>'A) Base RI'!A48</f>
        <v>5478</v>
      </c>
      <c r="B47" s="492" t="str">
        <f>'A) Base RI'!B48</f>
        <v>Cottens</v>
      </c>
      <c r="C47" s="10">
        <f>'B) D RI'!Y48</f>
        <v>50806</v>
      </c>
      <c r="D47" s="432">
        <f>'B) D RI'!Z48</f>
        <v>519.25</v>
      </c>
      <c r="E47" s="10">
        <f t="shared" si="0"/>
        <v>51325.25</v>
      </c>
      <c r="F47" s="432">
        <f>'B) D RI'!U48</f>
        <v>15741.229189189189</v>
      </c>
      <c r="G47" s="263">
        <f t="shared" si="1"/>
        <v>3.2605617631975852</v>
      </c>
      <c r="H47" s="55">
        <f t="shared" si="2"/>
        <v>25558.775000000001</v>
      </c>
      <c r="I47" s="402">
        <f t="shared" si="3"/>
        <v>1.6236835569075723</v>
      </c>
    </row>
    <row r="48" spans="1:9" x14ac:dyDescent="0.25">
      <c r="A48" s="49">
        <f>'A) Base RI'!A49</f>
        <v>5479</v>
      </c>
      <c r="B48" s="492" t="str">
        <f>'A) Base RI'!B49</f>
        <v>Cuarnens</v>
      </c>
      <c r="C48" s="10">
        <f>'B) D RI'!Y49</f>
        <v>115420</v>
      </c>
      <c r="D48" s="432">
        <f>'B) D RI'!Z49</f>
        <v>7894.9</v>
      </c>
      <c r="E48" s="10">
        <f t="shared" si="0"/>
        <v>123314.9</v>
      </c>
      <c r="F48" s="432">
        <f>'B) D RI'!U49</f>
        <v>17984.87649350649</v>
      </c>
      <c r="G48" s="263">
        <f t="shared" si="1"/>
        <v>6.8565886479411366</v>
      </c>
      <c r="H48" s="55">
        <f t="shared" si="2"/>
        <v>60078.47</v>
      </c>
      <c r="I48" s="402">
        <f t="shared" si="3"/>
        <v>3.3404994480607955</v>
      </c>
    </row>
    <row r="49" spans="1:9" x14ac:dyDescent="0.25">
      <c r="A49" s="49">
        <f>'A) Base RI'!A50</f>
        <v>5480</v>
      </c>
      <c r="B49" s="492" t="str">
        <f>'A) Base RI'!B50</f>
        <v>Daillens</v>
      </c>
      <c r="C49" s="10">
        <f>'B) D RI'!Y50</f>
        <v>298685.7</v>
      </c>
      <c r="D49" s="432">
        <f>'B) D RI'!Z50</f>
        <v>229974.39999999999</v>
      </c>
      <c r="E49" s="10">
        <f t="shared" si="0"/>
        <v>528660.1</v>
      </c>
      <c r="F49" s="432">
        <f>'B) D RI'!U50</f>
        <v>41284.66095959596</v>
      </c>
      <c r="G49" s="263">
        <f t="shared" si="1"/>
        <v>12.805242618254356</v>
      </c>
      <c r="H49" s="55">
        <f t="shared" si="2"/>
        <v>218335.16999999998</v>
      </c>
      <c r="I49" s="402">
        <f t="shared" si="3"/>
        <v>5.2885300478470194</v>
      </c>
    </row>
    <row r="50" spans="1:9" x14ac:dyDescent="0.25">
      <c r="A50" s="49">
        <f>'A) Base RI'!A51</f>
        <v>5481</v>
      </c>
      <c r="B50" s="492" t="str">
        <f>'A) Base RI'!B51</f>
        <v>Dizy</v>
      </c>
      <c r="C50" s="10">
        <f>'B) D RI'!Y51</f>
        <v>17939.150000000001</v>
      </c>
      <c r="D50" s="432">
        <f>'B) D RI'!Z51</f>
        <v>0</v>
      </c>
      <c r="E50" s="10">
        <f t="shared" si="0"/>
        <v>17939.150000000001</v>
      </c>
      <c r="F50" s="432">
        <f>'B) D RI'!U51</f>
        <v>8120.887333333334</v>
      </c>
      <c r="G50" s="263">
        <f t="shared" si="1"/>
        <v>2.2090135306232135</v>
      </c>
      <c r="H50" s="55">
        <f t="shared" si="2"/>
        <v>8969.5750000000007</v>
      </c>
      <c r="I50" s="402">
        <f t="shared" si="3"/>
        <v>1.1045067653116067</v>
      </c>
    </row>
    <row r="51" spans="1:9" x14ac:dyDescent="0.25">
      <c r="A51" s="49">
        <f>'A) Base RI'!A52</f>
        <v>5482</v>
      </c>
      <c r="B51" s="492" t="str">
        <f>'A) Base RI'!B52</f>
        <v>Eclépens</v>
      </c>
      <c r="C51" s="10">
        <f>'B) D RI'!Y52</f>
        <v>205473.30000000002</v>
      </c>
      <c r="D51" s="432">
        <f>'B) D RI'!Z52</f>
        <v>311950.55</v>
      </c>
      <c r="E51" s="10">
        <f t="shared" si="0"/>
        <v>517423.85</v>
      </c>
      <c r="F51" s="432">
        <f>'B) D RI'!U52</f>
        <v>54196.336086956522</v>
      </c>
      <c r="G51" s="263">
        <f t="shared" si="1"/>
        <v>9.5472108883856599</v>
      </c>
      <c r="H51" s="55">
        <f t="shared" si="2"/>
        <v>196321.815</v>
      </c>
      <c r="I51" s="402">
        <f t="shared" si="3"/>
        <v>3.6224185835183964</v>
      </c>
    </row>
    <row r="52" spans="1:9" x14ac:dyDescent="0.25">
      <c r="A52" s="49">
        <f>'A) Base RI'!A53</f>
        <v>5483</v>
      </c>
      <c r="B52" s="492" t="str">
        <f>'A) Base RI'!B53</f>
        <v>Ferreyres</v>
      </c>
      <c r="C52" s="10">
        <f>'B) D RI'!Y53</f>
        <v>13096.650000000001</v>
      </c>
      <c r="D52" s="432">
        <f>'B) D RI'!Z53</f>
        <v>0</v>
      </c>
      <c r="E52" s="10">
        <f t="shared" si="0"/>
        <v>13096.650000000001</v>
      </c>
      <c r="F52" s="432">
        <f>'B) D RI'!U53</f>
        <v>10537.122500000001</v>
      </c>
      <c r="G52" s="263">
        <f t="shared" si="1"/>
        <v>1.2429057363620855</v>
      </c>
      <c r="H52" s="55">
        <f t="shared" si="2"/>
        <v>6548.3250000000007</v>
      </c>
      <c r="I52" s="402">
        <f t="shared" si="3"/>
        <v>0.62145286818104273</v>
      </c>
    </row>
    <row r="53" spans="1:9" x14ac:dyDescent="0.25">
      <c r="A53" s="49">
        <f>'A) Base RI'!A54</f>
        <v>5484</v>
      </c>
      <c r="B53" s="492" t="str">
        <f>'A) Base RI'!B54</f>
        <v>Gollion</v>
      </c>
      <c r="C53" s="10">
        <f>'B) D RI'!Y54</f>
        <v>238538.85</v>
      </c>
      <c r="D53" s="432">
        <f>'B) D RI'!Z54</f>
        <v>32793.65</v>
      </c>
      <c r="E53" s="10">
        <f t="shared" si="0"/>
        <v>271332.5</v>
      </c>
      <c r="F53" s="432">
        <f>'B) D RI'!U54</f>
        <v>35950.666081081094</v>
      </c>
      <c r="G53" s="263">
        <f t="shared" si="1"/>
        <v>7.547356685632808</v>
      </c>
      <c r="H53" s="55">
        <f t="shared" si="2"/>
        <v>129107.52</v>
      </c>
      <c r="I53" s="402">
        <f t="shared" si="3"/>
        <v>3.5912413892087067</v>
      </c>
    </row>
    <row r="54" spans="1:9" x14ac:dyDescent="0.25">
      <c r="A54" s="49">
        <f>'A) Base RI'!A55</f>
        <v>5485</v>
      </c>
      <c r="B54" s="492" t="str">
        <f>'A) Base RI'!B55</f>
        <v>Grancy</v>
      </c>
      <c r="C54" s="10">
        <f>'B) D RI'!Y55</f>
        <v>142864.35</v>
      </c>
      <c r="D54" s="432">
        <f>'B) D RI'!Z55</f>
        <v>12308.85</v>
      </c>
      <c r="E54" s="10">
        <f t="shared" si="0"/>
        <v>155173.20000000001</v>
      </c>
      <c r="F54" s="432">
        <f>'B) D RI'!U55</f>
        <v>24488.659571428572</v>
      </c>
      <c r="G54" s="263">
        <f t="shared" si="1"/>
        <v>6.3365330204125918</v>
      </c>
      <c r="H54" s="55">
        <f t="shared" si="2"/>
        <v>75124.83</v>
      </c>
      <c r="I54" s="402">
        <f t="shared" si="3"/>
        <v>3.0677395706725288</v>
      </c>
    </row>
    <row r="55" spans="1:9" x14ac:dyDescent="0.25">
      <c r="A55" s="49">
        <f>'A) Base RI'!A56</f>
        <v>5486</v>
      </c>
      <c r="B55" s="492" t="str">
        <f>'A) Base RI'!B56</f>
        <v>L'Isle</v>
      </c>
      <c r="C55" s="10">
        <f>'B) D RI'!Y56</f>
        <v>324669.2</v>
      </c>
      <c r="D55" s="432">
        <f>'B) D RI'!Z56</f>
        <v>49479.55</v>
      </c>
      <c r="E55" s="10">
        <f t="shared" si="0"/>
        <v>374148.75</v>
      </c>
      <c r="F55" s="432">
        <f>'B) D RI'!U56</f>
        <v>29230.387866666671</v>
      </c>
      <c r="G55" s="263">
        <f t="shared" si="1"/>
        <v>12.799992655132241</v>
      </c>
      <c r="H55" s="55">
        <f t="shared" si="2"/>
        <v>177178.465</v>
      </c>
      <c r="I55" s="402">
        <f t="shared" si="3"/>
        <v>6.0614476211603137</v>
      </c>
    </row>
    <row r="56" spans="1:9" x14ac:dyDescent="0.25">
      <c r="A56" s="49">
        <f>'A) Base RI'!A57</f>
        <v>5487</v>
      </c>
      <c r="B56" s="492" t="str">
        <f>'A) Base RI'!B57</f>
        <v>Lussery-Villars</v>
      </c>
      <c r="C56" s="10">
        <f>'B) D RI'!Y57</f>
        <v>35088.5</v>
      </c>
      <c r="D56" s="432">
        <f>'B) D RI'!Z57</f>
        <v>0</v>
      </c>
      <c r="E56" s="10">
        <f t="shared" si="0"/>
        <v>35088.5</v>
      </c>
      <c r="F56" s="432">
        <f>'B) D RI'!U57</f>
        <v>16622.441866666668</v>
      </c>
      <c r="G56" s="263">
        <f t="shared" si="1"/>
        <v>2.1109112777445596</v>
      </c>
      <c r="H56" s="55">
        <f t="shared" si="2"/>
        <v>17544.25</v>
      </c>
      <c r="I56" s="402">
        <f t="shared" si="3"/>
        <v>1.0554556388722798</v>
      </c>
    </row>
    <row r="57" spans="1:9" x14ac:dyDescent="0.25">
      <c r="A57" s="49">
        <f>'A) Base RI'!A58</f>
        <v>5488</v>
      </c>
      <c r="B57" s="492" t="str">
        <f>'A) Base RI'!B58</f>
        <v>Mauraz</v>
      </c>
      <c r="C57" s="10">
        <f>'B) D RI'!Y58</f>
        <v>0</v>
      </c>
      <c r="D57" s="432">
        <f>'B) D RI'!Z58</f>
        <v>0</v>
      </c>
      <c r="E57" s="10">
        <f t="shared" si="0"/>
        <v>0</v>
      </c>
      <c r="F57" s="432">
        <f>'B) D RI'!U58</f>
        <v>1729.1857142857141</v>
      </c>
      <c r="G57" s="263">
        <f t="shared" si="1"/>
        <v>0</v>
      </c>
      <c r="H57" s="55">
        <f t="shared" si="2"/>
        <v>0</v>
      </c>
      <c r="I57" s="402">
        <f t="shared" si="3"/>
        <v>0</v>
      </c>
    </row>
    <row r="58" spans="1:9" x14ac:dyDescent="0.25">
      <c r="A58" s="49">
        <f>'A) Base RI'!A59</f>
        <v>5489</v>
      </c>
      <c r="B58" s="492" t="str">
        <f>'A) Base RI'!B59</f>
        <v>Mex</v>
      </c>
      <c r="C58" s="10">
        <f>'B) D RI'!Y59</f>
        <v>284150.84999999998</v>
      </c>
      <c r="D58" s="432">
        <f>'B) D RI'!Z59</f>
        <v>165302.79999999999</v>
      </c>
      <c r="E58" s="10">
        <f t="shared" si="0"/>
        <v>449453.64999999997</v>
      </c>
      <c r="F58" s="432">
        <f>'B) D RI'!U59</f>
        <v>50879.929915966379</v>
      </c>
      <c r="G58" s="263">
        <f t="shared" si="1"/>
        <v>8.8336137793884646</v>
      </c>
      <c r="H58" s="55">
        <f t="shared" si="2"/>
        <v>191666.26499999998</v>
      </c>
      <c r="I58" s="402">
        <f t="shared" si="3"/>
        <v>3.7670308374354531</v>
      </c>
    </row>
    <row r="59" spans="1:9" x14ac:dyDescent="0.25">
      <c r="A59" s="49">
        <f>'A) Base RI'!A60</f>
        <v>5490</v>
      </c>
      <c r="B59" s="492" t="str">
        <f>'A) Base RI'!B60</f>
        <v>Moiry</v>
      </c>
      <c r="C59" s="10">
        <f>'B) D RI'!Y60</f>
        <v>38734.300000000003</v>
      </c>
      <c r="D59" s="432">
        <f>'B) D RI'!Z60</f>
        <v>0</v>
      </c>
      <c r="E59" s="10">
        <f t="shared" si="0"/>
        <v>38734.300000000003</v>
      </c>
      <c r="F59" s="432">
        <f>'B) D RI'!U60</f>
        <v>9056.9</v>
      </c>
      <c r="G59" s="263">
        <f t="shared" si="1"/>
        <v>4.2767724055692353</v>
      </c>
      <c r="H59" s="55">
        <f t="shared" si="2"/>
        <v>19367.150000000001</v>
      </c>
      <c r="I59" s="402">
        <f t="shared" si="3"/>
        <v>2.1383862027846177</v>
      </c>
    </row>
    <row r="60" spans="1:9" x14ac:dyDescent="0.25">
      <c r="A60" s="49">
        <f>'A) Base RI'!A61</f>
        <v>5491</v>
      </c>
      <c r="B60" s="492" t="str">
        <f>'A) Base RI'!B61</f>
        <v>Mont-la-Ville</v>
      </c>
      <c r="C60" s="10">
        <f>'B) D RI'!Y61</f>
        <v>45296.800000000003</v>
      </c>
      <c r="D60" s="432">
        <f>'B) D RI'!Z61</f>
        <v>3858.55</v>
      </c>
      <c r="E60" s="10">
        <f t="shared" si="0"/>
        <v>49155.350000000006</v>
      </c>
      <c r="F60" s="432">
        <f>'B) D RI'!U61</f>
        <v>13648.930789473685</v>
      </c>
      <c r="G60" s="263">
        <f t="shared" si="1"/>
        <v>3.6014066418967814</v>
      </c>
      <c r="H60" s="55">
        <f t="shared" si="2"/>
        <v>23805.965</v>
      </c>
      <c r="I60" s="402">
        <f t="shared" si="3"/>
        <v>1.7441633610128358</v>
      </c>
    </row>
    <row r="61" spans="1:9" x14ac:dyDescent="0.25">
      <c r="A61" s="49">
        <f>'A) Base RI'!A62</f>
        <v>5492</v>
      </c>
      <c r="B61" s="492" t="str">
        <f>'A) Base RI'!B62</f>
        <v>Montricher</v>
      </c>
      <c r="C61" s="10">
        <f>'B) D RI'!Y62</f>
        <v>420316.25</v>
      </c>
      <c r="D61" s="432">
        <f>'B) D RI'!Z62</f>
        <v>5465.05</v>
      </c>
      <c r="E61" s="10">
        <f t="shared" si="0"/>
        <v>425781.3</v>
      </c>
      <c r="F61" s="432">
        <f>'B) D RI'!U62</f>
        <v>175268.45531250001</v>
      </c>
      <c r="G61" s="263">
        <f t="shared" si="1"/>
        <v>2.4293093656861457</v>
      </c>
      <c r="H61" s="55">
        <f t="shared" si="2"/>
        <v>211797.64</v>
      </c>
      <c r="I61" s="402">
        <f t="shared" si="3"/>
        <v>1.208418477942133</v>
      </c>
    </row>
    <row r="62" spans="1:9" x14ac:dyDescent="0.25">
      <c r="A62" s="49">
        <f>'A) Base RI'!A63</f>
        <v>5493</v>
      </c>
      <c r="B62" s="492" t="str">
        <f>'A) Base RI'!B63</f>
        <v>Orny</v>
      </c>
      <c r="C62" s="10">
        <f>'B) D RI'!Y63</f>
        <v>154339.45000000001</v>
      </c>
      <c r="D62" s="432">
        <f>'B) D RI'!Z63</f>
        <v>62150.05</v>
      </c>
      <c r="E62" s="10">
        <f t="shared" si="0"/>
        <v>216489.5</v>
      </c>
      <c r="F62" s="432">
        <f>'B) D RI'!U63</f>
        <v>13489.946448893574</v>
      </c>
      <c r="G62" s="263">
        <f t="shared" si="1"/>
        <v>16.048210481795959</v>
      </c>
      <c r="H62" s="55">
        <f t="shared" si="2"/>
        <v>95814.74</v>
      </c>
      <c r="I62" s="402">
        <f t="shared" si="3"/>
        <v>7.1026775653255907</v>
      </c>
    </row>
    <row r="63" spans="1:9" x14ac:dyDescent="0.25">
      <c r="A63" s="49">
        <f>'A) Base RI'!A64</f>
        <v>5494</v>
      </c>
      <c r="B63" s="492" t="str">
        <f>'A) Base RI'!B64</f>
        <v>Pampigny</v>
      </c>
      <c r="C63" s="10">
        <f>'B) D RI'!Y64</f>
        <v>496323.15</v>
      </c>
      <c r="D63" s="432">
        <f>'B) D RI'!Z64</f>
        <v>12887.05</v>
      </c>
      <c r="E63" s="10">
        <f t="shared" si="0"/>
        <v>509210.2</v>
      </c>
      <c r="F63" s="432">
        <f>'B) D RI'!U64</f>
        <v>43210.558962818002</v>
      </c>
      <c r="G63" s="263">
        <f t="shared" si="1"/>
        <v>11.784392801726247</v>
      </c>
      <c r="H63" s="55">
        <f t="shared" si="2"/>
        <v>252027.69</v>
      </c>
      <c r="I63" s="402">
        <f t="shared" si="3"/>
        <v>5.8325487114588315</v>
      </c>
    </row>
    <row r="64" spans="1:9" x14ac:dyDescent="0.25">
      <c r="A64" s="49">
        <f>'A) Base RI'!A65</f>
        <v>5495</v>
      </c>
      <c r="B64" s="492" t="str">
        <f>'A) Base RI'!B65</f>
        <v>Penthalaz</v>
      </c>
      <c r="C64" s="10">
        <f>'B) D RI'!Y65</f>
        <v>503803.15</v>
      </c>
      <c r="D64" s="432">
        <f>'B) D RI'!Z65</f>
        <v>268180.65000000002</v>
      </c>
      <c r="E64" s="10">
        <f t="shared" si="0"/>
        <v>771983.8</v>
      </c>
      <c r="F64" s="432">
        <f>'B) D RI'!U65</f>
        <v>95314.520135135113</v>
      </c>
      <c r="G64" s="263">
        <f t="shared" si="1"/>
        <v>8.0993304997548758</v>
      </c>
      <c r="H64" s="55">
        <f t="shared" si="2"/>
        <v>332355.77</v>
      </c>
      <c r="I64" s="402">
        <f t="shared" si="3"/>
        <v>3.4869374522244074</v>
      </c>
    </row>
    <row r="65" spans="1:9" x14ac:dyDescent="0.25">
      <c r="A65" s="49">
        <f>'A) Base RI'!A66</f>
        <v>5496</v>
      </c>
      <c r="B65" s="492" t="str">
        <f>'A) Base RI'!B66</f>
        <v>Penthaz</v>
      </c>
      <c r="C65" s="10">
        <f>'B) D RI'!Y66</f>
        <v>427268.05</v>
      </c>
      <c r="D65" s="432">
        <f>'B) D RI'!Z66</f>
        <v>104386.05</v>
      </c>
      <c r="E65" s="10">
        <f t="shared" si="0"/>
        <v>531654.1</v>
      </c>
      <c r="F65" s="432">
        <f>'B) D RI'!U66</f>
        <v>56267.911654676267</v>
      </c>
      <c r="G65" s="263">
        <f t="shared" si="1"/>
        <v>9.4486197259786824</v>
      </c>
      <c r="H65" s="55">
        <f t="shared" si="2"/>
        <v>244949.84</v>
      </c>
      <c r="I65" s="402">
        <f t="shared" si="3"/>
        <v>4.3532776105729685</v>
      </c>
    </row>
    <row r="66" spans="1:9" x14ac:dyDescent="0.25">
      <c r="A66" s="49">
        <f>'A) Base RI'!A67</f>
        <v>5497</v>
      </c>
      <c r="B66" s="492" t="str">
        <f>'A) Base RI'!B67</f>
        <v>Pompaples</v>
      </c>
      <c r="C66" s="10">
        <f>'B) D RI'!Y67</f>
        <v>46736.6</v>
      </c>
      <c r="D66" s="432">
        <f>'B) D RI'!Z67</f>
        <v>218566.05</v>
      </c>
      <c r="E66" s="10">
        <f t="shared" si="0"/>
        <v>265302.64999999997</v>
      </c>
      <c r="F66" s="432">
        <f>'B) D RI'!U67</f>
        <v>22253.499393939397</v>
      </c>
      <c r="G66" s="263">
        <f t="shared" si="1"/>
        <v>11.921839585923889</v>
      </c>
      <c r="H66" s="55">
        <f t="shared" si="2"/>
        <v>88938.114999999991</v>
      </c>
      <c r="I66" s="402">
        <f t="shared" si="3"/>
        <v>3.9965900834554469</v>
      </c>
    </row>
    <row r="67" spans="1:9" x14ac:dyDescent="0.25">
      <c r="A67" s="49">
        <f>'A) Base RI'!A68</f>
        <v>5498</v>
      </c>
      <c r="B67" s="492" t="str">
        <f>'A) Base RI'!B68</f>
        <v>La Sarraz</v>
      </c>
      <c r="C67" s="10">
        <f>'B) D RI'!Y68</f>
        <v>250927.2</v>
      </c>
      <c r="D67" s="432">
        <f>'B) D RI'!Z68</f>
        <v>71417.3</v>
      </c>
      <c r="E67" s="10">
        <f t="shared" si="0"/>
        <v>322344.5</v>
      </c>
      <c r="F67" s="432">
        <f>'B) D RI'!U68</f>
        <v>74682.149090909108</v>
      </c>
      <c r="G67" s="263">
        <f t="shared" si="1"/>
        <v>4.3162188544897981</v>
      </c>
      <c r="H67" s="55">
        <f t="shared" si="2"/>
        <v>146888.79</v>
      </c>
      <c r="I67" s="402">
        <f t="shared" si="3"/>
        <v>1.9668527457772429</v>
      </c>
    </row>
    <row r="68" spans="1:9" x14ac:dyDescent="0.25">
      <c r="A68" s="49">
        <f>'A) Base RI'!A69</f>
        <v>5499</v>
      </c>
      <c r="B68" s="492" t="str">
        <f>'A) Base RI'!B69</f>
        <v>Senarclens</v>
      </c>
      <c r="C68" s="10">
        <f>'B) D RI'!Y69</f>
        <v>438563.05000000005</v>
      </c>
      <c r="D68" s="432">
        <f>'B) D RI'!Z69</f>
        <v>17980.25</v>
      </c>
      <c r="E68" s="10">
        <f t="shared" si="0"/>
        <v>456543.30000000005</v>
      </c>
      <c r="F68" s="432">
        <f>'B) D RI'!U69</f>
        <v>18238.904233576643</v>
      </c>
      <c r="G68" s="263">
        <f t="shared" si="1"/>
        <v>25.031289936789808</v>
      </c>
      <c r="H68" s="55">
        <f t="shared" si="2"/>
        <v>224675.60000000003</v>
      </c>
      <c r="I68" s="402">
        <f t="shared" si="3"/>
        <v>12.318481259767063</v>
      </c>
    </row>
    <row r="69" spans="1:9" x14ac:dyDescent="0.25">
      <c r="A69" s="49">
        <f>'A) Base RI'!A70</f>
        <v>5500</v>
      </c>
      <c r="B69" s="492" t="str">
        <f>'A) Base RI'!B70</f>
        <v>Sévery</v>
      </c>
      <c r="C69" s="10">
        <f>'B) D RI'!Y70</f>
        <v>108215</v>
      </c>
      <c r="D69" s="432">
        <f>'B) D RI'!Z70</f>
        <v>497.35</v>
      </c>
      <c r="E69" s="10">
        <f t="shared" si="0"/>
        <v>108712.35</v>
      </c>
      <c r="F69" s="432">
        <f>'B) D RI'!U70</f>
        <v>7230.3632420091335</v>
      </c>
      <c r="G69" s="263">
        <f t="shared" si="1"/>
        <v>15.035530907820839</v>
      </c>
      <c r="H69" s="55">
        <f t="shared" si="2"/>
        <v>54256.705000000002</v>
      </c>
      <c r="I69" s="402">
        <f t="shared" si="3"/>
        <v>7.5040081921144877</v>
      </c>
    </row>
    <row r="70" spans="1:9" x14ac:dyDescent="0.25">
      <c r="A70" s="49">
        <f>'A) Base RI'!A71</f>
        <v>5501</v>
      </c>
      <c r="B70" s="492" t="str">
        <f>'A) Base RI'!B71</f>
        <v>Sullens</v>
      </c>
      <c r="C70" s="10">
        <f>'B) D RI'!Y71</f>
        <v>-2679454.7999999998</v>
      </c>
      <c r="D70" s="432">
        <f>'B) D RI'!Z71</f>
        <v>11593.6</v>
      </c>
      <c r="E70" s="10">
        <f t="shared" ref="E70:E133" si="4">C70+D70</f>
        <v>-2667861.1999999997</v>
      </c>
      <c r="F70" s="432">
        <f>'B) D RI'!U71</f>
        <v>43195.598978102193</v>
      </c>
      <c r="G70" s="263">
        <f t="shared" ref="G70:G133" si="5">E70/F70</f>
        <v>-61.762338365824249</v>
      </c>
      <c r="H70" s="55">
        <f t="shared" ref="H70:H133" si="6">(C70*$C$5)+(D70*$D$5)</f>
        <v>-1336249.3199999998</v>
      </c>
      <c r="I70" s="402">
        <f t="shared" ref="I70:I133" si="7">H70/F70</f>
        <v>-30.934848725616821</v>
      </c>
    </row>
    <row r="71" spans="1:9" x14ac:dyDescent="0.25">
      <c r="A71" s="49">
        <f>'A) Base RI'!A72</f>
        <v>5503</v>
      </c>
      <c r="B71" s="492" t="str">
        <f>'A) Base RI'!B72</f>
        <v>Vufflens-la-Ville</v>
      </c>
      <c r="C71" s="10">
        <f>'B) D RI'!Y72</f>
        <v>323549.3</v>
      </c>
      <c r="D71" s="432">
        <f>'B) D RI'!Z72</f>
        <v>157043</v>
      </c>
      <c r="E71" s="10">
        <f t="shared" si="4"/>
        <v>480592.3</v>
      </c>
      <c r="F71" s="432">
        <f>'B) D RI'!U72</f>
        <v>79029.714875621881</v>
      </c>
      <c r="G71" s="263">
        <f t="shared" si="5"/>
        <v>6.0811594823081823</v>
      </c>
      <c r="H71" s="55">
        <f t="shared" si="6"/>
        <v>208887.55</v>
      </c>
      <c r="I71" s="402">
        <f t="shared" si="7"/>
        <v>2.64315201350214</v>
      </c>
    </row>
    <row r="72" spans="1:9" x14ac:dyDescent="0.25">
      <c r="A72" s="49">
        <f>'A) Base RI'!A73</f>
        <v>5511</v>
      </c>
      <c r="B72" s="492" t="str">
        <f>'A) Base RI'!B73</f>
        <v>Assens</v>
      </c>
      <c r="C72" s="10">
        <f>'B) D RI'!Y73</f>
        <v>870558.89999999991</v>
      </c>
      <c r="D72" s="432">
        <f>'B) D RI'!Z73</f>
        <v>33270.85</v>
      </c>
      <c r="E72" s="10">
        <f t="shared" si="4"/>
        <v>903829.74999999988</v>
      </c>
      <c r="F72" s="432">
        <f>'B) D RI'!U73</f>
        <v>47333.455142857143</v>
      </c>
      <c r="G72" s="263">
        <f t="shared" si="5"/>
        <v>19.094945578600811</v>
      </c>
      <c r="H72" s="55">
        <f t="shared" si="6"/>
        <v>445260.70499999996</v>
      </c>
      <c r="I72" s="402">
        <f t="shared" si="7"/>
        <v>9.4068920947384509</v>
      </c>
    </row>
    <row r="73" spans="1:9" x14ac:dyDescent="0.25">
      <c r="A73" s="49">
        <f>'A) Base RI'!A74</f>
        <v>5512</v>
      </c>
      <c r="B73" s="492" t="str">
        <f>'A) Base RI'!B74</f>
        <v>Bercher</v>
      </c>
      <c r="C73" s="10">
        <f>'B) D RI'!Y74</f>
        <v>401406.35</v>
      </c>
      <c r="D73" s="432">
        <f>'B) D RI'!Z74</f>
        <v>87440.85</v>
      </c>
      <c r="E73" s="10">
        <f t="shared" si="4"/>
        <v>488847.19999999995</v>
      </c>
      <c r="F73" s="432">
        <f>'B) D RI'!U74</f>
        <v>40764.12544303797</v>
      </c>
      <c r="G73" s="263">
        <f t="shared" si="5"/>
        <v>11.992093407795389</v>
      </c>
      <c r="H73" s="55">
        <f t="shared" si="6"/>
        <v>226935.43</v>
      </c>
      <c r="I73" s="402">
        <f t="shared" si="7"/>
        <v>5.5670378680663655</v>
      </c>
    </row>
    <row r="74" spans="1:9" x14ac:dyDescent="0.25">
      <c r="A74" s="49">
        <f>'A) Base RI'!A75</f>
        <v>5513</v>
      </c>
      <c r="B74" s="492" t="str">
        <f>'A) Base RI'!B75</f>
        <v>Bioley-Orjulaz</v>
      </c>
      <c r="C74" s="10">
        <f>'B) D RI'!Y75</f>
        <v>110076.55</v>
      </c>
      <c r="D74" s="432">
        <f>'B) D RI'!Z75</f>
        <v>303896.84999999998</v>
      </c>
      <c r="E74" s="10">
        <f t="shared" si="4"/>
        <v>413973.39999999997</v>
      </c>
      <c r="F74" s="432">
        <f>'B) D RI'!U75</f>
        <v>22739.022647058824</v>
      </c>
      <c r="G74" s="263">
        <f t="shared" si="5"/>
        <v>18.205417463425821</v>
      </c>
      <c r="H74" s="55">
        <f t="shared" si="6"/>
        <v>146207.32999999999</v>
      </c>
      <c r="I74" s="402">
        <f t="shared" si="7"/>
        <v>6.4297983369532004</v>
      </c>
    </row>
    <row r="75" spans="1:9" x14ac:dyDescent="0.25">
      <c r="A75" s="49">
        <f>'A) Base RI'!A76</f>
        <v>5514</v>
      </c>
      <c r="B75" s="492" t="str">
        <f>'A) Base RI'!B76</f>
        <v>Bottens</v>
      </c>
      <c r="C75" s="10">
        <f>'B) D RI'!Y76</f>
        <v>159886.1</v>
      </c>
      <c r="D75" s="432">
        <f>'B) D RI'!Z76</f>
        <v>499.65</v>
      </c>
      <c r="E75" s="10">
        <f t="shared" si="4"/>
        <v>160385.75</v>
      </c>
      <c r="F75" s="432">
        <f>'B) D RI'!U76</f>
        <v>44223.41544827586</v>
      </c>
      <c r="G75" s="263">
        <f t="shared" si="5"/>
        <v>3.6267155843625138</v>
      </c>
      <c r="H75" s="55">
        <f t="shared" si="6"/>
        <v>80092.945000000007</v>
      </c>
      <c r="I75" s="402">
        <f t="shared" si="7"/>
        <v>1.811098129534511</v>
      </c>
    </row>
    <row r="76" spans="1:9" x14ac:dyDescent="0.25">
      <c r="A76" s="49">
        <f>'A) Base RI'!A77</f>
        <v>5515</v>
      </c>
      <c r="B76" s="492" t="str">
        <f>'A) Base RI'!B77</f>
        <v>Bretigny-sur-Morrens</v>
      </c>
      <c r="C76" s="10">
        <f>'B) D RI'!Y77</f>
        <v>199228.15</v>
      </c>
      <c r="D76" s="432">
        <f>'B) D RI'!Z77</f>
        <v>9701.7999999999993</v>
      </c>
      <c r="E76" s="10">
        <f t="shared" si="4"/>
        <v>208929.94999999998</v>
      </c>
      <c r="F76" s="432">
        <f>'B) D RI'!U77</f>
        <v>32348.775256410252</v>
      </c>
      <c r="G76" s="263">
        <f t="shared" si="5"/>
        <v>6.4586664670897642</v>
      </c>
      <c r="H76" s="55">
        <f t="shared" si="6"/>
        <v>102524.61499999999</v>
      </c>
      <c r="I76" s="402">
        <f t="shared" si="7"/>
        <v>3.16935074627543</v>
      </c>
    </row>
    <row r="77" spans="1:9" x14ac:dyDescent="0.25">
      <c r="A77" s="49">
        <f>'A) Base RI'!A78</f>
        <v>5516</v>
      </c>
      <c r="B77" s="492" t="str">
        <f>'A) Base RI'!B78</f>
        <v>Cugy</v>
      </c>
      <c r="C77" s="10">
        <f>'B) D RI'!Y78</f>
        <v>570533.94999999995</v>
      </c>
      <c r="D77" s="432">
        <f>'B) D RI'!Z78</f>
        <v>98315.199999999997</v>
      </c>
      <c r="E77" s="10">
        <f t="shared" si="4"/>
        <v>668849.14999999991</v>
      </c>
      <c r="F77" s="432">
        <f>'B) D RI'!U78</f>
        <v>111604.91621794872</v>
      </c>
      <c r="G77" s="263">
        <f t="shared" si="5"/>
        <v>5.9930079486268468</v>
      </c>
      <c r="H77" s="55">
        <f t="shared" si="6"/>
        <v>314761.53499999997</v>
      </c>
      <c r="I77" s="402">
        <f t="shared" si="7"/>
        <v>2.8203196209145029</v>
      </c>
    </row>
    <row r="78" spans="1:9" x14ac:dyDescent="0.25">
      <c r="A78" s="49">
        <f>'A) Base RI'!A79</f>
        <v>5518</v>
      </c>
      <c r="B78" s="492" t="str">
        <f>'A) Base RI'!B79</f>
        <v>Echallens</v>
      </c>
      <c r="C78" s="10">
        <f>'B) D RI'!Y79</f>
        <v>950584.15</v>
      </c>
      <c r="D78" s="432">
        <f>'B) D RI'!Z79</f>
        <v>227029.45</v>
      </c>
      <c r="E78" s="10">
        <f t="shared" si="4"/>
        <v>1177613.6000000001</v>
      </c>
      <c r="F78" s="432">
        <f>'B) D RI'!U79</f>
        <v>183030.51158620688</v>
      </c>
      <c r="G78" s="263">
        <f t="shared" si="5"/>
        <v>6.4339742581408199</v>
      </c>
      <c r="H78" s="55">
        <f t="shared" si="6"/>
        <v>543400.91</v>
      </c>
      <c r="I78" s="402">
        <f t="shared" si="7"/>
        <v>2.9689088736664524</v>
      </c>
    </row>
    <row r="79" spans="1:9" x14ac:dyDescent="0.25">
      <c r="A79" s="49">
        <f>'A) Base RI'!A80</f>
        <v>5520</v>
      </c>
      <c r="B79" s="492" t="str">
        <f>'A) Base RI'!B80</f>
        <v>Essertines-sur-Yverdon</v>
      </c>
      <c r="C79" s="10">
        <f>'B) D RI'!Y80</f>
        <v>109405.95</v>
      </c>
      <c r="D79" s="432">
        <f>'B) D RI'!Z80</f>
        <v>11223.55</v>
      </c>
      <c r="E79" s="10">
        <f t="shared" si="4"/>
        <v>120629.5</v>
      </c>
      <c r="F79" s="432">
        <f>'B) D RI'!U80</f>
        <v>31696.699178082192</v>
      </c>
      <c r="G79" s="263">
        <f t="shared" si="5"/>
        <v>3.8057432833073532</v>
      </c>
      <c r="H79" s="55">
        <f t="shared" si="6"/>
        <v>58070.04</v>
      </c>
      <c r="I79" s="402">
        <f t="shared" si="7"/>
        <v>1.832053226543999</v>
      </c>
    </row>
    <row r="80" spans="1:9" x14ac:dyDescent="0.25">
      <c r="A80" s="49">
        <f>'A) Base RI'!A81</f>
        <v>5521</v>
      </c>
      <c r="B80" s="492" t="str">
        <f>'A) Base RI'!B81</f>
        <v>Etagnières</v>
      </c>
      <c r="C80" s="10">
        <f>'B) D RI'!Y81</f>
        <v>232676.25</v>
      </c>
      <c r="D80" s="432">
        <f>'B) D RI'!Z81</f>
        <v>29998</v>
      </c>
      <c r="E80" s="10">
        <f t="shared" si="4"/>
        <v>262674.25</v>
      </c>
      <c r="F80" s="432">
        <f>'B) D RI'!U81</f>
        <v>42645.35479452055</v>
      </c>
      <c r="G80" s="263">
        <f t="shared" si="5"/>
        <v>6.1595043883595659</v>
      </c>
      <c r="H80" s="55">
        <f t="shared" si="6"/>
        <v>125337.52499999999</v>
      </c>
      <c r="I80" s="402">
        <f t="shared" si="7"/>
        <v>2.9390662969957155</v>
      </c>
    </row>
    <row r="81" spans="1:9" x14ac:dyDescent="0.25">
      <c r="A81" s="49">
        <f>'A) Base RI'!A82</f>
        <v>5522</v>
      </c>
      <c r="B81" s="492" t="str">
        <f>'A) Base RI'!B82</f>
        <v>Fey</v>
      </c>
      <c r="C81" s="10">
        <f>'B) D RI'!Y82</f>
        <v>68953</v>
      </c>
      <c r="D81" s="432">
        <f>'B) D RI'!Z82</f>
        <v>26174.95</v>
      </c>
      <c r="E81" s="10">
        <f t="shared" si="4"/>
        <v>95127.95</v>
      </c>
      <c r="F81" s="432">
        <f>'B) D RI'!U82</f>
        <v>23924.3328</v>
      </c>
      <c r="G81" s="263">
        <f t="shared" si="5"/>
        <v>3.9762007490549536</v>
      </c>
      <c r="H81" s="55">
        <f t="shared" si="6"/>
        <v>42328.985000000001</v>
      </c>
      <c r="I81" s="402">
        <f t="shared" si="7"/>
        <v>1.7692859129597127</v>
      </c>
    </row>
    <row r="82" spans="1:9" x14ac:dyDescent="0.25">
      <c r="A82" s="49">
        <f>'A) Base RI'!A83</f>
        <v>5523</v>
      </c>
      <c r="B82" s="492" t="str">
        <f>'A) Base RI'!B83</f>
        <v>Froideville</v>
      </c>
      <c r="C82" s="10">
        <f>'B) D RI'!Y83</f>
        <v>826824.4</v>
      </c>
      <c r="D82" s="432">
        <f>'B) D RI'!Z83</f>
        <v>6648.85</v>
      </c>
      <c r="E82" s="10">
        <f t="shared" si="4"/>
        <v>833473.25</v>
      </c>
      <c r="F82" s="432">
        <f>'B) D RI'!U83</f>
        <v>93523.863333333327</v>
      </c>
      <c r="G82" s="263">
        <f t="shared" si="5"/>
        <v>8.9118778918421508</v>
      </c>
      <c r="H82" s="55">
        <f t="shared" si="6"/>
        <v>415406.85500000004</v>
      </c>
      <c r="I82" s="402">
        <f t="shared" si="7"/>
        <v>4.4417204357718481</v>
      </c>
    </row>
    <row r="83" spans="1:9" x14ac:dyDescent="0.25">
      <c r="A83" s="49">
        <f>'A) Base RI'!A84</f>
        <v>5527</v>
      </c>
      <c r="B83" s="492" t="str">
        <f>'A) Base RI'!B84</f>
        <v>Morrens</v>
      </c>
      <c r="C83" s="10">
        <f>'B) D RI'!Y84</f>
        <v>259172.05000000002</v>
      </c>
      <c r="D83" s="432">
        <f>'B) D RI'!Z84</f>
        <v>10850.5</v>
      </c>
      <c r="E83" s="10">
        <f t="shared" si="4"/>
        <v>270022.55000000005</v>
      </c>
      <c r="F83" s="432">
        <f>'B) D RI'!U84</f>
        <v>39310.302027027028</v>
      </c>
      <c r="G83" s="263">
        <f t="shared" si="5"/>
        <v>6.8690021718569172</v>
      </c>
      <c r="H83" s="55">
        <f t="shared" si="6"/>
        <v>132841.17500000002</v>
      </c>
      <c r="I83" s="402">
        <f t="shared" si="7"/>
        <v>3.3792967275771035</v>
      </c>
    </row>
    <row r="84" spans="1:9" x14ac:dyDescent="0.25">
      <c r="A84" s="49">
        <f>'A) Base RI'!A85</f>
        <v>5529</v>
      </c>
      <c r="B84" s="492" t="str">
        <f>'A) Base RI'!B85</f>
        <v>Oulens-sous-Echallens</v>
      </c>
      <c r="C84" s="10">
        <f>'B) D RI'!Y85</f>
        <v>285837.75</v>
      </c>
      <c r="D84" s="432">
        <f>'B) D RI'!Z85</f>
        <v>0</v>
      </c>
      <c r="E84" s="10">
        <f t="shared" si="4"/>
        <v>285837.75</v>
      </c>
      <c r="F84" s="432">
        <f>'B) D RI'!U85</f>
        <v>21162.231857142859</v>
      </c>
      <c r="G84" s="263">
        <f t="shared" si="5"/>
        <v>13.50697563137801</v>
      </c>
      <c r="H84" s="55">
        <f t="shared" si="6"/>
        <v>142918.875</v>
      </c>
      <c r="I84" s="402">
        <f t="shared" si="7"/>
        <v>6.753487815689005</v>
      </c>
    </row>
    <row r="85" spans="1:9" x14ac:dyDescent="0.25">
      <c r="A85" s="49">
        <f>'A) Base RI'!A86</f>
        <v>5530</v>
      </c>
      <c r="B85" s="492" t="str">
        <f>'A) Base RI'!B86</f>
        <v>Pailly</v>
      </c>
      <c r="C85" s="10">
        <f>'B) D RI'!Y86</f>
        <v>112616.95000000001</v>
      </c>
      <c r="D85" s="432">
        <f>'B) D RI'!Z86</f>
        <v>19384.099999999999</v>
      </c>
      <c r="E85" s="10">
        <f t="shared" si="4"/>
        <v>132001.05000000002</v>
      </c>
      <c r="F85" s="432">
        <f>'B) D RI'!U86</f>
        <v>19062.750131578941</v>
      </c>
      <c r="G85" s="263">
        <f t="shared" si="5"/>
        <v>6.9245543842769006</v>
      </c>
      <c r="H85" s="55">
        <f t="shared" si="6"/>
        <v>62123.705000000002</v>
      </c>
      <c r="I85" s="402">
        <f t="shared" si="7"/>
        <v>3.2589056967749479</v>
      </c>
    </row>
    <row r="86" spans="1:9" x14ac:dyDescent="0.25">
      <c r="A86" s="49">
        <f>'A) Base RI'!A87</f>
        <v>5531</v>
      </c>
      <c r="B86" s="492" t="str">
        <f>'A) Base RI'!B87</f>
        <v>Penthéréaz</v>
      </c>
      <c r="C86" s="10">
        <f>'B) D RI'!Y87</f>
        <v>109881.4</v>
      </c>
      <c r="D86" s="432">
        <f>'B) D RI'!Z87</f>
        <v>23410.5</v>
      </c>
      <c r="E86" s="10">
        <f t="shared" si="4"/>
        <v>133291.9</v>
      </c>
      <c r="F86" s="432">
        <f>'B) D RI'!U87</f>
        <v>14300.817432432432</v>
      </c>
      <c r="G86" s="263">
        <f t="shared" si="5"/>
        <v>9.3205790948502667</v>
      </c>
      <c r="H86" s="55">
        <f t="shared" si="6"/>
        <v>61963.85</v>
      </c>
      <c r="I86" s="402">
        <f t="shared" si="7"/>
        <v>4.3328886822562938</v>
      </c>
    </row>
    <row r="87" spans="1:9" x14ac:dyDescent="0.25">
      <c r="A87" s="49">
        <f>'A) Base RI'!A88</f>
        <v>5533</v>
      </c>
      <c r="B87" s="492" t="str">
        <f>'A) Base RI'!B88</f>
        <v>Poliez-Pittet</v>
      </c>
      <c r="C87" s="10">
        <f>'B) D RI'!Y88</f>
        <v>30268.5</v>
      </c>
      <c r="D87" s="432">
        <f>'B) D RI'!Z88</f>
        <v>4072.25</v>
      </c>
      <c r="E87" s="10">
        <f t="shared" si="4"/>
        <v>34340.75</v>
      </c>
      <c r="F87" s="432">
        <f>'B) D RI'!U88</f>
        <v>27502.031917808214</v>
      </c>
      <c r="G87" s="263">
        <f t="shared" si="5"/>
        <v>1.248662284395196</v>
      </c>
      <c r="H87" s="55">
        <f t="shared" si="6"/>
        <v>16355.924999999999</v>
      </c>
      <c r="I87" s="402">
        <f t="shared" si="7"/>
        <v>0.59471696669107388</v>
      </c>
    </row>
    <row r="88" spans="1:9" x14ac:dyDescent="0.25">
      <c r="A88" s="49">
        <f>'A) Base RI'!A89</f>
        <v>5534</v>
      </c>
      <c r="B88" s="492" t="str">
        <f>'A) Base RI'!B89</f>
        <v>Rueyres</v>
      </c>
      <c r="C88" s="10">
        <f>'B) D RI'!Y89</f>
        <v>104253.65</v>
      </c>
      <c r="D88" s="432">
        <f>'B) D RI'!Z89</f>
        <v>30156.05</v>
      </c>
      <c r="E88" s="10">
        <f t="shared" si="4"/>
        <v>134409.69999999998</v>
      </c>
      <c r="F88" s="432">
        <f>'B) D RI'!U89</f>
        <v>13106.991872146118</v>
      </c>
      <c r="G88" s="263">
        <f t="shared" si="5"/>
        <v>10.254809136308097</v>
      </c>
      <c r="H88" s="55">
        <f t="shared" si="6"/>
        <v>61173.64</v>
      </c>
      <c r="I88" s="402">
        <f t="shared" si="7"/>
        <v>4.6672524555387191</v>
      </c>
    </row>
    <row r="89" spans="1:9" x14ac:dyDescent="0.25">
      <c r="A89" s="49">
        <f>'A) Base RI'!A90</f>
        <v>5535</v>
      </c>
      <c r="B89" s="492" t="str">
        <f>'A) Base RI'!B90</f>
        <v>Saint-Barthélemy</v>
      </c>
      <c r="C89" s="10">
        <f>'B) D RI'!Y90</f>
        <v>96275.15</v>
      </c>
      <c r="D89" s="432">
        <f>'B) D RI'!Z90</f>
        <v>43807.25</v>
      </c>
      <c r="E89" s="10">
        <f t="shared" si="4"/>
        <v>140082.4</v>
      </c>
      <c r="F89" s="432">
        <f>'B) D RI'!U90</f>
        <v>25080.318533333328</v>
      </c>
      <c r="G89" s="263">
        <f t="shared" si="5"/>
        <v>5.5853517097010403</v>
      </c>
      <c r="H89" s="55">
        <f t="shared" si="6"/>
        <v>61279.75</v>
      </c>
      <c r="I89" s="402">
        <f t="shared" si="7"/>
        <v>2.4433401800122811</v>
      </c>
    </row>
    <row r="90" spans="1:9" x14ac:dyDescent="0.25">
      <c r="A90" s="49">
        <f>'A) Base RI'!A91</f>
        <v>5537</v>
      </c>
      <c r="B90" s="492" t="str">
        <f>'A) Base RI'!B91</f>
        <v>Villars-le-Terroir</v>
      </c>
      <c r="C90" s="10">
        <f>'B) D RI'!Y91</f>
        <v>113247.2</v>
      </c>
      <c r="D90" s="432">
        <f>'B) D RI'!Z91</f>
        <v>2823.5</v>
      </c>
      <c r="E90" s="10">
        <f t="shared" si="4"/>
        <v>116070.7</v>
      </c>
      <c r="F90" s="432">
        <f>'B) D RI'!U91</f>
        <v>42917.816052631584</v>
      </c>
      <c r="G90" s="263">
        <f t="shared" si="5"/>
        <v>2.7044875689307801</v>
      </c>
      <c r="H90" s="55">
        <f t="shared" si="6"/>
        <v>57470.65</v>
      </c>
      <c r="I90" s="402">
        <f t="shared" si="7"/>
        <v>1.3390860786001269</v>
      </c>
    </row>
    <row r="91" spans="1:9" x14ac:dyDescent="0.25">
      <c r="A91" s="49">
        <f>'A) Base RI'!A92</f>
        <v>5539</v>
      </c>
      <c r="B91" s="492" t="str">
        <f>'A) Base RI'!B92</f>
        <v>Vuarrens</v>
      </c>
      <c r="C91" s="10">
        <f>'B) D RI'!Y92</f>
        <v>239895.95</v>
      </c>
      <c r="D91" s="432">
        <f>'B) D RI'!Z92</f>
        <v>17971.5</v>
      </c>
      <c r="E91" s="10">
        <f t="shared" si="4"/>
        <v>257867.45</v>
      </c>
      <c r="F91" s="432">
        <f>'B) D RI'!U92</f>
        <v>34558.047482993185</v>
      </c>
      <c r="G91" s="263">
        <f t="shared" si="5"/>
        <v>7.4618639877412791</v>
      </c>
      <c r="H91" s="55">
        <f t="shared" si="6"/>
        <v>125339.425</v>
      </c>
      <c r="I91" s="402">
        <f t="shared" si="7"/>
        <v>3.6269243816995864</v>
      </c>
    </row>
    <row r="92" spans="1:9" x14ac:dyDescent="0.25">
      <c r="A92" s="49">
        <f>'A) Base RI'!A93</f>
        <v>5540</v>
      </c>
      <c r="B92" s="492" t="str">
        <f>'A) Base RI'!B93</f>
        <v>Montilliez</v>
      </c>
      <c r="C92" s="10">
        <f>'B) D RI'!Y93</f>
        <v>296815.90000000002</v>
      </c>
      <c r="D92" s="432">
        <f>'B) D RI'!Z93</f>
        <v>1152.4000000000001</v>
      </c>
      <c r="E92" s="10">
        <f t="shared" si="4"/>
        <v>297968.30000000005</v>
      </c>
      <c r="F92" s="432">
        <f>'B) D RI'!U93</f>
        <v>63315.990655172413</v>
      </c>
      <c r="G92" s="263">
        <f t="shared" si="5"/>
        <v>4.70605129789055</v>
      </c>
      <c r="H92" s="55">
        <f t="shared" si="6"/>
        <v>148753.67000000001</v>
      </c>
      <c r="I92" s="402">
        <f t="shared" si="7"/>
        <v>2.3493854942605723</v>
      </c>
    </row>
    <row r="93" spans="1:9" x14ac:dyDescent="0.25">
      <c r="A93" s="49">
        <f>'A) Base RI'!A94</f>
        <v>5541</v>
      </c>
      <c r="B93" s="492" t="str">
        <f>'A) Base RI'!B94</f>
        <v>Goumoëns</v>
      </c>
      <c r="C93" s="10">
        <f>'B) D RI'!Y94</f>
        <v>155126.29999999999</v>
      </c>
      <c r="D93" s="432">
        <f>'B) D RI'!Z94</f>
        <v>5116.2</v>
      </c>
      <c r="E93" s="10">
        <f t="shared" si="4"/>
        <v>160242.5</v>
      </c>
      <c r="F93" s="432">
        <f>'B) D RI'!U94</f>
        <v>41279.032715231784</v>
      </c>
      <c r="G93" s="263">
        <f t="shared" si="5"/>
        <v>3.8819344703508816</v>
      </c>
      <c r="H93" s="55">
        <f t="shared" si="6"/>
        <v>79098.009999999995</v>
      </c>
      <c r="I93" s="402">
        <f t="shared" si="7"/>
        <v>1.9161788636295534</v>
      </c>
    </row>
    <row r="94" spans="1:9" x14ac:dyDescent="0.25">
      <c r="A94" s="49">
        <f>'A) Base RI'!A95</f>
        <v>5551</v>
      </c>
      <c r="B94" s="492" t="str">
        <f>'A) Base RI'!B95</f>
        <v>Bonvillars</v>
      </c>
      <c r="C94" s="10">
        <f>'B) D RI'!Y95</f>
        <v>105329.05</v>
      </c>
      <c r="D94" s="432">
        <f>'B) D RI'!Z95</f>
        <v>6473</v>
      </c>
      <c r="E94" s="10">
        <f t="shared" si="4"/>
        <v>111802.05</v>
      </c>
      <c r="F94" s="432">
        <f>'B) D RI'!U95</f>
        <v>18707.412</v>
      </c>
      <c r="G94" s="263">
        <f t="shared" si="5"/>
        <v>5.9763504433429917</v>
      </c>
      <c r="H94" s="55">
        <f t="shared" si="6"/>
        <v>54606.425000000003</v>
      </c>
      <c r="I94" s="402">
        <f t="shared" si="7"/>
        <v>2.9189727045087799</v>
      </c>
    </row>
    <row r="95" spans="1:9" x14ac:dyDescent="0.25">
      <c r="A95" s="49">
        <f>'A) Base RI'!A96</f>
        <v>5552</v>
      </c>
      <c r="B95" s="492" t="str">
        <f>'A) Base RI'!B96</f>
        <v>Bullet</v>
      </c>
      <c r="C95" s="10">
        <f>'B) D RI'!Y96</f>
        <v>354637.05</v>
      </c>
      <c r="D95" s="432">
        <f>'B) D RI'!Z96</f>
        <v>78794.899999999994</v>
      </c>
      <c r="E95" s="10">
        <f t="shared" si="4"/>
        <v>433431.94999999995</v>
      </c>
      <c r="F95" s="432">
        <f>'B) D RI'!U96</f>
        <v>19599.59230769231</v>
      </c>
      <c r="G95" s="263">
        <f t="shared" si="5"/>
        <v>22.114334992054381</v>
      </c>
      <c r="H95" s="55">
        <f t="shared" si="6"/>
        <v>200956.995</v>
      </c>
      <c r="I95" s="402">
        <f t="shared" si="7"/>
        <v>10.253121179522179</v>
      </c>
    </row>
    <row r="96" spans="1:9" x14ac:dyDescent="0.25">
      <c r="A96" s="49">
        <f>'A) Base RI'!A97</f>
        <v>5553</v>
      </c>
      <c r="B96" s="492" t="str">
        <f>'A) Base RI'!B97</f>
        <v>Champagne</v>
      </c>
      <c r="C96" s="10">
        <f>'B) D RI'!Y97</f>
        <v>149602.79999999999</v>
      </c>
      <c r="D96" s="432">
        <f>'B) D RI'!Z97</f>
        <v>162665.4</v>
      </c>
      <c r="E96" s="10">
        <f t="shared" si="4"/>
        <v>312268.19999999995</v>
      </c>
      <c r="F96" s="432">
        <f>'B) D RI'!U97</f>
        <v>40087.525538461538</v>
      </c>
      <c r="G96" s="263">
        <f t="shared" si="5"/>
        <v>7.7896601450343361</v>
      </c>
      <c r="H96" s="55">
        <f t="shared" si="6"/>
        <v>123601.01999999999</v>
      </c>
      <c r="I96" s="402">
        <f t="shared" si="7"/>
        <v>3.0832788589411022</v>
      </c>
    </row>
    <row r="97" spans="1:9" x14ac:dyDescent="0.25">
      <c r="A97" s="49">
        <f>'A) Base RI'!A98</f>
        <v>5554</v>
      </c>
      <c r="B97" s="492" t="str">
        <f>'A) Base RI'!B98</f>
        <v>Concise</v>
      </c>
      <c r="C97" s="10">
        <f>'B) D RI'!Y98</f>
        <v>1337539.7</v>
      </c>
      <c r="D97" s="432">
        <f>'B) D RI'!Z98</f>
        <v>21995.5</v>
      </c>
      <c r="E97" s="10">
        <f t="shared" si="4"/>
        <v>1359535.2</v>
      </c>
      <c r="F97" s="432">
        <f>'B) D RI'!U98</f>
        <v>31501.78373333333</v>
      </c>
      <c r="G97" s="263">
        <f t="shared" si="5"/>
        <v>43.157403768264082</v>
      </c>
      <c r="H97" s="55">
        <f t="shared" si="6"/>
        <v>675368.5</v>
      </c>
      <c r="I97" s="402">
        <f t="shared" si="7"/>
        <v>21.439055823539441</v>
      </c>
    </row>
    <row r="98" spans="1:9" x14ac:dyDescent="0.25">
      <c r="A98" s="49">
        <f>'A) Base RI'!A99</f>
        <v>5555</v>
      </c>
      <c r="B98" s="492" t="str">
        <f>'A) Base RI'!B99</f>
        <v>Corcelles-près-Concise</v>
      </c>
      <c r="C98" s="10">
        <f>'B) D RI'!Y99</f>
        <v>99558.299999999988</v>
      </c>
      <c r="D98" s="432">
        <f>'B) D RI'!Z99</f>
        <v>10061.950000000001</v>
      </c>
      <c r="E98" s="10">
        <f t="shared" si="4"/>
        <v>109620.24999999999</v>
      </c>
      <c r="F98" s="432">
        <f>'B) D RI'!U99</f>
        <v>13878.246956521738</v>
      </c>
      <c r="G98" s="263">
        <f t="shared" si="5"/>
        <v>7.8987101428171851</v>
      </c>
      <c r="H98" s="55">
        <f t="shared" si="6"/>
        <v>52797.734999999993</v>
      </c>
      <c r="I98" s="402">
        <f t="shared" si="7"/>
        <v>3.804351887194874</v>
      </c>
    </row>
    <row r="99" spans="1:9" x14ac:dyDescent="0.25">
      <c r="A99" s="49">
        <f>'A) Base RI'!A100</f>
        <v>5556</v>
      </c>
      <c r="B99" s="492" t="str">
        <f>'A) Base RI'!B100</f>
        <v>Fiez</v>
      </c>
      <c r="C99" s="10">
        <f>'B) D RI'!Y100</f>
        <v>57836.75</v>
      </c>
      <c r="D99" s="432">
        <f>'B) D RI'!Z100</f>
        <v>0</v>
      </c>
      <c r="E99" s="10">
        <f t="shared" si="4"/>
        <v>57836.75</v>
      </c>
      <c r="F99" s="432">
        <f>'B) D RI'!U100</f>
        <v>14577.66780193237</v>
      </c>
      <c r="G99" s="263">
        <f t="shared" si="5"/>
        <v>3.9674899157966368</v>
      </c>
      <c r="H99" s="55">
        <f t="shared" si="6"/>
        <v>28918.375</v>
      </c>
      <c r="I99" s="402">
        <f t="shared" si="7"/>
        <v>1.9837449578983184</v>
      </c>
    </row>
    <row r="100" spans="1:9" x14ac:dyDescent="0.25">
      <c r="A100" s="49">
        <f>'A) Base RI'!A101</f>
        <v>5557</v>
      </c>
      <c r="B100" s="492" t="str">
        <f>'A) Base RI'!B101</f>
        <v>Fontaines-sur-Grandson</v>
      </c>
      <c r="C100" s="10">
        <f>'B) D RI'!Y101</f>
        <v>13262.8</v>
      </c>
      <c r="D100" s="432">
        <f>'B) D RI'!Z101</f>
        <v>0</v>
      </c>
      <c r="E100" s="10">
        <f t="shared" si="4"/>
        <v>13262.8</v>
      </c>
      <c r="F100" s="432">
        <f>'B) D RI'!U101</f>
        <v>4232.7450724637674</v>
      </c>
      <c r="G100" s="263">
        <f t="shared" si="5"/>
        <v>3.1333802940983824</v>
      </c>
      <c r="H100" s="55">
        <f t="shared" si="6"/>
        <v>6631.4</v>
      </c>
      <c r="I100" s="402">
        <f t="shared" si="7"/>
        <v>1.5666901470491912</v>
      </c>
    </row>
    <row r="101" spans="1:9" x14ac:dyDescent="0.25">
      <c r="A101" s="49">
        <f>'A) Base RI'!A102</f>
        <v>5559</v>
      </c>
      <c r="B101" s="492" t="str">
        <f>'A) Base RI'!B102</f>
        <v>Giez</v>
      </c>
      <c r="C101" s="10">
        <f>'B) D RI'!Y102</f>
        <v>182541.95</v>
      </c>
      <c r="D101" s="432">
        <f>'B) D RI'!Z102</f>
        <v>10451.549999999999</v>
      </c>
      <c r="E101" s="10">
        <f t="shared" si="4"/>
        <v>192993.5</v>
      </c>
      <c r="F101" s="432">
        <f>'B) D RI'!U102</f>
        <v>23436.990303030303</v>
      </c>
      <c r="G101" s="263">
        <f t="shared" si="5"/>
        <v>8.234568411074811</v>
      </c>
      <c r="H101" s="55">
        <f t="shared" si="6"/>
        <v>94406.44</v>
      </c>
      <c r="I101" s="402">
        <f t="shared" si="7"/>
        <v>4.0280957059487985</v>
      </c>
    </row>
    <row r="102" spans="1:9" x14ac:dyDescent="0.25">
      <c r="A102" s="49">
        <f>'A) Base RI'!A103</f>
        <v>5560</v>
      </c>
      <c r="B102" s="492" t="str">
        <f>'A) Base RI'!B103</f>
        <v>Grandevent</v>
      </c>
      <c r="C102" s="10">
        <f>'B) D RI'!Y103</f>
        <v>87712.200000000012</v>
      </c>
      <c r="D102" s="432">
        <f>'B) D RI'!Z103</f>
        <v>0</v>
      </c>
      <c r="E102" s="10">
        <f t="shared" si="4"/>
        <v>87712.200000000012</v>
      </c>
      <c r="F102" s="432">
        <f>'B) D RI'!U103</f>
        <v>7003.7466176470589</v>
      </c>
      <c r="G102" s="263">
        <f t="shared" si="5"/>
        <v>12.523611259578567</v>
      </c>
      <c r="H102" s="55">
        <f t="shared" si="6"/>
        <v>43856.100000000006</v>
      </c>
      <c r="I102" s="402">
        <f t="shared" si="7"/>
        <v>6.2618056297892837</v>
      </c>
    </row>
    <row r="103" spans="1:9" x14ac:dyDescent="0.25">
      <c r="A103" s="49">
        <f>'A) Base RI'!A104</f>
        <v>5561</v>
      </c>
      <c r="B103" s="492" t="str">
        <f>'A) Base RI'!B104</f>
        <v>Grandson</v>
      </c>
      <c r="C103" s="10">
        <f>'B) D RI'!Y104</f>
        <v>1049030.75</v>
      </c>
      <c r="D103" s="432">
        <f>'B) D RI'!Z104</f>
        <v>378118.75</v>
      </c>
      <c r="E103" s="10">
        <f t="shared" si="4"/>
        <v>1427149.5</v>
      </c>
      <c r="F103" s="432">
        <f>'B) D RI'!U104</f>
        <v>114506.05043478261</v>
      </c>
      <c r="G103" s="263">
        <f t="shared" si="5"/>
        <v>12.463529172310759</v>
      </c>
      <c r="H103" s="55">
        <f t="shared" si="6"/>
        <v>637951</v>
      </c>
      <c r="I103" s="402">
        <f t="shared" si="7"/>
        <v>5.5713300526713008</v>
      </c>
    </row>
    <row r="104" spans="1:9" x14ac:dyDescent="0.25">
      <c r="A104" s="49">
        <f>'A) Base RI'!A105</f>
        <v>5562</v>
      </c>
      <c r="B104" s="492" t="str">
        <f>'A) Base RI'!B105</f>
        <v>Mauborget</v>
      </c>
      <c r="C104" s="10">
        <f>'B) D RI'!Y105</f>
        <v>43860.15</v>
      </c>
      <c r="D104" s="432">
        <f>'B) D RI'!Z105</f>
        <v>278.8</v>
      </c>
      <c r="E104" s="10">
        <f t="shared" si="4"/>
        <v>44138.950000000004</v>
      </c>
      <c r="F104" s="432">
        <f>'B) D RI'!U105</f>
        <v>6099.4916904761894</v>
      </c>
      <c r="G104" s="263">
        <f t="shared" si="5"/>
        <v>7.2364964557487674</v>
      </c>
      <c r="H104" s="55">
        <f t="shared" si="6"/>
        <v>22013.715</v>
      </c>
      <c r="I104" s="402">
        <f t="shared" si="7"/>
        <v>3.6091064824913928</v>
      </c>
    </row>
    <row r="105" spans="1:9" x14ac:dyDescent="0.25">
      <c r="A105" s="49">
        <f>'A) Base RI'!A106</f>
        <v>5563</v>
      </c>
      <c r="B105" s="492" t="str">
        <f>'A) Base RI'!B106</f>
        <v>Mutrux</v>
      </c>
      <c r="C105" s="10">
        <f>'B) D RI'!Y106</f>
        <v>78919.850000000006</v>
      </c>
      <c r="D105" s="432">
        <f>'B) D RI'!Z106</f>
        <v>0</v>
      </c>
      <c r="E105" s="10">
        <f t="shared" si="4"/>
        <v>78919.850000000006</v>
      </c>
      <c r="F105" s="432">
        <f>'B) D RI'!U106</f>
        <v>4282.2314999999999</v>
      </c>
      <c r="G105" s="263">
        <f t="shared" si="5"/>
        <v>18.429608488004444</v>
      </c>
      <c r="H105" s="55">
        <f t="shared" si="6"/>
        <v>39459.925000000003</v>
      </c>
      <c r="I105" s="402">
        <f t="shared" si="7"/>
        <v>9.214804244002222</v>
      </c>
    </row>
    <row r="106" spans="1:9" x14ac:dyDescent="0.25">
      <c r="A106" s="49">
        <f>'A) Base RI'!A107</f>
        <v>5564</v>
      </c>
      <c r="B106" s="492" t="str">
        <f>'A) Base RI'!B107</f>
        <v>Novalles</v>
      </c>
      <c r="C106" s="10">
        <f>'B) D RI'!Y107</f>
        <v>3651.55</v>
      </c>
      <c r="D106" s="432">
        <f>'B) D RI'!Z107</f>
        <v>0</v>
      </c>
      <c r="E106" s="10">
        <f t="shared" si="4"/>
        <v>3651.55</v>
      </c>
      <c r="F106" s="432">
        <f>'B) D RI'!U107</f>
        <v>2099.5480592105264</v>
      </c>
      <c r="G106" s="263">
        <f t="shared" si="5"/>
        <v>1.7392076280326056</v>
      </c>
      <c r="H106" s="55">
        <f t="shared" si="6"/>
        <v>1825.7750000000001</v>
      </c>
      <c r="I106" s="402">
        <f t="shared" si="7"/>
        <v>0.86960381401630282</v>
      </c>
    </row>
    <row r="107" spans="1:9" x14ac:dyDescent="0.25">
      <c r="A107" s="49">
        <f>'A) Base RI'!A108</f>
        <v>5565</v>
      </c>
      <c r="B107" s="492" t="str">
        <f>'A) Base RI'!B108</f>
        <v>Onnens</v>
      </c>
      <c r="C107" s="10">
        <f>'B) D RI'!Y108</f>
        <v>75124.649999999994</v>
      </c>
      <c r="D107" s="432">
        <f>'B) D RI'!Z108</f>
        <v>63286.3</v>
      </c>
      <c r="E107" s="10">
        <f t="shared" si="4"/>
        <v>138410.95000000001</v>
      </c>
      <c r="F107" s="432">
        <f>'B) D RI'!U108</f>
        <v>22703.427716535429</v>
      </c>
      <c r="G107" s="263">
        <f t="shared" si="5"/>
        <v>6.0964781057792488</v>
      </c>
      <c r="H107" s="55">
        <f t="shared" si="6"/>
        <v>56548.214999999997</v>
      </c>
      <c r="I107" s="402">
        <f t="shared" si="7"/>
        <v>2.4907346901989884</v>
      </c>
    </row>
    <row r="108" spans="1:9" x14ac:dyDescent="0.25">
      <c r="A108" s="49">
        <f>'A) Base RI'!A109</f>
        <v>5566</v>
      </c>
      <c r="B108" s="492" t="str">
        <f>'A) Base RI'!B109</f>
        <v>Provence</v>
      </c>
      <c r="C108" s="10">
        <f>'B) D RI'!Y109</f>
        <v>50750.7</v>
      </c>
      <c r="D108" s="432">
        <f>'B) D RI'!Z109</f>
        <v>7185.35</v>
      </c>
      <c r="E108" s="10">
        <f t="shared" si="4"/>
        <v>57936.049999999996</v>
      </c>
      <c r="F108" s="432">
        <f>'B) D RI'!U109</f>
        <v>9377.8413580246925</v>
      </c>
      <c r="G108" s="263">
        <f t="shared" si="5"/>
        <v>6.1779729244858324</v>
      </c>
      <c r="H108" s="55">
        <f t="shared" si="6"/>
        <v>27530.954999999998</v>
      </c>
      <c r="I108" s="402">
        <f t="shared" si="7"/>
        <v>2.9357454395879223</v>
      </c>
    </row>
    <row r="109" spans="1:9" x14ac:dyDescent="0.25">
      <c r="A109" s="49">
        <f>'A) Base RI'!A110</f>
        <v>5568</v>
      </c>
      <c r="B109" s="492" t="str">
        <f>'A) Base RI'!B110</f>
        <v>Sainte-Croix</v>
      </c>
      <c r="C109" s="10">
        <f>'B) D RI'!Y110</f>
        <v>1270379.7999999998</v>
      </c>
      <c r="D109" s="432">
        <f>'B) D RI'!Z110</f>
        <v>2053229.95</v>
      </c>
      <c r="E109" s="10">
        <f t="shared" si="4"/>
        <v>3323609.75</v>
      </c>
      <c r="F109" s="432">
        <f>'B) D RI'!U110</f>
        <v>109171.87199999999</v>
      </c>
      <c r="G109" s="263">
        <f t="shared" si="5"/>
        <v>30.443828516561485</v>
      </c>
      <c r="H109" s="55">
        <f t="shared" si="6"/>
        <v>1251158.8849999998</v>
      </c>
      <c r="I109" s="402">
        <f t="shared" si="7"/>
        <v>11.460450957550677</v>
      </c>
    </row>
    <row r="110" spans="1:9" x14ac:dyDescent="0.25">
      <c r="A110" s="49">
        <f>'A) Base RI'!A111</f>
        <v>5571</v>
      </c>
      <c r="B110" s="492" t="str">
        <f>'A) Base RI'!B111</f>
        <v>Tévenon</v>
      </c>
      <c r="C110" s="10">
        <f>'B) D RI'!Y111</f>
        <v>211663.5</v>
      </c>
      <c r="D110" s="432">
        <f>'B) D RI'!Z111</f>
        <v>51246.7</v>
      </c>
      <c r="E110" s="10">
        <f t="shared" si="4"/>
        <v>262910.2</v>
      </c>
      <c r="F110" s="432">
        <f>'B) D RI'!U111</f>
        <v>25325.239790209791</v>
      </c>
      <c r="G110" s="263">
        <f t="shared" si="5"/>
        <v>10.381350864904174</v>
      </c>
      <c r="H110" s="55">
        <f t="shared" si="6"/>
        <v>121205.75999999999</v>
      </c>
      <c r="I110" s="402">
        <f t="shared" si="7"/>
        <v>4.785966924856349</v>
      </c>
    </row>
    <row r="111" spans="1:9" x14ac:dyDescent="0.25">
      <c r="A111" s="49">
        <f>'A) Base RI'!A112</f>
        <v>5581</v>
      </c>
      <c r="B111" s="492" t="str">
        <f>'A) Base RI'!B112</f>
        <v>Belmont-sur-Lausanne</v>
      </c>
      <c r="C111" s="10">
        <f>'B) D RI'!Y112</f>
        <v>1607027.65</v>
      </c>
      <c r="D111" s="432">
        <f>'B) D RI'!Z112</f>
        <v>9474.2999999999993</v>
      </c>
      <c r="E111" s="10">
        <f t="shared" si="4"/>
        <v>1616501.95</v>
      </c>
      <c r="F111" s="432">
        <f>'B) D RI'!U112</f>
        <v>215435.94296296299</v>
      </c>
      <c r="G111" s="263">
        <f t="shared" si="5"/>
        <v>7.5033995152698516</v>
      </c>
      <c r="H111" s="55">
        <f t="shared" si="6"/>
        <v>806356.11499999999</v>
      </c>
      <c r="I111" s="402">
        <f t="shared" si="7"/>
        <v>3.7429042893674711</v>
      </c>
    </row>
    <row r="112" spans="1:9" x14ac:dyDescent="0.25">
      <c r="A112" s="49">
        <f>'A) Base RI'!A113</f>
        <v>5582</v>
      </c>
      <c r="B112" s="492" t="str">
        <f>'A) Base RI'!B113</f>
        <v>Cheseaux-sur-Lausanne</v>
      </c>
      <c r="C112" s="10">
        <f>'B) D RI'!Y113</f>
        <v>1782041.35</v>
      </c>
      <c r="D112" s="432">
        <f>'B) D RI'!Z113</f>
        <v>449844.65</v>
      </c>
      <c r="E112" s="10">
        <f t="shared" si="4"/>
        <v>2231886</v>
      </c>
      <c r="F112" s="432">
        <f>'B) D RI'!U113</f>
        <v>167506.84698630136</v>
      </c>
      <c r="G112" s="263">
        <f t="shared" si="5"/>
        <v>13.324147879056685</v>
      </c>
      <c r="H112" s="55">
        <f t="shared" si="6"/>
        <v>1025974.0700000001</v>
      </c>
      <c r="I112" s="402">
        <f t="shared" si="7"/>
        <v>6.1249679547959239</v>
      </c>
    </row>
    <row r="113" spans="1:9" x14ac:dyDescent="0.25">
      <c r="A113" s="49">
        <f>'A) Base RI'!A114</f>
        <v>5583</v>
      </c>
      <c r="B113" s="492" t="str">
        <f>'A) Base RI'!B114</f>
        <v>Crissier</v>
      </c>
      <c r="C113" s="10">
        <f>'B) D RI'!Y114</f>
        <v>2911979.9000000004</v>
      </c>
      <c r="D113" s="432">
        <f>'B) D RI'!Z114</f>
        <v>2173154.15</v>
      </c>
      <c r="E113" s="10">
        <f t="shared" si="4"/>
        <v>5085134.0500000007</v>
      </c>
      <c r="F113" s="432">
        <f>'B) D RI'!U114</f>
        <v>337550.36173228343</v>
      </c>
      <c r="G113" s="263">
        <f t="shared" si="5"/>
        <v>15.064815880816925</v>
      </c>
      <c r="H113" s="55">
        <f t="shared" si="6"/>
        <v>2107936.1950000003</v>
      </c>
      <c r="I113" s="402">
        <f t="shared" si="7"/>
        <v>6.2448050245961166</v>
      </c>
    </row>
    <row r="114" spans="1:9" x14ac:dyDescent="0.25">
      <c r="A114" s="49">
        <f>'A) Base RI'!A115</f>
        <v>5584</v>
      </c>
      <c r="B114" s="492" t="str">
        <f>'A) Base RI'!B115</f>
        <v>Epalinges</v>
      </c>
      <c r="C114" s="10">
        <f>'B) D RI'!Y115</f>
        <v>3582581.05</v>
      </c>
      <c r="D114" s="432">
        <f>'B) D RI'!Z115</f>
        <v>293562.8</v>
      </c>
      <c r="E114" s="10">
        <f t="shared" si="4"/>
        <v>3876143.8499999996</v>
      </c>
      <c r="F114" s="432">
        <f>'B) D RI'!U115</f>
        <v>516766.84201550385</v>
      </c>
      <c r="G114" s="263">
        <f t="shared" si="5"/>
        <v>7.5007595976595356</v>
      </c>
      <c r="H114" s="55">
        <f t="shared" si="6"/>
        <v>1879359.365</v>
      </c>
      <c r="I114" s="402">
        <f t="shared" si="7"/>
        <v>3.6367646145214869</v>
      </c>
    </row>
    <row r="115" spans="1:9" x14ac:dyDescent="0.25">
      <c r="A115" s="49">
        <f>'A) Base RI'!A116</f>
        <v>5585</v>
      </c>
      <c r="B115" s="492" t="str">
        <f>'A) Base RI'!B116</f>
        <v>Jouxtens-Mézery</v>
      </c>
      <c r="C115" s="10">
        <f>'B) D RI'!Y116</f>
        <v>884837.95</v>
      </c>
      <c r="D115" s="432">
        <f>'B) D RI'!Z116</f>
        <v>1366.85</v>
      </c>
      <c r="E115" s="10">
        <f t="shared" si="4"/>
        <v>886204.79999999993</v>
      </c>
      <c r="F115" s="432">
        <f>'B) D RI'!U116</f>
        <v>191744.87050847456</v>
      </c>
      <c r="G115" s="263">
        <f t="shared" si="5"/>
        <v>4.6217914338461128</v>
      </c>
      <c r="H115" s="55">
        <f t="shared" si="6"/>
        <v>442829.02999999997</v>
      </c>
      <c r="I115" s="402">
        <f t="shared" si="7"/>
        <v>2.3094700203749556</v>
      </c>
    </row>
    <row r="116" spans="1:9" x14ac:dyDescent="0.25">
      <c r="A116" s="49">
        <f>'A) Base RI'!A117</f>
        <v>5586</v>
      </c>
      <c r="B116" s="492" t="str">
        <f>'A) Base RI'!B117</f>
        <v>Lausanne</v>
      </c>
      <c r="C116" s="10">
        <f>'B) D RI'!Y117</f>
        <v>48303665.300000004</v>
      </c>
      <c r="D116" s="432">
        <f>'B) D RI'!Z117</f>
        <v>13203708.65</v>
      </c>
      <c r="E116" s="10">
        <f t="shared" si="4"/>
        <v>61507373.950000003</v>
      </c>
      <c r="F116" s="432">
        <f>'B) D RI'!U117</f>
        <v>6461491.7137154993</v>
      </c>
      <c r="G116" s="263">
        <f t="shared" si="5"/>
        <v>9.5190672177821174</v>
      </c>
      <c r="H116" s="55">
        <f t="shared" si="6"/>
        <v>28112945.245000001</v>
      </c>
      <c r="I116" s="402">
        <f t="shared" si="7"/>
        <v>4.3508444319948589</v>
      </c>
    </row>
    <row r="117" spans="1:9" x14ac:dyDescent="0.25">
      <c r="A117" s="49">
        <f>'A) Base RI'!A118</f>
        <v>5587</v>
      </c>
      <c r="B117" s="492" t="str">
        <f>'A) Base RI'!B118</f>
        <v>Le Mont-sur-Lausanne</v>
      </c>
      <c r="C117" s="10">
        <f>'B) D RI'!Y118</f>
        <v>4931898.25</v>
      </c>
      <c r="D117" s="432">
        <f>'B) D RI'!Z118</f>
        <v>766350.2</v>
      </c>
      <c r="E117" s="10">
        <f t="shared" si="4"/>
        <v>5698248.4500000002</v>
      </c>
      <c r="F117" s="432">
        <f>'B) D RI'!U118</f>
        <v>495058.05378684809</v>
      </c>
      <c r="G117" s="263">
        <f t="shared" si="5"/>
        <v>11.510263102301604</v>
      </c>
      <c r="H117" s="55">
        <f t="shared" si="6"/>
        <v>2695854.1850000001</v>
      </c>
      <c r="I117" s="402">
        <f t="shared" si="7"/>
        <v>5.4455314167269879</v>
      </c>
    </row>
    <row r="118" spans="1:9" x14ac:dyDescent="0.25">
      <c r="A118" s="49">
        <f>'A) Base RI'!A119</f>
        <v>5588</v>
      </c>
      <c r="B118" s="492" t="str">
        <f>'A) Base RI'!B119</f>
        <v>Paudex</v>
      </c>
      <c r="C118" s="10">
        <f>'B) D RI'!Y119</f>
        <v>374922.19999999995</v>
      </c>
      <c r="D118" s="432">
        <f>'B) D RI'!Z119</f>
        <v>24260.799999999999</v>
      </c>
      <c r="E118" s="10">
        <f t="shared" si="4"/>
        <v>399182.99999999994</v>
      </c>
      <c r="F118" s="432">
        <f>'B) D RI'!U119</f>
        <v>215756.29785177234</v>
      </c>
      <c r="G118" s="263">
        <f t="shared" si="5"/>
        <v>1.8501568852198436</v>
      </c>
      <c r="H118" s="55">
        <f t="shared" si="6"/>
        <v>194739.33999999997</v>
      </c>
      <c r="I118" s="402">
        <f t="shared" si="7"/>
        <v>0.90258936558963709</v>
      </c>
    </row>
    <row r="119" spans="1:9" x14ac:dyDescent="0.25">
      <c r="A119" s="49">
        <f>'A) Base RI'!A120</f>
        <v>5589</v>
      </c>
      <c r="B119" s="492" t="str">
        <f>'A) Base RI'!B120</f>
        <v>Prilly</v>
      </c>
      <c r="C119" s="10">
        <f>'B) D RI'!Y120</f>
        <v>2539424.9000000004</v>
      </c>
      <c r="D119" s="432">
        <f>'B) D RI'!Z120</f>
        <v>1267619.8999999999</v>
      </c>
      <c r="E119" s="10">
        <f t="shared" si="4"/>
        <v>3807044.8000000003</v>
      </c>
      <c r="F119" s="432">
        <f>'B) D RI'!U120</f>
        <v>419549.81642440322</v>
      </c>
      <c r="G119" s="263">
        <f t="shared" si="5"/>
        <v>9.0741186170581347</v>
      </c>
      <c r="H119" s="55">
        <f t="shared" si="6"/>
        <v>1649998.4200000002</v>
      </c>
      <c r="I119" s="402">
        <f t="shared" si="7"/>
        <v>3.9327830817852494</v>
      </c>
    </row>
    <row r="120" spans="1:9" x14ac:dyDescent="0.25">
      <c r="A120" s="49">
        <f>'A) Base RI'!A121</f>
        <v>5590</v>
      </c>
      <c r="B120" s="492" t="str">
        <f>'A) Base RI'!B121</f>
        <v>Pully</v>
      </c>
      <c r="C120" s="10">
        <f>'B) D RI'!Y121</f>
        <v>9519537.1500000004</v>
      </c>
      <c r="D120" s="432">
        <f>'B) D RI'!Z121</f>
        <v>176020.55</v>
      </c>
      <c r="E120" s="10">
        <f t="shared" si="4"/>
        <v>9695557.7000000011</v>
      </c>
      <c r="F120" s="432">
        <f>'B) D RI'!U121</f>
        <v>1603030.9692740045</v>
      </c>
      <c r="G120" s="263">
        <f t="shared" si="5"/>
        <v>6.0482659947555568</v>
      </c>
      <c r="H120" s="55">
        <f t="shared" si="6"/>
        <v>4812574.74</v>
      </c>
      <c r="I120" s="402">
        <f t="shared" si="7"/>
        <v>3.0021720305126505</v>
      </c>
    </row>
    <row r="121" spans="1:9" x14ac:dyDescent="0.25">
      <c r="A121" s="49">
        <f>'A) Base RI'!A122</f>
        <v>5591</v>
      </c>
      <c r="B121" s="492" t="str">
        <f>'A) Base RI'!B122</f>
        <v>Renens</v>
      </c>
      <c r="C121" s="10">
        <f>'B) D RI'!Y122</f>
        <v>4932802.0999999996</v>
      </c>
      <c r="D121" s="432">
        <f>'B) D RI'!Z122</f>
        <v>2185480.2999999998</v>
      </c>
      <c r="E121" s="10">
        <f t="shared" si="4"/>
        <v>7118282.3999999994</v>
      </c>
      <c r="F121" s="432">
        <f>'B) D RI'!U122</f>
        <v>569784.47115027823</v>
      </c>
      <c r="G121" s="263">
        <f t="shared" si="5"/>
        <v>12.492938576633449</v>
      </c>
      <c r="H121" s="55">
        <f t="shared" si="6"/>
        <v>3122045.1399999997</v>
      </c>
      <c r="I121" s="402">
        <f t="shared" si="7"/>
        <v>5.4793440293260884</v>
      </c>
    </row>
    <row r="122" spans="1:9" x14ac:dyDescent="0.25">
      <c r="A122" s="49">
        <f>'A) Base RI'!A123</f>
        <v>5592</v>
      </c>
      <c r="B122" s="492" t="str">
        <f>'A) Base RI'!B123</f>
        <v>Romanel-sur-Lausanne</v>
      </c>
      <c r="C122" s="10">
        <f>'B) D RI'!Y123</f>
        <v>1588316.4</v>
      </c>
      <c r="D122" s="432">
        <f>'B) D RI'!Z123</f>
        <v>243903.85</v>
      </c>
      <c r="E122" s="10">
        <f t="shared" si="4"/>
        <v>1832220.25</v>
      </c>
      <c r="F122" s="432">
        <f>'B) D RI'!U123</f>
        <v>121086.56368794327</v>
      </c>
      <c r="G122" s="263">
        <f t="shared" si="5"/>
        <v>15.131491011024837</v>
      </c>
      <c r="H122" s="55">
        <f t="shared" si="6"/>
        <v>867329.35499999998</v>
      </c>
      <c r="I122" s="402">
        <f t="shared" si="7"/>
        <v>7.1628868520476559</v>
      </c>
    </row>
    <row r="123" spans="1:9" x14ac:dyDescent="0.25">
      <c r="A123" s="49">
        <f>'A) Base RI'!A124</f>
        <v>5601</v>
      </c>
      <c r="B123" s="492" t="str">
        <f>'A) Base RI'!B124</f>
        <v>Chexbres</v>
      </c>
      <c r="C123" s="10">
        <f>'B) D RI'!Y124</f>
        <v>534061.6</v>
      </c>
      <c r="D123" s="432">
        <f>'B) D RI'!Z124</f>
        <v>52235.25</v>
      </c>
      <c r="E123" s="10">
        <f t="shared" si="4"/>
        <v>586296.85</v>
      </c>
      <c r="F123" s="432">
        <f>'B) D RI'!U124</f>
        <v>105973.06044444445</v>
      </c>
      <c r="G123" s="263">
        <f t="shared" si="5"/>
        <v>5.5325084275296694</v>
      </c>
      <c r="H123" s="55">
        <f t="shared" si="6"/>
        <v>282701.375</v>
      </c>
      <c r="I123" s="402">
        <f t="shared" si="7"/>
        <v>2.6676720839651886</v>
      </c>
    </row>
    <row r="124" spans="1:9" x14ac:dyDescent="0.25">
      <c r="A124" s="49">
        <f>'A) Base RI'!A125</f>
        <v>5604</v>
      </c>
      <c r="B124" s="492" t="str">
        <f>'A) Base RI'!B125</f>
        <v>Forel (Lavaux)</v>
      </c>
      <c r="C124" s="10">
        <f>'B) D RI'!Y125</f>
        <v>382904</v>
      </c>
      <c r="D124" s="432">
        <f>'B) D RI'!Z125</f>
        <v>112458.65</v>
      </c>
      <c r="E124" s="10">
        <f t="shared" si="4"/>
        <v>495362.65</v>
      </c>
      <c r="F124" s="432">
        <f>'B) D RI'!U125</f>
        <v>75818.919130434777</v>
      </c>
      <c r="G124" s="263">
        <f t="shared" si="5"/>
        <v>6.5334965953260937</v>
      </c>
      <c r="H124" s="55">
        <f t="shared" si="6"/>
        <v>225189.595</v>
      </c>
      <c r="I124" s="402">
        <f t="shared" si="7"/>
        <v>2.9700976693244066</v>
      </c>
    </row>
    <row r="125" spans="1:9" x14ac:dyDescent="0.25">
      <c r="A125" s="49">
        <f>'A) Base RI'!A126</f>
        <v>5606</v>
      </c>
      <c r="B125" s="492" t="str">
        <f>'A) Base RI'!B126</f>
        <v>Lutry</v>
      </c>
      <c r="C125" s="10">
        <f>'B) D RI'!Y126</f>
        <v>11977064.85</v>
      </c>
      <c r="D125" s="432">
        <f>'B) D RI'!Z126</f>
        <v>86204.6</v>
      </c>
      <c r="E125" s="10">
        <f t="shared" si="4"/>
        <v>12063269.449999999</v>
      </c>
      <c r="F125" s="432">
        <f>'B) D RI'!U126</f>
        <v>941137.19529100519</v>
      </c>
      <c r="G125" s="263">
        <f t="shared" si="5"/>
        <v>12.817758675736926</v>
      </c>
      <c r="H125" s="55">
        <f t="shared" si="6"/>
        <v>6014393.8049999997</v>
      </c>
      <c r="I125" s="402">
        <f t="shared" si="7"/>
        <v>6.3905600959064355</v>
      </c>
    </row>
    <row r="126" spans="1:9" x14ac:dyDescent="0.25">
      <c r="A126" s="49">
        <f>'A) Base RI'!A127</f>
        <v>5607</v>
      </c>
      <c r="B126" s="492" t="str">
        <f>'A) Base RI'!B127</f>
        <v>Puidoux</v>
      </c>
      <c r="C126" s="10">
        <f>'B) D RI'!Y127</f>
        <v>915371.9</v>
      </c>
      <c r="D126" s="432">
        <f>'B) D RI'!Z127</f>
        <v>335399.25</v>
      </c>
      <c r="E126" s="10">
        <f t="shared" si="4"/>
        <v>1250771.1499999999</v>
      </c>
      <c r="F126" s="432">
        <f>'B) D RI'!U127</f>
        <v>111580.38136464616</v>
      </c>
      <c r="G126" s="263">
        <f t="shared" si="5"/>
        <v>11.209597374582035</v>
      </c>
      <c r="H126" s="55">
        <f t="shared" si="6"/>
        <v>558305.72499999998</v>
      </c>
      <c r="I126" s="402">
        <f t="shared" si="7"/>
        <v>5.0036190786572909</v>
      </c>
    </row>
    <row r="127" spans="1:9" x14ac:dyDescent="0.25">
      <c r="A127" s="49">
        <f>'A) Base RI'!A128</f>
        <v>5609</v>
      </c>
      <c r="B127" s="492" t="str">
        <f>'A) Base RI'!B128</f>
        <v>Rivaz</v>
      </c>
      <c r="C127" s="10">
        <f>'B) D RI'!Y128</f>
        <v>38049.9</v>
      </c>
      <c r="D127" s="432">
        <f>'B) D RI'!Z128</f>
        <v>0</v>
      </c>
      <c r="E127" s="10">
        <f t="shared" si="4"/>
        <v>38049.9</v>
      </c>
      <c r="F127" s="432">
        <f>'B) D RI'!U128</f>
        <v>14896.510161290325</v>
      </c>
      <c r="G127" s="263">
        <f t="shared" si="5"/>
        <v>2.5542828211452813</v>
      </c>
      <c r="H127" s="55">
        <f t="shared" si="6"/>
        <v>19024.95</v>
      </c>
      <c r="I127" s="402">
        <f t="shared" si="7"/>
        <v>1.2771414105726406</v>
      </c>
    </row>
    <row r="128" spans="1:9" x14ac:dyDescent="0.25">
      <c r="A128" s="49">
        <f>'A) Base RI'!A129</f>
        <v>5610</v>
      </c>
      <c r="B128" s="492" t="str">
        <f>'A) Base RI'!B129</f>
        <v>St-Saphorin (Lavaux)</v>
      </c>
      <c r="C128" s="10">
        <f>'B) D RI'!Y129</f>
        <v>579644.80000000005</v>
      </c>
      <c r="D128" s="432">
        <f>'B) D RI'!Z129</f>
        <v>0</v>
      </c>
      <c r="E128" s="10">
        <f t="shared" si="4"/>
        <v>579644.80000000005</v>
      </c>
      <c r="F128" s="432">
        <f>'B) D RI'!U129</f>
        <v>23448.462152777778</v>
      </c>
      <c r="G128" s="263">
        <f t="shared" si="5"/>
        <v>24.719949488514047</v>
      </c>
      <c r="H128" s="55">
        <f t="shared" si="6"/>
        <v>289822.40000000002</v>
      </c>
      <c r="I128" s="402">
        <f t="shared" si="7"/>
        <v>12.359974744257023</v>
      </c>
    </row>
    <row r="129" spans="1:9" x14ac:dyDescent="0.25">
      <c r="A129" s="49">
        <f>'A) Base RI'!A130</f>
        <v>5611</v>
      </c>
      <c r="B129" s="492" t="str">
        <f>'A) Base RI'!B130</f>
        <v>Savigny</v>
      </c>
      <c r="C129" s="10">
        <f>'B) D RI'!Y130</f>
        <v>818568.2</v>
      </c>
      <c r="D129" s="432">
        <f>'B) D RI'!Z130</f>
        <v>118228.5</v>
      </c>
      <c r="E129" s="10">
        <f t="shared" si="4"/>
        <v>936796.7</v>
      </c>
      <c r="F129" s="432">
        <f>'B) D RI'!U130</f>
        <v>140983.13330917869</v>
      </c>
      <c r="G129" s="263">
        <f t="shared" si="5"/>
        <v>6.6447430838807291</v>
      </c>
      <c r="H129" s="55">
        <f t="shared" si="6"/>
        <v>444752.64999999997</v>
      </c>
      <c r="I129" s="402">
        <f t="shared" si="7"/>
        <v>3.1546514789442859</v>
      </c>
    </row>
    <row r="130" spans="1:9" x14ac:dyDescent="0.25">
      <c r="A130" s="49">
        <f>'A) Base RI'!A131</f>
        <v>5613</v>
      </c>
      <c r="B130" s="492" t="str">
        <f>'A) Base RI'!B131</f>
        <v>Bourg-en-Lavaux</v>
      </c>
      <c r="C130" s="10">
        <f>'B) D RI'!Y131</f>
        <v>2028798.1</v>
      </c>
      <c r="D130" s="432">
        <f>'B) D RI'!Z131</f>
        <v>21021.599999999999</v>
      </c>
      <c r="E130" s="10">
        <f t="shared" si="4"/>
        <v>2049819.7000000002</v>
      </c>
      <c r="F130" s="432">
        <f>'B) D RI'!U131</f>
        <v>357210.57141333341</v>
      </c>
      <c r="G130" s="263">
        <f t="shared" si="5"/>
        <v>5.7384071582476341</v>
      </c>
      <c r="H130" s="55">
        <f t="shared" si="6"/>
        <v>1020705.53</v>
      </c>
      <c r="I130" s="402">
        <f t="shared" si="7"/>
        <v>2.8574337146896114</v>
      </c>
    </row>
    <row r="131" spans="1:9" x14ac:dyDescent="0.25">
      <c r="A131" s="49">
        <f>'A) Base RI'!A132</f>
        <v>5621</v>
      </c>
      <c r="B131" s="492" t="str">
        <f>'A) Base RI'!B132</f>
        <v>Aclens</v>
      </c>
      <c r="C131" s="10">
        <f>'B) D RI'!Y132</f>
        <v>294239.45</v>
      </c>
      <c r="D131" s="432">
        <f>'B) D RI'!Z132</f>
        <v>227041.5</v>
      </c>
      <c r="E131" s="10">
        <f t="shared" si="4"/>
        <v>521280.95</v>
      </c>
      <c r="F131" s="432">
        <f>'B) D RI'!U132</f>
        <v>32271.293782991204</v>
      </c>
      <c r="G131" s="263">
        <f t="shared" si="5"/>
        <v>16.153084952384045</v>
      </c>
      <c r="H131" s="55">
        <f t="shared" si="6"/>
        <v>215232.17499999999</v>
      </c>
      <c r="I131" s="402">
        <f t="shared" si="7"/>
        <v>6.6694622300342825</v>
      </c>
    </row>
    <row r="132" spans="1:9" x14ac:dyDescent="0.25">
      <c r="A132" s="49">
        <f>'A) Base RI'!A133</f>
        <v>5622</v>
      </c>
      <c r="B132" s="492" t="str">
        <f>'A) Base RI'!B133</f>
        <v>Bremblens</v>
      </c>
      <c r="C132" s="10">
        <f>'B) D RI'!Y133</f>
        <v>209227.95</v>
      </c>
      <c r="D132" s="432">
        <f>'B) D RI'!Z133</f>
        <v>30722.9</v>
      </c>
      <c r="E132" s="10">
        <f t="shared" si="4"/>
        <v>239950.85</v>
      </c>
      <c r="F132" s="432">
        <f>'B) D RI'!U133</f>
        <v>28643.938676470589</v>
      </c>
      <c r="G132" s="263">
        <f t="shared" si="5"/>
        <v>8.3770200987445325</v>
      </c>
      <c r="H132" s="55">
        <f t="shared" si="6"/>
        <v>113830.845</v>
      </c>
      <c r="I132" s="402">
        <f t="shared" si="7"/>
        <v>3.9739941593125159</v>
      </c>
    </row>
    <row r="133" spans="1:9" x14ac:dyDescent="0.25">
      <c r="A133" s="49">
        <f>'A) Base RI'!A134</f>
        <v>5623</v>
      </c>
      <c r="B133" s="492" t="str">
        <f>'A) Base RI'!B134</f>
        <v>Buchillon</v>
      </c>
      <c r="C133" s="10">
        <f>'B) D RI'!Y134</f>
        <v>224463.6</v>
      </c>
      <c r="D133" s="432">
        <f>'B) D RI'!Z134</f>
        <v>1734.05</v>
      </c>
      <c r="E133" s="10">
        <f t="shared" si="4"/>
        <v>226197.65</v>
      </c>
      <c r="F133" s="432">
        <f>'B) D RI'!U134</f>
        <v>89231.951153846152</v>
      </c>
      <c r="G133" s="263">
        <f t="shared" si="5"/>
        <v>2.5349400867634198</v>
      </c>
      <c r="H133" s="55">
        <f t="shared" si="6"/>
        <v>112752.015</v>
      </c>
      <c r="I133" s="402">
        <f t="shared" si="7"/>
        <v>1.2635834310694669</v>
      </c>
    </row>
    <row r="134" spans="1:9" x14ac:dyDescent="0.25">
      <c r="A134" s="49">
        <f>'A) Base RI'!A135</f>
        <v>5624</v>
      </c>
      <c r="B134" s="492" t="str">
        <f>'A) Base RI'!B135</f>
        <v>Bussigny</v>
      </c>
      <c r="C134" s="10">
        <f>'B) D RI'!Y135</f>
        <v>3759834.5</v>
      </c>
      <c r="D134" s="432">
        <f>'B) D RI'!Z135</f>
        <v>1445680.75</v>
      </c>
      <c r="E134" s="10">
        <f t="shared" ref="E134:E197" si="8">C134+D134</f>
        <v>5205515.25</v>
      </c>
      <c r="F134" s="432">
        <f>'B) D RI'!U135</f>
        <v>441939.99008000002</v>
      </c>
      <c r="G134" s="263">
        <f t="shared" ref="G134:G197" si="9">E134/F134</f>
        <v>11.778783017707216</v>
      </c>
      <c r="H134" s="55">
        <f t="shared" ref="H134:H197" si="10">(C134*$C$5)+(D134*$D$5)</f>
        <v>2313621.4750000001</v>
      </c>
      <c r="I134" s="402">
        <f t="shared" ref="I134:I197" si="11">H134/F134</f>
        <v>5.2351484973812576</v>
      </c>
    </row>
    <row r="135" spans="1:9" x14ac:dyDescent="0.25">
      <c r="A135" s="49">
        <f>'A) Base RI'!A136</f>
        <v>5625</v>
      </c>
      <c r="B135" s="492" t="str">
        <f>'A) Base RI'!B136</f>
        <v>Bussy-Chardonney</v>
      </c>
      <c r="C135" s="10">
        <f>'B) D RI'!Y136</f>
        <v>25244.050000000003</v>
      </c>
      <c r="D135" s="432">
        <f>'B) D RI'!Z136</f>
        <v>0</v>
      </c>
      <c r="E135" s="10">
        <f t="shared" si="8"/>
        <v>25244.050000000003</v>
      </c>
      <c r="F135" s="432">
        <f>'B) D RI'!U136</f>
        <v>21108.495740740738</v>
      </c>
      <c r="G135" s="263">
        <f t="shared" si="9"/>
        <v>1.1959189470463962</v>
      </c>
      <c r="H135" s="55">
        <f t="shared" si="10"/>
        <v>12622.025000000001</v>
      </c>
      <c r="I135" s="402">
        <f t="shared" si="11"/>
        <v>0.59795947352319812</v>
      </c>
    </row>
    <row r="136" spans="1:9" x14ac:dyDescent="0.25">
      <c r="A136" s="49">
        <f>'A) Base RI'!A137</f>
        <v>5627</v>
      </c>
      <c r="B136" s="492" t="str">
        <f>'A) Base RI'!B137</f>
        <v>Chavannes-près-Renens</v>
      </c>
      <c r="C136" s="10">
        <f>'B) D RI'!Y137</f>
        <v>1861825.15</v>
      </c>
      <c r="D136" s="432">
        <f>'B) D RI'!Z137</f>
        <v>446341</v>
      </c>
      <c r="E136" s="10">
        <f t="shared" si="8"/>
        <v>2308166.15</v>
      </c>
      <c r="F136" s="432">
        <f>'B) D RI'!U137</f>
        <v>194072.91458064516</v>
      </c>
      <c r="G136" s="263">
        <f t="shared" si="9"/>
        <v>11.893293584978153</v>
      </c>
      <c r="H136" s="55">
        <f t="shared" si="10"/>
        <v>1064814.875</v>
      </c>
      <c r="I136" s="402">
        <f t="shared" si="11"/>
        <v>5.4866743115641015</v>
      </c>
    </row>
    <row r="137" spans="1:9" x14ac:dyDescent="0.25">
      <c r="A137" s="49">
        <f>'A) Base RI'!A138</f>
        <v>5628</v>
      </c>
      <c r="B137" s="492" t="str">
        <f>'A) Base RI'!B138</f>
        <v>Chigny</v>
      </c>
      <c r="C137" s="10">
        <f>'B) D RI'!Y138</f>
        <v>52789.95</v>
      </c>
      <c r="D137" s="432">
        <f>'B) D RI'!Z138</f>
        <v>2656.6</v>
      </c>
      <c r="E137" s="10">
        <f t="shared" si="8"/>
        <v>55446.549999999996</v>
      </c>
      <c r="F137" s="432">
        <f>'B) D RI'!U138</f>
        <v>25790.901129032256</v>
      </c>
      <c r="G137" s="263">
        <f t="shared" si="9"/>
        <v>2.1498492713612483</v>
      </c>
      <c r="H137" s="55">
        <f t="shared" si="10"/>
        <v>27191.954999999998</v>
      </c>
      <c r="I137" s="402">
        <f t="shared" si="11"/>
        <v>1.0543235718658395</v>
      </c>
    </row>
    <row r="138" spans="1:9" x14ac:dyDescent="0.25">
      <c r="A138" s="49">
        <f>'A) Base RI'!A139</f>
        <v>5629</v>
      </c>
      <c r="B138" s="492" t="str">
        <f>'A) Base RI'!B139</f>
        <v>Clarmont</v>
      </c>
      <c r="C138" s="10">
        <f>'B) D RI'!Y139</f>
        <v>27072.050000000003</v>
      </c>
      <c r="D138" s="432">
        <f>'B) D RI'!Z139</f>
        <v>0</v>
      </c>
      <c r="E138" s="10">
        <f t="shared" si="8"/>
        <v>27072.050000000003</v>
      </c>
      <c r="F138" s="432">
        <f>'B) D RI'!U139</f>
        <v>9948.0614965986406</v>
      </c>
      <c r="G138" s="263">
        <f t="shared" si="9"/>
        <v>2.7213392286784974</v>
      </c>
      <c r="H138" s="55">
        <f t="shared" si="10"/>
        <v>13536.025000000001</v>
      </c>
      <c r="I138" s="402">
        <f t="shared" si="11"/>
        <v>1.3606696143392487</v>
      </c>
    </row>
    <row r="139" spans="1:9" x14ac:dyDescent="0.25">
      <c r="A139" s="49">
        <f>'A) Base RI'!A140</f>
        <v>5631</v>
      </c>
      <c r="B139" s="492" t="str">
        <f>'A) Base RI'!B140</f>
        <v>Denens</v>
      </c>
      <c r="C139" s="10">
        <f>'B) D RI'!Y140</f>
        <v>539717.15</v>
      </c>
      <c r="D139" s="432">
        <f>'B) D RI'!Z140</f>
        <v>1887.85</v>
      </c>
      <c r="E139" s="10">
        <f t="shared" si="8"/>
        <v>541605</v>
      </c>
      <c r="F139" s="432">
        <f>'B) D RI'!U140</f>
        <v>43290.229264705871</v>
      </c>
      <c r="G139" s="263">
        <f t="shared" si="9"/>
        <v>12.511021752466569</v>
      </c>
      <c r="H139" s="55">
        <f t="shared" si="10"/>
        <v>270424.93</v>
      </c>
      <c r="I139" s="402">
        <f t="shared" si="11"/>
        <v>6.2467890467023919</v>
      </c>
    </row>
    <row r="140" spans="1:9" x14ac:dyDescent="0.25">
      <c r="A140" s="49">
        <f>'A) Base RI'!A141</f>
        <v>5632</v>
      </c>
      <c r="B140" s="492" t="str">
        <f>'A) Base RI'!B141</f>
        <v>Denges</v>
      </c>
      <c r="C140" s="10">
        <f>'B) D RI'!Y141</f>
        <v>413391.75</v>
      </c>
      <c r="D140" s="432">
        <f>'B) D RI'!Z141</f>
        <v>105185.35</v>
      </c>
      <c r="E140" s="10">
        <f t="shared" si="8"/>
        <v>518577.1</v>
      </c>
      <c r="F140" s="432">
        <f>'B) D RI'!U141</f>
        <v>80521.21435483871</v>
      </c>
      <c r="G140" s="263">
        <f t="shared" si="9"/>
        <v>6.4402543373818038</v>
      </c>
      <c r="H140" s="55">
        <f t="shared" si="10"/>
        <v>238251.48</v>
      </c>
      <c r="I140" s="402">
        <f t="shared" si="11"/>
        <v>2.9588659573622405</v>
      </c>
    </row>
    <row r="141" spans="1:9" x14ac:dyDescent="0.25">
      <c r="A141" s="49">
        <f>'A) Base RI'!A142</f>
        <v>5633</v>
      </c>
      <c r="B141" s="492" t="str">
        <f>'A) Base RI'!B142</f>
        <v>Echandens</v>
      </c>
      <c r="C141" s="10">
        <f>'B) D RI'!Y142</f>
        <v>573542.94999999995</v>
      </c>
      <c r="D141" s="432">
        <f>'B) D RI'!Z142</f>
        <v>127028.65</v>
      </c>
      <c r="E141" s="10">
        <f t="shared" si="8"/>
        <v>700571.6</v>
      </c>
      <c r="F141" s="432">
        <f>'B) D RI'!U142</f>
        <v>170287.16859504132</v>
      </c>
      <c r="G141" s="263">
        <f t="shared" si="9"/>
        <v>4.1140598306970748</v>
      </c>
      <c r="H141" s="55">
        <f t="shared" si="10"/>
        <v>324880.06999999995</v>
      </c>
      <c r="I141" s="402">
        <f t="shared" si="11"/>
        <v>1.9078364663669691</v>
      </c>
    </row>
    <row r="142" spans="1:9" x14ac:dyDescent="0.25">
      <c r="A142" s="49">
        <f>'A) Base RI'!A143</f>
        <v>5634</v>
      </c>
      <c r="B142" s="492" t="str">
        <f>'A) Base RI'!B143</f>
        <v>Echichens</v>
      </c>
      <c r="C142" s="10">
        <f>'B) D RI'!Y143</f>
        <v>1053468.75</v>
      </c>
      <c r="D142" s="432">
        <f>'B) D RI'!Z143</f>
        <v>49103.199999999997</v>
      </c>
      <c r="E142" s="10">
        <f t="shared" si="8"/>
        <v>1102571.95</v>
      </c>
      <c r="F142" s="432">
        <f>'B) D RI'!U143</f>
        <v>152568.89227272727</v>
      </c>
      <c r="G142" s="263">
        <f t="shared" si="9"/>
        <v>7.2267153125099552</v>
      </c>
      <c r="H142" s="55">
        <f t="shared" si="10"/>
        <v>541465.33499999996</v>
      </c>
      <c r="I142" s="402">
        <f t="shared" si="11"/>
        <v>3.548989095575878</v>
      </c>
    </row>
    <row r="143" spans="1:9" x14ac:dyDescent="0.25">
      <c r="A143" s="49">
        <f>'A) Base RI'!A144</f>
        <v>5635</v>
      </c>
      <c r="B143" s="492" t="str">
        <f>'A) Base RI'!B144</f>
        <v>Ecublens</v>
      </c>
      <c r="C143" s="10">
        <f>'B) D RI'!Y144</f>
        <v>3104417.9</v>
      </c>
      <c r="D143" s="432">
        <f>'B) D RI'!Z144</f>
        <v>1875328.15</v>
      </c>
      <c r="E143" s="10">
        <f t="shared" si="8"/>
        <v>4979746.05</v>
      </c>
      <c r="F143" s="432">
        <f>'B) D RI'!U144</f>
        <v>872367.07997333352</v>
      </c>
      <c r="G143" s="263">
        <f t="shared" si="9"/>
        <v>5.7083149563051148</v>
      </c>
      <c r="H143" s="55">
        <f t="shared" si="10"/>
        <v>2114807.395</v>
      </c>
      <c r="I143" s="402">
        <f t="shared" si="11"/>
        <v>2.4242173318422853</v>
      </c>
    </row>
    <row r="144" spans="1:9" x14ac:dyDescent="0.25">
      <c r="A144" s="49">
        <f>'A) Base RI'!A145</f>
        <v>5636</v>
      </c>
      <c r="B144" s="492" t="str">
        <f>'A) Base RI'!B145</f>
        <v>Etoy</v>
      </c>
      <c r="C144" s="10">
        <f>'B) D RI'!Y145</f>
        <v>1877253.6</v>
      </c>
      <c r="D144" s="432">
        <f>'B) D RI'!Z145</f>
        <v>570633.05000000005</v>
      </c>
      <c r="E144" s="10">
        <f t="shared" si="8"/>
        <v>2447886.6500000004</v>
      </c>
      <c r="F144" s="432">
        <f>'B) D RI'!U145</f>
        <v>187063.54000000004</v>
      </c>
      <c r="G144" s="263">
        <f t="shared" si="9"/>
        <v>13.085856549063489</v>
      </c>
      <c r="H144" s="55">
        <f t="shared" si="10"/>
        <v>1109816.7150000001</v>
      </c>
      <c r="I144" s="402">
        <f t="shared" si="11"/>
        <v>5.9328328492019331</v>
      </c>
    </row>
    <row r="145" spans="1:9" x14ac:dyDescent="0.25">
      <c r="A145" s="49">
        <f>'A) Base RI'!A146</f>
        <v>5637</v>
      </c>
      <c r="B145" s="492" t="str">
        <f>'A) Base RI'!B146</f>
        <v>Lavigny</v>
      </c>
      <c r="C145" s="10">
        <f>'B) D RI'!Y146</f>
        <v>348432.3</v>
      </c>
      <c r="D145" s="432">
        <f>'B) D RI'!Z146</f>
        <v>231727.1</v>
      </c>
      <c r="E145" s="10">
        <f t="shared" si="8"/>
        <v>580159.4</v>
      </c>
      <c r="F145" s="432">
        <f>'B) D RI'!U146</f>
        <v>37900.997397260275</v>
      </c>
      <c r="G145" s="263">
        <f t="shared" si="9"/>
        <v>15.307233050334913</v>
      </c>
      <c r="H145" s="55">
        <f t="shared" si="10"/>
        <v>243734.28</v>
      </c>
      <c r="I145" s="402">
        <f t="shared" si="11"/>
        <v>6.4308144043095465</v>
      </c>
    </row>
    <row r="146" spans="1:9" x14ac:dyDescent="0.25">
      <c r="A146" s="49">
        <f>'A) Base RI'!A147</f>
        <v>5638</v>
      </c>
      <c r="B146" s="492" t="str">
        <f>'A) Base RI'!B147</f>
        <v>Lonay</v>
      </c>
      <c r="C146" s="10">
        <f>'B) D RI'!Y147</f>
        <v>8258129.4500000002</v>
      </c>
      <c r="D146" s="432">
        <f>'B) D RI'!Z147</f>
        <v>319329.59999999998</v>
      </c>
      <c r="E146" s="10">
        <f t="shared" si="8"/>
        <v>8577459.0500000007</v>
      </c>
      <c r="F146" s="432">
        <f>'B) D RI'!U147</f>
        <v>174154.93872727267</v>
      </c>
      <c r="G146" s="263">
        <f t="shared" si="9"/>
        <v>49.251885204543846</v>
      </c>
      <c r="H146" s="55">
        <f t="shared" si="10"/>
        <v>4224863.6050000004</v>
      </c>
      <c r="I146" s="402">
        <f t="shared" si="11"/>
        <v>24.259223630839166</v>
      </c>
    </row>
    <row r="147" spans="1:9" x14ac:dyDescent="0.25">
      <c r="A147" s="49">
        <f>'A) Base RI'!A148</f>
        <v>5639</v>
      </c>
      <c r="B147" s="492" t="str">
        <f>'A) Base RI'!B148</f>
        <v>Lully</v>
      </c>
      <c r="C147" s="10">
        <f>'B) D RI'!Y148</f>
        <v>181064.1</v>
      </c>
      <c r="D147" s="432">
        <f>'B) D RI'!Z148</f>
        <v>20293.95</v>
      </c>
      <c r="E147" s="10">
        <f t="shared" si="8"/>
        <v>201358.05000000002</v>
      </c>
      <c r="F147" s="432">
        <f>'B) D RI'!U148</f>
        <v>53711.269344262299</v>
      </c>
      <c r="G147" s="263">
        <f t="shared" si="9"/>
        <v>3.7488976235023586</v>
      </c>
      <c r="H147" s="55">
        <f t="shared" si="10"/>
        <v>96620.235000000001</v>
      </c>
      <c r="I147" s="402">
        <f t="shared" si="11"/>
        <v>1.7988819884466472</v>
      </c>
    </row>
    <row r="148" spans="1:9" x14ac:dyDescent="0.25">
      <c r="A148" s="49">
        <f>'A) Base RI'!A149</f>
        <v>5640</v>
      </c>
      <c r="B148" s="492" t="str">
        <f>'A) Base RI'!B149</f>
        <v>Lussy-sur-Morges</v>
      </c>
      <c r="C148" s="10">
        <f>'B) D RI'!Y149</f>
        <v>737190.39999999991</v>
      </c>
      <c r="D148" s="432">
        <f>'B) D RI'!Z149</f>
        <v>20984.3</v>
      </c>
      <c r="E148" s="10">
        <f t="shared" si="8"/>
        <v>758174.7</v>
      </c>
      <c r="F148" s="432">
        <f>'B) D RI'!U149</f>
        <v>70527.814108527149</v>
      </c>
      <c r="G148" s="263">
        <f t="shared" si="9"/>
        <v>10.750009901530934</v>
      </c>
      <c r="H148" s="55">
        <f t="shared" si="10"/>
        <v>374890.48999999993</v>
      </c>
      <c r="I148" s="402">
        <f t="shared" si="11"/>
        <v>5.3154984985515652</v>
      </c>
    </row>
    <row r="149" spans="1:9" x14ac:dyDescent="0.25">
      <c r="A149" s="49">
        <f>'A) Base RI'!A150</f>
        <v>5642</v>
      </c>
      <c r="B149" s="492" t="str">
        <f>'A) Base RI'!B150</f>
        <v>Morges</v>
      </c>
      <c r="C149" s="10">
        <f>'B) D RI'!Y150</f>
        <v>5459169.9000000004</v>
      </c>
      <c r="D149" s="432">
        <f>'B) D RI'!Z150</f>
        <v>1327116.8999999999</v>
      </c>
      <c r="E149" s="10">
        <f t="shared" si="8"/>
        <v>6786286.8000000007</v>
      </c>
      <c r="F149" s="432">
        <f>'B) D RI'!U150</f>
        <v>999726.82119402988</v>
      </c>
      <c r="G149" s="263">
        <f t="shared" si="9"/>
        <v>6.7881411763012993</v>
      </c>
      <c r="H149" s="55">
        <f t="shared" si="10"/>
        <v>3127720.02</v>
      </c>
      <c r="I149" s="402">
        <f t="shared" si="11"/>
        <v>3.1285746802955514</v>
      </c>
    </row>
    <row r="150" spans="1:9" x14ac:dyDescent="0.25">
      <c r="A150" s="49">
        <f>'A) Base RI'!A151</f>
        <v>5643</v>
      </c>
      <c r="B150" s="492" t="str">
        <f>'A) Base RI'!B151</f>
        <v>Préverenges</v>
      </c>
      <c r="C150" s="10">
        <f>'B) D RI'!Y151</f>
        <v>881840.55</v>
      </c>
      <c r="D150" s="432">
        <f>'B) D RI'!Z151</f>
        <v>200612.9</v>
      </c>
      <c r="E150" s="10">
        <f t="shared" si="8"/>
        <v>1082453.45</v>
      </c>
      <c r="F150" s="432">
        <f>'B) D RI'!U151</f>
        <v>257752.82112000001</v>
      </c>
      <c r="G150" s="263">
        <f t="shared" si="9"/>
        <v>4.1995794470705343</v>
      </c>
      <c r="H150" s="55">
        <f t="shared" si="10"/>
        <v>501104.14500000002</v>
      </c>
      <c r="I150" s="402">
        <f t="shared" si="11"/>
        <v>1.9441267134248157</v>
      </c>
    </row>
    <row r="151" spans="1:9" x14ac:dyDescent="0.25">
      <c r="A151" s="49">
        <f>'A) Base RI'!A152</f>
        <v>5644</v>
      </c>
      <c r="B151" s="492" t="str">
        <f>'A) Base RI'!B152</f>
        <v>Reverolle</v>
      </c>
      <c r="C151" s="10">
        <f>'B) D RI'!Y152</f>
        <v>41556.35</v>
      </c>
      <c r="D151" s="432">
        <f>'B) D RI'!Z152</f>
        <v>2764.4</v>
      </c>
      <c r="E151" s="10">
        <f t="shared" si="8"/>
        <v>44320.75</v>
      </c>
      <c r="F151" s="432">
        <f>'B) D RI'!U152</f>
        <v>16363.457972972968</v>
      </c>
      <c r="G151" s="263">
        <f t="shared" si="9"/>
        <v>2.7085198051171857</v>
      </c>
      <c r="H151" s="55">
        <f t="shared" si="10"/>
        <v>21607.494999999999</v>
      </c>
      <c r="I151" s="402">
        <f t="shared" si="11"/>
        <v>1.3204724231081504</v>
      </c>
    </row>
    <row r="152" spans="1:9" x14ac:dyDescent="0.25">
      <c r="A152" s="49">
        <f>'A) Base RI'!A153</f>
        <v>5645</v>
      </c>
      <c r="B152" s="492" t="str">
        <f>'A) Base RI'!B153</f>
        <v>Romanel-sur-Morges</v>
      </c>
      <c r="C152" s="10">
        <f>'B) D RI'!Y153</f>
        <v>186692.1</v>
      </c>
      <c r="D152" s="432">
        <f>'B) D RI'!Z153</f>
        <v>66780.649999999994</v>
      </c>
      <c r="E152" s="10">
        <f t="shared" si="8"/>
        <v>253472.75</v>
      </c>
      <c r="F152" s="432">
        <f>'B) D RI'!U153</f>
        <v>26586.021785714285</v>
      </c>
      <c r="G152" s="263">
        <f t="shared" si="9"/>
        <v>9.5340608701449607</v>
      </c>
      <c r="H152" s="55">
        <f t="shared" si="10"/>
        <v>113380.245</v>
      </c>
      <c r="I152" s="402">
        <f t="shared" si="11"/>
        <v>4.2646562887014428</v>
      </c>
    </row>
    <row r="153" spans="1:9" x14ac:dyDescent="0.25">
      <c r="A153" s="49">
        <f>'A) Base RI'!A154</f>
        <v>5646</v>
      </c>
      <c r="B153" s="492" t="str">
        <f>'A) Base RI'!B154</f>
        <v>Saint-Prex</v>
      </c>
      <c r="C153" s="10">
        <f>'B) D RI'!Y154</f>
        <v>3440245.45</v>
      </c>
      <c r="D153" s="432">
        <f>'B) D RI'!Z154</f>
        <v>663063.1</v>
      </c>
      <c r="E153" s="10">
        <f t="shared" si="8"/>
        <v>4103308.5500000003</v>
      </c>
      <c r="F153" s="432">
        <f>'B) D RI'!U154</f>
        <v>527982.74983050849</v>
      </c>
      <c r="G153" s="263">
        <f t="shared" si="9"/>
        <v>7.7716716148723277</v>
      </c>
      <c r="H153" s="55">
        <f t="shared" si="10"/>
        <v>1919041.655</v>
      </c>
      <c r="I153" s="402">
        <f t="shared" si="11"/>
        <v>3.6346673364159061</v>
      </c>
    </row>
    <row r="154" spans="1:9" x14ac:dyDescent="0.25">
      <c r="A154" s="49">
        <f>'A) Base RI'!A155</f>
        <v>5648</v>
      </c>
      <c r="B154" s="492" t="str">
        <f>'A) Base RI'!B155</f>
        <v>Saint-Sulpice</v>
      </c>
      <c r="C154" s="10">
        <f>'B) D RI'!Y155</f>
        <v>2960808.3</v>
      </c>
      <c r="D154" s="432">
        <f>'B) D RI'!Z155</f>
        <v>75692.7</v>
      </c>
      <c r="E154" s="10">
        <f t="shared" si="8"/>
        <v>3036501</v>
      </c>
      <c r="F154" s="432">
        <f>'B) D RI'!U155</f>
        <v>394426.68886363629</v>
      </c>
      <c r="G154" s="263">
        <f t="shared" si="9"/>
        <v>7.6985180915325904</v>
      </c>
      <c r="H154" s="55">
        <f t="shared" si="10"/>
        <v>1503111.96</v>
      </c>
      <c r="I154" s="402">
        <f t="shared" si="11"/>
        <v>3.8108779208895407</v>
      </c>
    </row>
    <row r="155" spans="1:9" x14ac:dyDescent="0.25">
      <c r="A155" s="49">
        <f>'A) Base RI'!A156</f>
        <v>5649</v>
      </c>
      <c r="B155" s="492" t="str">
        <f>'A) Base RI'!B156</f>
        <v>Tolochenaz</v>
      </c>
      <c r="C155" s="10">
        <f>'B) D RI'!Y156</f>
        <v>518083.35</v>
      </c>
      <c r="D155" s="432">
        <f>'B) D RI'!Z156</f>
        <v>287080.5</v>
      </c>
      <c r="E155" s="10">
        <f t="shared" si="8"/>
        <v>805163.85</v>
      </c>
      <c r="F155" s="432">
        <f>'B) D RI'!U156</f>
        <v>155778.42171874997</v>
      </c>
      <c r="G155" s="263">
        <f t="shared" si="9"/>
        <v>5.1686481421264006</v>
      </c>
      <c r="H155" s="55">
        <f t="shared" si="10"/>
        <v>345165.82499999995</v>
      </c>
      <c r="I155" s="402">
        <f t="shared" si="11"/>
        <v>2.2157486331655054</v>
      </c>
    </row>
    <row r="156" spans="1:9" x14ac:dyDescent="0.25">
      <c r="A156" s="49">
        <f>'A) Base RI'!A157</f>
        <v>5650</v>
      </c>
      <c r="B156" s="492" t="str">
        <f>'A) Base RI'!B157</f>
        <v>Vaux-sur-Morges</v>
      </c>
      <c r="C156" s="10">
        <f>'B) D RI'!Y157</f>
        <v>1263782.3999999999</v>
      </c>
      <c r="D156" s="432">
        <f>'B) D RI'!Z157</f>
        <v>137.19999999999999</v>
      </c>
      <c r="E156" s="10">
        <f t="shared" si="8"/>
        <v>1263919.5999999999</v>
      </c>
      <c r="F156" s="432">
        <f>'B) D RI'!U157</f>
        <v>83125.71642857141</v>
      </c>
      <c r="G156" s="263">
        <f t="shared" si="9"/>
        <v>15.204916773091099</v>
      </c>
      <c r="H156" s="55">
        <f t="shared" si="10"/>
        <v>631932.36</v>
      </c>
      <c r="I156" s="402">
        <f t="shared" si="11"/>
        <v>7.6021282841274429</v>
      </c>
    </row>
    <row r="157" spans="1:9" x14ac:dyDescent="0.25">
      <c r="A157" s="49">
        <f>'A) Base RI'!A158</f>
        <v>5651</v>
      </c>
      <c r="B157" s="492" t="str">
        <f>'A) Base RI'!B158</f>
        <v>Villars-Sainte-Croix</v>
      </c>
      <c r="C157" s="10">
        <f>'B) D RI'!Y158</f>
        <v>184377.35</v>
      </c>
      <c r="D157" s="432">
        <f>'B) D RI'!Z158</f>
        <v>178489.65</v>
      </c>
      <c r="E157" s="10">
        <f t="shared" si="8"/>
        <v>362867</v>
      </c>
      <c r="F157" s="432">
        <f>'B) D RI'!U158</f>
        <v>57697.031735537188</v>
      </c>
      <c r="G157" s="263">
        <f t="shared" si="9"/>
        <v>6.2891796871501837</v>
      </c>
      <c r="H157" s="55">
        <f t="shared" si="10"/>
        <v>145735.57</v>
      </c>
      <c r="I157" s="402">
        <f t="shared" si="11"/>
        <v>2.5258763859465141</v>
      </c>
    </row>
    <row r="158" spans="1:9" x14ac:dyDescent="0.25">
      <c r="A158" s="49">
        <f>'A) Base RI'!A159</f>
        <v>5652</v>
      </c>
      <c r="B158" s="492" t="str">
        <f>'A) Base RI'!B159</f>
        <v>Villars-sous-Yens</v>
      </c>
      <c r="C158" s="10">
        <f>'B) D RI'!Y159</f>
        <v>60968.65</v>
      </c>
      <c r="D158" s="432">
        <f>'B) D RI'!Z159</f>
        <v>0</v>
      </c>
      <c r="E158" s="10">
        <f t="shared" si="8"/>
        <v>60968.65</v>
      </c>
      <c r="F158" s="432">
        <f>'B) D RI'!U159</f>
        <v>25902.630833333329</v>
      </c>
      <c r="G158" s="263">
        <f t="shared" si="9"/>
        <v>2.3537628433302324</v>
      </c>
      <c r="H158" s="55">
        <f t="shared" si="10"/>
        <v>30484.325000000001</v>
      </c>
      <c r="I158" s="402">
        <f t="shared" si="11"/>
        <v>1.1768814216651162</v>
      </c>
    </row>
    <row r="159" spans="1:9" x14ac:dyDescent="0.25">
      <c r="A159" s="49">
        <f>'A) Base RI'!A160</f>
        <v>5653</v>
      </c>
      <c r="B159" s="492" t="str">
        <f>'A) Base RI'!B160</f>
        <v>Vufflens-le-Château</v>
      </c>
      <c r="C159" s="10">
        <f>'B) D RI'!Y160</f>
        <v>330592.84999999998</v>
      </c>
      <c r="D159" s="432">
        <f>'B) D RI'!Z160</f>
        <v>4440.8999999999996</v>
      </c>
      <c r="E159" s="10">
        <f t="shared" si="8"/>
        <v>335033.75</v>
      </c>
      <c r="F159" s="432">
        <f>'B) D RI'!U160</f>
        <v>67496.149401709394</v>
      </c>
      <c r="G159" s="263">
        <f t="shared" si="9"/>
        <v>4.9637461243309833</v>
      </c>
      <c r="H159" s="55">
        <f t="shared" si="10"/>
        <v>166628.69499999998</v>
      </c>
      <c r="I159" s="402">
        <f t="shared" si="11"/>
        <v>2.4687140892778094</v>
      </c>
    </row>
    <row r="160" spans="1:9" x14ac:dyDescent="0.25">
      <c r="A160" s="49">
        <f>'A) Base RI'!A161</f>
        <v>5654</v>
      </c>
      <c r="B160" s="492" t="str">
        <f>'A) Base RI'!B161</f>
        <v>Vullierens</v>
      </c>
      <c r="C160" s="10">
        <f>'B) D RI'!Y161</f>
        <v>169046.35</v>
      </c>
      <c r="D160" s="432">
        <f>'B) D RI'!Z161</f>
        <v>6542.3</v>
      </c>
      <c r="E160" s="10">
        <f t="shared" si="8"/>
        <v>175588.65</v>
      </c>
      <c r="F160" s="432">
        <f>'B) D RI'!U161</f>
        <v>20665.692500000001</v>
      </c>
      <c r="G160" s="263">
        <f t="shared" si="9"/>
        <v>8.4966255062587415</v>
      </c>
      <c r="H160" s="55">
        <f t="shared" si="10"/>
        <v>86485.865000000005</v>
      </c>
      <c r="I160" s="402">
        <f t="shared" si="11"/>
        <v>4.1849971879722876</v>
      </c>
    </row>
    <row r="161" spans="1:9" x14ac:dyDescent="0.25">
      <c r="A161" s="49">
        <f>'A) Base RI'!A162</f>
        <v>5655</v>
      </c>
      <c r="B161" s="492" t="str">
        <f>'A) Base RI'!B162</f>
        <v>Yens</v>
      </c>
      <c r="C161" s="10">
        <f>'B) D RI'!Y162</f>
        <v>109253.79999999999</v>
      </c>
      <c r="D161" s="432">
        <f>'B) D RI'!Z162</f>
        <v>80041.2</v>
      </c>
      <c r="E161" s="10">
        <f t="shared" si="8"/>
        <v>189295</v>
      </c>
      <c r="F161" s="432">
        <f>'B) D RI'!U162</f>
        <v>73454.856083916078</v>
      </c>
      <c r="G161" s="263">
        <f t="shared" si="9"/>
        <v>2.5770249931978109</v>
      </c>
      <c r="H161" s="55">
        <f t="shared" si="10"/>
        <v>78639.259999999995</v>
      </c>
      <c r="I161" s="402">
        <f t="shared" si="11"/>
        <v>1.070579457812308</v>
      </c>
    </row>
    <row r="162" spans="1:9" x14ac:dyDescent="0.25">
      <c r="A162" s="49">
        <f>'A) Base RI'!A163</f>
        <v>5661</v>
      </c>
      <c r="B162" s="492" t="str">
        <f>'A) Base RI'!B163</f>
        <v>Boulens</v>
      </c>
      <c r="C162" s="10">
        <f>'B) D RI'!Y163</f>
        <v>48158</v>
      </c>
      <c r="D162" s="432">
        <f>'B) D RI'!Z163</f>
        <v>18731.2</v>
      </c>
      <c r="E162" s="10">
        <f t="shared" si="8"/>
        <v>66889.2</v>
      </c>
      <c r="F162" s="432">
        <f>'B) D RI'!U163</f>
        <v>11226.588951048951</v>
      </c>
      <c r="G162" s="263">
        <f t="shared" si="9"/>
        <v>5.9581053774797947</v>
      </c>
      <c r="H162" s="55">
        <f t="shared" si="10"/>
        <v>29698.36</v>
      </c>
      <c r="I162" s="402">
        <f t="shared" si="11"/>
        <v>2.6453591673742674</v>
      </c>
    </row>
    <row r="163" spans="1:9" x14ac:dyDescent="0.25">
      <c r="A163" s="49">
        <f>'A) Base RI'!A164</f>
        <v>5663</v>
      </c>
      <c r="B163" s="492" t="str">
        <f>'A) Base RI'!B164</f>
        <v>Bussy-sur-Moudon</v>
      </c>
      <c r="C163" s="10">
        <f>'B) D RI'!Y164</f>
        <v>25224.350000000002</v>
      </c>
      <c r="D163" s="432">
        <f>'B) D RI'!Z164</f>
        <v>0</v>
      </c>
      <c r="E163" s="10">
        <f t="shared" si="8"/>
        <v>25224.350000000002</v>
      </c>
      <c r="F163" s="432">
        <f>'B) D RI'!U164</f>
        <v>5263.6754140127387</v>
      </c>
      <c r="G163" s="263">
        <f t="shared" si="9"/>
        <v>4.7921552937798522</v>
      </c>
      <c r="H163" s="55">
        <f t="shared" si="10"/>
        <v>12612.175000000001</v>
      </c>
      <c r="I163" s="402">
        <f t="shared" si="11"/>
        <v>2.3960776468899261</v>
      </c>
    </row>
    <row r="164" spans="1:9" x14ac:dyDescent="0.25">
      <c r="A164" s="49">
        <f>'A) Base RI'!A165</f>
        <v>5665</v>
      </c>
      <c r="B164" s="492" t="str">
        <f>'A) Base RI'!B165</f>
        <v>Chavannes-sur-Moudon</v>
      </c>
      <c r="C164" s="10">
        <f>'B) D RI'!Y165</f>
        <v>10677.4</v>
      </c>
      <c r="D164" s="432">
        <f>'B) D RI'!Z165</f>
        <v>0</v>
      </c>
      <c r="E164" s="10">
        <f t="shared" si="8"/>
        <v>10677.4</v>
      </c>
      <c r="F164" s="432">
        <f>'B) D RI'!U165</f>
        <v>4920.86942857143</v>
      </c>
      <c r="G164" s="263">
        <f t="shared" si="9"/>
        <v>2.1698198163936526</v>
      </c>
      <c r="H164" s="55">
        <f t="shared" si="10"/>
        <v>5338.7</v>
      </c>
      <c r="I164" s="402">
        <f t="shared" si="11"/>
        <v>1.0849099081968263</v>
      </c>
    </row>
    <row r="165" spans="1:9" x14ac:dyDescent="0.25">
      <c r="A165" s="49">
        <f>'A) Base RI'!A166</f>
        <v>5669</v>
      </c>
      <c r="B165" s="492" t="str">
        <f>'A) Base RI'!B166</f>
        <v>Curtilles</v>
      </c>
      <c r="C165" s="10">
        <f>'B) D RI'!Y166</f>
        <v>89639.15</v>
      </c>
      <c r="D165" s="432">
        <f>'B) D RI'!Z166</f>
        <v>0</v>
      </c>
      <c r="E165" s="10">
        <f t="shared" si="8"/>
        <v>89639.15</v>
      </c>
      <c r="F165" s="432">
        <f>'B) D RI'!U166</f>
        <v>9338.3773972602739</v>
      </c>
      <c r="G165" s="263">
        <f t="shared" si="9"/>
        <v>9.5990069994706619</v>
      </c>
      <c r="H165" s="55">
        <f t="shared" si="10"/>
        <v>44819.574999999997</v>
      </c>
      <c r="I165" s="402">
        <f t="shared" si="11"/>
        <v>4.799503499735331</v>
      </c>
    </row>
    <row r="166" spans="1:9" x14ac:dyDescent="0.25">
      <c r="A166" s="49">
        <f>'A) Base RI'!A167</f>
        <v>5671</v>
      </c>
      <c r="B166" s="492" t="str">
        <f>'A) Base RI'!B167</f>
        <v>Dompierre</v>
      </c>
      <c r="C166" s="10">
        <f>'B) D RI'!Y167</f>
        <v>103488.15</v>
      </c>
      <c r="D166" s="432">
        <f>'B) D RI'!Z167</f>
        <v>5497.4</v>
      </c>
      <c r="E166" s="10">
        <f t="shared" si="8"/>
        <v>108985.54999999999</v>
      </c>
      <c r="F166" s="432">
        <f>'B) D RI'!U167</f>
        <v>6463.9784615384606</v>
      </c>
      <c r="G166" s="263">
        <f t="shared" si="9"/>
        <v>16.860444484535126</v>
      </c>
      <c r="H166" s="55">
        <f t="shared" si="10"/>
        <v>53393.294999999998</v>
      </c>
      <c r="I166" s="402">
        <f t="shared" si="11"/>
        <v>8.2601288537233337</v>
      </c>
    </row>
    <row r="167" spans="1:9" x14ac:dyDescent="0.25">
      <c r="A167" s="49">
        <f>'A) Base RI'!A168</f>
        <v>5673</v>
      </c>
      <c r="B167" s="492" t="str">
        <f>'A) Base RI'!B168</f>
        <v>Hermenches</v>
      </c>
      <c r="C167" s="10">
        <f>'B) D RI'!Y168</f>
        <v>3890.2</v>
      </c>
      <c r="D167" s="432">
        <f>'B) D RI'!Z168</f>
        <v>11063.95</v>
      </c>
      <c r="E167" s="10">
        <f t="shared" si="8"/>
        <v>14954.150000000001</v>
      </c>
      <c r="F167" s="432">
        <f>'B) D RI'!U168</f>
        <v>10227.431292517007</v>
      </c>
      <c r="G167" s="263">
        <f t="shared" si="9"/>
        <v>1.4621608859833006</v>
      </c>
      <c r="H167" s="55">
        <f t="shared" si="10"/>
        <v>5264.2849999999999</v>
      </c>
      <c r="I167" s="402">
        <f t="shared" si="11"/>
        <v>0.514722108556394</v>
      </c>
    </row>
    <row r="168" spans="1:9" x14ac:dyDescent="0.25">
      <c r="A168" s="49">
        <f>'A) Base RI'!A169</f>
        <v>5674</v>
      </c>
      <c r="B168" s="492" t="str">
        <f>'A) Base RI'!B169</f>
        <v>Lovatens</v>
      </c>
      <c r="C168" s="10">
        <f>'B) D RI'!Y169</f>
        <v>38003.9</v>
      </c>
      <c r="D168" s="432">
        <f>'B) D RI'!Z169</f>
        <v>0</v>
      </c>
      <c r="E168" s="10">
        <f t="shared" si="8"/>
        <v>38003.9</v>
      </c>
      <c r="F168" s="432">
        <f>'B) D RI'!U169</f>
        <v>4217.2714666666661</v>
      </c>
      <c r="G168" s="263">
        <f t="shared" si="9"/>
        <v>9.0114900831931291</v>
      </c>
      <c r="H168" s="55">
        <f t="shared" si="10"/>
        <v>19001.95</v>
      </c>
      <c r="I168" s="402">
        <f t="shared" si="11"/>
        <v>4.5057450415965645</v>
      </c>
    </row>
    <row r="169" spans="1:9" x14ac:dyDescent="0.25">
      <c r="A169" s="49">
        <f>'A) Base RI'!A170</f>
        <v>5675</v>
      </c>
      <c r="B169" s="492" t="str">
        <f>'A) Base RI'!B170</f>
        <v>Lucens</v>
      </c>
      <c r="C169" s="10">
        <f>'B) D RI'!Y170</f>
        <v>1029555.1</v>
      </c>
      <c r="D169" s="432">
        <f>'B) D RI'!Z170</f>
        <v>41543.800000000003</v>
      </c>
      <c r="E169" s="10">
        <f t="shared" si="8"/>
        <v>1071098.8999999999</v>
      </c>
      <c r="F169" s="432">
        <f>'B) D RI'!U170</f>
        <v>105170.58216835017</v>
      </c>
      <c r="G169" s="263">
        <f t="shared" si="9"/>
        <v>10.18439641501133</v>
      </c>
      <c r="H169" s="55">
        <f t="shared" si="10"/>
        <v>527240.68999999994</v>
      </c>
      <c r="I169" s="402">
        <f t="shared" si="11"/>
        <v>5.0131955070480414</v>
      </c>
    </row>
    <row r="170" spans="1:9" x14ac:dyDescent="0.25">
      <c r="A170" s="49">
        <f>'A) Base RI'!A171</f>
        <v>5678</v>
      </c>
      <c r="B170" s="492" t="str">
        <f>'A) Base RI'!B171</f>
        <v>Moudon</v>
      </c>
      <c r="C170" s="10">
        <f>'B) D RI'!Y171</f>
        <v>1743552.3</v>
      </c>
      <c r="D170" s="432">
        <f>'B) D RI'!Z171</f>
        <v>212026.15</v>
      </c>
      <c r="E170" s="10">
        <f t="shared" si="8"/>
        <v>1955578.45</v>
      </c>
      <c r="F170" s="432">
        <f>'B) D RI'!U171</f>
        <v>124836.852</v>
      </c>
      <c r="G170" s="263">
        <f t="shared" si="9"/>
        <v>15.665073403164635</v>
      </c>
      <c r="H170" s="55">
        <f t="shared" si="10"/>
        <v>935383.995</v>
      </c>
      <c r="I170" s="402">
        <f t="shared" si="11"/>
        <v>7.4928515099051038</v>
      </c>
    </row>
    <row r="171" spans="1:9" x14ac:dyDescent="0.25">
      <c r="A171" s="49">
        <f>'A) Base RI'!A172</f>
        <v>5680</v>
      </c>
      <c r="B171" s="492" t="str">
        <f>'A) Base RI'!B172</f>
        <v>Ogens</v>
      </c>
      <c r="C171" s="10">
        <f>'B) D RI'!Y172</f>
        <v>50187.149999999994</v>
      </c>
      <c r="D171" s="432">
        <f>'B) D RI'!Z172</f>
        <v>0</v>
      </c>
      <c r="E171" s="10">
        <f t="shared" si="8"/>
        <v>50187.149999999994</v>
      </c>
      <c r="F171" s="432">
        <f>'B) D RI'!U172</f>
        <v>8501.5391880341886</v>
      </c>
      <c r="G171" s="263">
        <f t="shared" si="9"/>
        <v>5.9033016127994546</v>
      </c>
      <c r="H171" s="55">
        <f t="shared" si="10"/>
        <v>25093.574999999997</v>
      </c>
      <c r="I171" s="402">
        <f t="shared" si="11"/>
        <v>2.9516508063997273</v>
      </c>
    </row>
    <row r="172" spans="1:9" x14ac:dyDescent="0.25">
      <c r="A172" s="49">
        <f>'A) Base RI'!A173</f>
        <v>5683</v>
      </c>
      <c r="B172" s="492" t="str">
        <f>'A) Base RI'!B173</f>
        <v>Prévonloup</v>
      </c>
      <c r="C172" s="10">
        <f>'B) D RI'!Y173</f>
        <v>42888.1</v>
      </c>
      <c r="D172" s="432">
        <f>'B) D RI'!Z173</f>
        <v>0</v>
      </c>
      <c r="E172" s="10">
        <f t="shared" si="8"/>
        <v>42888.1</v>
      </c>
      <c r="F172" s="432">
        <f>'B) D RI'!U173</f>
        <v>5386.44</v>
      </c>
      <c r="G172" s="263">
        <f t="shared" si="9"/>
        <v>7.9622347970087857</v>
      </c>
      <c r="H172" s="55">
        <f t="shared" si="10"/>
        <v>21444.05</v>
      </c>
      <c r="I172" s="402">
        <f t="shared" si="11"/>
        <v>3.9811173985043928</v>
      </c>
    </row>
    <row r="173" spans="1:9" x14ac:dyDescent="0.25">
      <c r="A173" s="49">
        <f>'A) Base RI'!A174</f>
        <v>5684</v>
      </c>
      <c r="B173" s="492" t="str">
        <f>'A) Base RI'!B174</f>
        <v>Rossenges</v>
      </c>
      <c r="C173" s="10">
        <f>'B) D RI'!Y174</f>
        <v>0</v>
      </c>
      <c r="D173" s="432">
        <f>'B) D RI'!Z174</f>
        <v>0</v>
      </c>
      <c r="E173" s="10">
        <f t="shared" si="8"/>
        <v>0</v>
      </c>
      <c r="F173" s="432">
        <f>'B) D RI'!U174</f>
        <v>3253.4816666666666</v>
      </c>
      <c r="G173" s="263">
        <f t="shared" si="9"/>
        <v>0</v>
      </c>
      <c r="H173" s="55">
        <f t="shared" si="10"/>
        <v>0</v>
      </c>
      <c r="I173" s="402">
        <f t="shared" si="11"/>
        <v>0</v>
      </c>
    </row>
    <row r="174" spans="1:9" x14ac:dyDescent="0.25">
      <c r="A174" s="49">
        <f>'A) Base RI'!A175</f>
        <v>5688</v>
      </c>
      <c r="B174" s="492" t="str">
        <f>'A) Base RI'!B175</f>
        <v>Syens</v>
      </c>
      <c r="C174" s="10">
        <f>'B) D RI'!Y175</f>
        <v>25980.199999999997</v>
      </c>
      <c r="D174" s="432">
        <f>'B) D RI'!Z175</f>
        <v>0</v>
      </c>
      <c r="E174" s="10">
        <f t="shared" si="8"/>
        <v>25980.199999999997</v>
      </c>
      <c r="F174" s="432">
        <f>'B) D RI'!U175</f>
        <v>6245.666153846154</v>
      </c>
      <c r="G174" s="263">
        <f t="shared" si="9"/>
        <v>4.1597164113552703</v>
      </c>
      <c r="H174" s="55">
        <f t="shared" si="10"/>
        <v>12990.099999999999</v>
      </c>
      <c r="I174" s="402">
        <f t="shared" si="11"/>
        <v>2.0798582056776351</v>
      </c>
    </row>
    <row r="175" spans="1:9" x14ac:dyDescent="0.25">
      <c r="A175" s="49">
        <f>'A) Base RI'!A176</f>
        <v>5690</v>
      </c>
      <c r="B175" s="492" t="str">
        <f>'A) Base RI'!B176</f>
        <v>Villars-le-Comte</v>
      </c>
      <c r="C175" s="10">
        <f>'B) D RI'!Y176</f>
        <v>19414.5</v>
      </c>
      <c r="D175" s="432">
        <f>'B) D RI'!Z176</f>
        <v>0</v>
      </c>
      <c r="E175" s="10">
        <f t="shared" si="8"/>
        <v>19414.5</v>
      </c>
      <c r="F175" s="432">
        <f>'B) D RI'!U176</f>
        <v>3510.0358095238093</v>
      </c>
      <c r="G175" s="263">
        <f t="shared" si="9"/>
        <v>5.5311401517108392</v>
      </c>
      <c r="H175" s="55">
        <f t="shared" si="10"/>
        <v>9707.25</v>
      </c>
      <c r="I175" s="402">
        <f t="shared" si="11"/>
        <v>2.7655700758554196</v>
      </c>
    </row>
    <row r="176" spans="1:9" x14ac:dyDescent="0.25">
      <c r="A176" s="49">
        <f>'A) Base RI'!A177</f>
        <v>5692</v>
      </c>
      <c r="B176" s="492" t="str">
        <f>'A) Base RI'!B177</f>
        <v>Vucherens</v>
      </c>
      <c r="C176" s="10">
        <f>'B) D RI'!Y177</f>
        <v>194160.7</v>
      </c>
      <c r="D176" s="432">
        <f>'B) D RI'!Z177</f>
        <v>10724.2</v>
      </c>
      <c r="E176" s="10">
        <f t="shared" si="8"/>
        <v>204884.90000000002</v>
      </c>
      <c r="F176" s="432">
        <f>'B) D RI'!U177</f>
        <v>18793.189090909087</v>
      </c>
      <c r="G176" s="263">
        <f t="shared" si="9"/>
        <v>10.90208261135998</v>
      </c>
      <c r="H176" s="55">
        <f t="shared" si="10"/>
        <v>100297.61</v>
      </c>
      <c r="I176" s="402">
        <f t="shared" si="11"/>
        <v>5.3369127248614454</v>
      </c>
    </row>
    <row r="177" spans="1:9" x14ac:dyDescent="0.25">
      <c r="A177" s="49">
        <f>'A) Base RI'!A178</f>
        <v>5693</v>
      </c>
      <c r="B177" s="492" t="str">
        <f>'A) Base RI'!B178</f>
        <v>Montanaire</v>
      </c>
      <c r="C177" s="10">
        <f>'B) D RI'!Y178</f>
        <v>485355.5</v>
      </c>
      <c r="D177" s="432">
        <f>'B) D RI'!Z178</f>
        <v>63509.05</v>
      </c>
      <c r="E177" s="10">
        <f t="shared" si="8"/>
        <v>548864.55000000005</v>
      </c>
      <c r="F177" s="432">
        <f>'B) D RI'!U178</f>
        <v>75690.162142857153</v>
      </c>
      <c r="G177" s="263">
        <f t="shared" si="9"/>
        <v>7.2514648464364022</v>
      </c>
      <c r="H177" s="55">
        <f t="shared" si="10"/>
        <v>261730.465</v>
      </c>
      <c r="I177" s="402">
        <f t="shared" si="11"/>
        <v>3.4579192009922175</v>
      </c>
    </row>
    <row r="178" spans="1:9" x14ac:dyDescent="0.25">
      <c r="A178" s="49">
        <f>'A) Base RI'!A179</f>
        <v>5701</v>
      </c>
      <c r="B178" s="492" t="str">
        <f>'A) Base RI'!B179</f>
        <v>Arnex-sur-Nyon</v>
      </c>
      <c r="C178" s="10">
        <f>'B) D RI'!Y179</f>
        <v>162632</v>
      </c>
      <c r="D178" s="432">
        <f>'B) D RI'!Z179</f>
        <v>1264.6500000000001</v>
      </c>
      <c r="E178" s="10">
        <f t="shared" si="8"/>
        <v>163896.65</v>
      </c>
      <c r="F178" s="432">
        <f>'B) D RI'!U179</f>
        <v>14488.714857142857</v>
      </c>
      <c r="G178" s="263">
        <f t="shared" si="9"/>
        <v>11.312021225899125</v>
      </c>
      <c r="H178" s="55">
        <f t="shared" si="10"/>
        <v>81695.395000000004</v>
      </c>
      <c r="I178" s="402">
        <f t="shared" si="11"/>
        <v>5.6385535781128731</v>
      </c>
    </row>
    <row r="179" spans="1:9" x14ac:dyDescent="0.25">
      <c r="A179" s="49">
        <f>'A) Base RI'!A180</f>
        <v>5702</v>
      </c>
      <c r="B179" s="492" t="str">
        <f>'A) Base RI'!B180</f>
        <v>Arzier-Le Muids</v>
      </c>
      <c r="C179" s="10">
        <f>'B) D RI'!Y180</f>
        <v>1466606.65</v>
      </c>
      <c r="D179" s="432">
        <f>'B) D RI'!Z180</f>
        <v>76946.45</v>
      </c>
      <c r="E179" s="10">
        <f t="shared" si="8"/>
        <v>1543553.0999999999</v>
      </c>
      <c r="F179" s="432">
        <f>'B) D RI'!U180</f>
        <v>174862.96255208339</v>
      </c>
      <c r="G179" s="263">
        <f t="shared" si="9"/>
        <v>8.8272157664047839</v>
      </c>
      <c r="H179" s="55">
        <f t="shared" si="10"/>
        <v>756387.26</v>
      </c>
      <c r="I179" s="402">
        <f t="shared" si="11"/>
        <v>4.3256001669004558</v>
      </c>
    </row>
    <row r="180" spans="1:9" x14ac:dyDescent="0.25">
      <c r="A180" s="49">
        <f>'A) Base RI'!A181</f>
        <v>5703</v>
      </c>
      <c r="B180" s="492" t="str">
        <f>'A) Base RI'!B181</f>
        <v>Bassins</v>
      </c>
      <c r="C180" s="10">
        <f>'B) D RI'!Y181</f>
        <v>479756.44999999995</v>
      </c>
      <c r="D180" s="432">
        <f>'B) D RI'!Z181</f>
        <v>30033.35</v>
      </c>
      <c r="E180" s="10">
        <f t="shared" si="8"/>
        <v>509789.79999999993</v>
      </c>
      <c r="F180" s="432">
        <f>'B) D RI'!U181</f>
        <v>66800.247822660094</v>
      </c>
      <c r="G180" s="263">
        <f t="shared" si="9"/>
        <v>7.6315555198744063</v>
      </c>
      <c r="H180" s="55">
        <f t="shared" si="10"/>
        <v>248888.22999999998</v>
      </c>
      <c r="I180" s="402">
        <f t="shared" si="11"/>
        <v>3.725857883951917</v>
      </c>
    </row>
    <row r="181" spans="1:9" x14ac:dyDescent="0.25">
      <c r="A181" s="49">
        <f>'A) Base RI'!A182</f>
        <v>5704</v>
      </c>
      <c r="B181" s="492" t="str">
        <f>'A) Base RI'!B182</f>
        <v>Begnins</v>
      </c>
      <c r="C181" s="10">
        <f>'B) D RI'!Y182</f>
        <v>624675.5</v>
      </c>
      <c r="D181" s="432">
        <f>'B) D RI'!Z182</f>
        <v>24992.05</v>
      </c>
      <c r="E181" s="10">
        <f t="shared" si="8"/>
        <v>649667.55000000005</v>
      </c>
      <c r="F181" s="432">
        <f>'B) D RI'!U182</f>
        <v>202343.35360000003</v>
      </c>
      <c r="G181" s="263">
        <f t="shared" si="9"/>
        <v>3.210718506150132</v>
      </c>
      <c r="H181" s="55">
        <f t="shared" si="10"/>
        <v>319835.36499999999</v>
      </c>
      <c r="I181" s="402">
        <f t="shared" si="11"/>
        <v>1.5806566378862268</v>
      </c>
    </row>
    <row r="182" spans="1:9" x14ac:dyDescent="0.25">
      <c r="A182" s="49">
        <f>'A) Base RI'!A183</f>
        <v>5705</v>
      </c>
      <c r="B182" s="492" t="str">
        <f>'A) Base RI'!B183</f>
        <v>Bogis-Bossey</v>
      </c>
      <c r="C182" s="10">
        <f>'B) D RI'!Y183</f>
        <v>544218.4</v>
      </c>
      <c r="D182" s="432">
        <f>'B) D RI'!Z183</f>
        <v>47048.800000000003</v>
      </c>
      <c r="E182" s="10">
        <f t="shared" si="8"/>
        <v>591267.20000000007</v>
      </c>
      <c r="F182" s="432">
        <f>'B) D RI'!U183</f>
        <v>51953.338389261742</v>
      </c>
      <c r="G182" s="263">
        <f t="shared" si="9"/>
        <v>11.380735450913956</v>
      </c>
      <c r="H182" s="55">
        <f t="shared" si="10"/>
        <v>286223.84000000003</v>
      </c>
      <c r="I182" s="402">
        <f t="shared" si="11"/>
        <v>5.5092482768953257</v>
      </c>
    </row>
    <row r="183" spans="1:9" x14ac:dyDescent="0.25">
      <c r="A183" s="49">
        <f>'A) Base RI'!A184</f>
        <v>5706</v>
      </c>
      <c r="B183" s="492" t="str">
        <f>'A) Base RI'!B184</f>
        <v>Borex</v>
      </c>
      <c r="C183" s="10">
        <f>'B) D RI'!Y184</f>
        <v>319899.59999999998</v>
      </c>
      <c r="D183" s="432">
        <f>'B) D RI'!Z184</f>
        <v>10314.15</v>
      </c>
      <c r="E183" s="10">
        <f t="shared" si="8"/>
        <v>330213.75</v>
      </c>
      <c r="F183" s="432">
        <f>'B) D RI'!U184</f>
        <v>71207.99596491229</v>
      </c>
      <c r="G183" s="263">
        <f t="shared" si="9"/>
        <v>4.6373127838440036</v>
      </c>
      <c r="H183" s="55">
        <f t="shared" si="10"/>
        <v>163044.04499999998</v>
      </c>
      <c r="I183" s="402">
        <f t="shared" si="11"/>
        <v>2.289687313772176</v>
      </c>
    </row>
    <row r="184" spans="1:9" x14ac:dyDescent="0.25">
      <c r="A184" s="49">
        <f>'A) Base RI'!A185</f>
        <v>5707</v>
      </c>
      <c r="B184" s="492" t="str">
        <f>'A) Base RI'!B185</f>
        <v>Chavannes-de-Bogis</v>
      </c>
      <c r="C184" s="10">
        <f>'B) D RI'!Y185</f>
        <v>848545.85</v>
      </c>
      <c r="D184" s="432">
        <f>'B) D RI'!Z185</f>
        <v>706882.95</v>
      </c>
      <c r="E184" s="10">
        <f t="shared" si="8"/>
        <v>1555428.7999999998</v>
      </c>
      <c r="F184" s="432">
        <f>'B) D RI'!U185</f>
        <v>88021.415574712664</v>
      </c>
      <c r="G184" s="263">
        <f t="shared" si="9"/>
        <v>17.671026872769961</v>
      </c>
      <c r="H184" s="55">
        <f t="shared" si="10"/>
        <v>636337.80999999994</v>
      </c>
      <c r="I184" s="402">
        <f t="shared" si="11"/>
        <v>7.2293521507828489</v>
      </c>
    </row>
    <row r="185" spans="1:9" x14ac:dyDescent="0.25">
      <c r="A185" s="49">
        <f>'A) Base RI'!A186</f>
        <v>5708</v>
      </c>
      <c r="B185" s="492" t="str">
        <f>'A) Base RI'!B186</f>
        <v>Chavannes-des-Bois</v>
      </c>
      <c r="C185" s="10">
        <f>'B) D RI'!Y186</f>
        <v>282870.09999999998</v>
      </c>
      <c r="D185" s="432">
        <f>'B) D RI'!Z186</f>
        <v>11789.25</v>
      </c>
      <c r="E185" s="10">
        <f t="shared" si="8"/>
        <v>294659.34999999998</v>
      </c>
      <c r="F185" s="432">
        <f>'B) D RI'!U186</f>
        <v>67001.640000000014</v>
      </c>
      <c r="G185" s="263">
        <f t="shared" si="9"/>
        <v>4.3977930987957894</v>
      </c>
      <c r="H185" s="55">
        <f t="shared" si="10"/>
        <v>144971.82499999998</v>
      </c>
      <c r="I185" s="402">
        <f t="shared" si="11"/>
        <v>2.1637056197430384</v>
      </c>
    </row>
    <row r="186" spans="1:9" x14ac:dyDescent="0.25">
      <c r="A186" s="49">
        <f>'A) Base RI'!A187</f>
        <v>5709</v>
      </c>
      <c r="B186" s="492" t="str">
        <f>'A) Base RI'!B187</f>
        <v>Chéserex</v>
      </c>
      <c r="C186" s="10">
        <f>'B) D RI'!Y187</f>
        <v>1836317.2000000002</v>
      </c>
      <c r="D186" s="432">
        <f>'B) D RI'!Z187</f>
        <v>45594</v>
      </c>
      <c r="E186" s="10">
        <f t="shared" si="8"/>
        <v>1881911.2000000002</v>
      </c>
      <c r="F186" s="432">
        <f>'B) D RI'!U187</f>
        <v>88342.385614035084</v>
      </c>
      <c r="G186" s="263">
        <f t="shared" si="9"/>
        <v>21.302472045774348</v>
      </c>
      <c r="H186" s="55">
        <f t="shared" si="10"/>
        <v>931836.8</v>
      </c>
      <c r="I186" s="402">
        <f t="shared" si="11"/>
        <v>10.548014902734954</v>
      </c>
    </row>
    <row r="187" spans="1:9" x14ac:dyDescent="0.25">
      <c r="A187" s="49">
        <f>'A) Base RI'!A188</f>
        <v>5710</v>
      </c>
      <c r="B187" s="492" t="str">
        <f>'A) Base RI'!B188</f>
        <v>Coinsins</v>
      </c>
      <c r="C187" s="10">
        <f>'B) D RI'!Y188</f>
        <v>158301.75</v>
      </c>
      <c r="D187" s="432">
        <f>'B) D RI'!Z188</f>
        <v>46509.95</v>
      </c>
      <c r="E187" s="10">
        <f t="shared" si="8"/>
        <v>204811.7</v>
      </c>
      <c r="F187" s="432">
        <f>'B) D RI'!U188</f>
        <v>43412.265098039228</v>
      </c>
      <c r="G187" s="263">
        <f t="shared" si="9"/>
        <v>4.717830307574773</v>
      </c>
      <c r="H187" s="55">
        <f t="shared" si="10"/>
        <v>93103.86</v>
      </c>
      <c r="I187" s="402">
        <f t="shared" si="11"/>
        <v>2.1446441412292296</v>
      </c>
    </row>
    <row r="188" spans="1:9" x14ac:dyDescent="0.25">
      <c r="A188" s="49">
        <f>'A) Base RI'!A189</f>
        <v>5711</v>
      </c>
      <c r="B188" s="492" t="str">
        <f>'A) Base RI'!B189</f>
        <v>Commugny</v>
      </c>
      <c r="C188" s="10">
        <f>'B) D RI'!Y189</f>
        <v>2190966.0499999998</v>
      </c>
      <c r="D188" s="432">
        <f>'B) D RI'!Z189</f>
        <v>25768.5</v>
      </c>
      <c r="E188" s="10">
        <f t="shared" si="8"/>
        <v>2216734.5499999998</v>
      </c>
      <c r="F188" s="432">
        <f>'B) D RI'!U189</f>
        <v>286273.03470547468</v>
      </c>
      <c r="G188" s="263">
        <f t="shared" si="9"/>
        <v>7.7434277115224468</v>
      </c>
      <c r="H188" s="55">
        <f t="shared" si="10"/>
        <v>1103213.575</v>
      </c>
      <c r="I188" s="402">
        <f t="shared" si="11"/>
        <v>3.8537111123128152</v>
      </c>
    </row>
    <row r="189" spans="1:9" x14ac:dyDescent="0.25">
      <c r="A189" s="49">
        <f>'A) Base RI'!A190</f>
        <v>5712</v>
      </c>
      <c r="B189" s="492" t="str">
        <f>'A) Base RI'!B190</f>
        <v>Coppet</v>
      </c>
      <c r="C189" s="10">
        <f>'B) D RI'!Y190</f>
        <v>2053575.65</v>
      </c>
      <c r="D189" s="432">
        <f>'B) D RI'!Z190</f>
        <v>136878.75</v>
      </c>
      <c r="E189" s="10">
        <f t="shared" si="8"/>
        <v>2190454.4</v>
      </c>
      <c r="F189" s="432">
        <f>'B) D RI'!U190</f>
        <v>333754.3945283019</v>
      </c>
      <c r="G189" s="263">
        <f t="shared" si="9"/>
        <v>6.5630728341293869</v>
      </c>
      <c r="H189" s="55">
        <f t="shared" si="10"/>
        <v>1067851.45</v>
      </c>
      <c r="I189" s="402">
        <f t="shared" si="11"/>
        <v>3.1995127779791606</v>
      </c>
    </row>
    <row r="190" spans="1:9" x14ac:dyDescent="0.25">
      <c r="A190" s="49">
        <f>'A) Base RI'!A191</f>
        <v>5713</v>
      </c>
      <c r="B190" s="492" t="str">
        <f>'A) Base RI'!B191</f>
        <v>Crans</v>
      </c>
      <c r="C190" s="10">
        <f>'B) D RI'!Y191</f>
        <v>3286153</v>
      </c>
      <c r="D190" s="432">
        <f>'B) D RI'!Z191</f>
        <v>40096.699999999997</v>
      </c>
      <c r="E190" s="10">
        <f t="shared" si="8"/>
        <v>3326249.7</v>
      </c>
      <c r="F190" s="432">
        <f>'B) D RI'!U191</f>
        <v>302504.79982142855</v>
      </c>
      <c r="G190" s="263">
        <f t="shared" si="9"/>
        <v>10.995692306249412</v>
      </c>
      <c r="H190" s="55">
        <f t="shared" si="10"/>
        <v>1655105.51</v>
      </c>
      <c r="I190" s="402">
        <f t="shared" si="11"/>
        <v>5.4713363588843036</v>
      </c>
    </row>
    <row r="191" spans="1:9" x14ac:dyDescent="0.25">
      <c r="A191" s="49">
        <f>'A) Base RI'!A192</f>
        <v>5714</v>
      </c>
      <c r="B191" s="492" t="str">
        <f>'A) Base RI'!B192</f>
        <v>Crassier</v>
      </c>
      <c r="C191" s="10">
        <f>'B) D RI'!Y192</f>
        <v>615564.55000000005</v>
      </c>
      <c r="D191" s="432">
        <f>'B) D RI'!Z192</f>
        <v>144109.9</v>
      </c>
      <c r="E191" s="10">
        <f t="shared" si="8"/>
        <v>759674.45000000007</v>
      </c>
      <c r="F191" s="432">
        <f>'B) D RI'!U192</f>
        <v>62136.029852941167</v>
      </c>
      <c r="G191" s="263">
        <f t="shared" si="9"/>
        <v>12.225989523275624</v>
      </c>
      <c r="H191" s="55">
        <f t="shared" si="10"/>
        <v>351015.245</v>
      </c>
      <c r="I191" s="402">
        <f t="shared" si="11"/>
        <v>5.6491418236851665</v>
      </c>
    </row>
    <row r="192" spans="1:9" x14ac:dyDescent="0.25">
      <c r="A192" s="49">
        <f>'A) Base RI'!A193</f>
        <v>5715</v>
      </c>
      <c r="B192" s="492" t="str">
        <f>'A) Base RI'!B193</f>
        <v>Duillier</v>
      </c>
      <c r="C192" s="10">
        <f>'B) D RI'!Y193</f>
        <v>856485.55</v>
      </c>
      <c r="D192" s="432">
        <f>'B) D RI'!Z193</f>
        <v>115813.65</v>
      </c>
      <c r="E192" s="10">
        <f t="shared" si="8"/>
        <v>972299.20000000007</v>
      </c>
      <c r="F192" s="432">
        <f>'B) D RI'!U193</f>
        <v>70395.129393939395</v>
      </c>
      <c r="G192" s="263">
        <f t="shared" si="9"/>
        <v>13.812023763162644</v>
      </c>
      <c r="H192" s="55">
        <f t="shared" si="10"/>
        <v>462986.87</v>
      </c>
      <c r="I192" s="402">
        <f t="shared" si="11"/>
        <v>6.5769730659783461</v>
      </c>
    </row>
    <row r="193" spans="1:9" x14ac:dyDescent="0.25">
      <c r="A193" s="49">
        <f>'A) Base RI'!A194</f>
        <v>5716</v>
      </c>
      <c r="B193" s="492" t="str">
        <f>'A) Base RI'!B194</f>
        <v>Eysins</v>
      </c>
      <c r="C193" s="10">
        <f>'B) D RI'!Y194</f>
        <v>198476.75</v>
      </c>
      <c r="D193" s="432">
        <f>'B) D RI'!Z194</f>
        <v>412218.95</v>
      </c>
      <c r="E193" s="10">
        <f t="shared" si="8"/>
        <v>610695.69999999995</v>
      </c>
      <c r="F193" s="432">
        <f>'B) D RI'!U194</f>
        <v>203854.36605042018</v>
      </c>
      <c r="G193" s="263">
        <f t="shared" si="9"/>
        <v>2.9957450106756798</v>
      </c>
      <c r="H193" s="55">
        <f t="shared" si="10"/>
        <v>222904.06</v>
      </c>
      <c r="I193" s="402">
        <f t="shared" si="11"/>
        <v>1.09344756415405</v>
      </c>
    </row>
    <row r="194" spans="1:9" x14ac:dyDescent="0.25">
      <c r="A194" s="49">
        <f>'A) Base RI'!A195</f>
        <v>5717</v>
      </c>
      <c r="B194" s="492" t="str">
        <f>'A) Base RI'!B195</f>
        <v>Founex</v>
      </c>
      <c r="C194" s="10">
        <f>'B) D RI'!Y195</f>
        <v>1665723.5499999998</v>
      </c>
      <c r="D194" s="432">
        <f>'B) D RI'!Z195</f>
        <v>202572.75</v>
      </c>
      <c r="E194" s="10">
        <f t="shared" si="8"/>
        <v>1868296.2999999998</v>
      </c>
      <c r="F194" s="432">
        <f>'B) D RI'!U195</f>
        <v>390728.72</v>
      </c>
      <c r="G194" s="263">
        <f t="shared" si="9"/>
        <v>4.781568910521858</v>
      </c>
      <c r="H194" s="55">
        <f t="shared" si="10"/>
        <v>893633.59999999986</v>
      </c>
      <c r="I194" s="402">
        <f t="shared" si="11"/>
        <v>2.2870947392861214</v>
      </c>
    </row>
    <row r="195" spans="1:9" x14ac:dyDescent="0.25">
      <c r="A195" s="49">
        <f>'A) Base RI'!A196</f>
        <v>5718</v>
      </c>
      <c r="B195" s="492" t="str">
        <f>'A) Base RI'!B196</f>
        <v>Genolier</v>
      </c>
      <c r="C195" s="10">
        <f>'B) D RI'!Y196</f>
        <v>1235147.8999999999</v>
      </c>
      <c r="D195" s="432">
        <f>'B) D RI'!Z196</f>
        <v>221075.95</v>
      </c>
      <c r="E195" s="10">
        <f t="shared" si="8"/>
        <v>1456223.8499999999</v>
      </c>
      <c r="F195" s="432">
        <f>'B) D RI'!U196</f>
        <v>192274.57272727272</v>
      </c>
      <c r="G195" s="263">
        <f t="shared" si="9"/>
        <v>7.5736683709371482</v>
      </c>
      <c r="H195" s="55">
        <f t="shared" si="10"/>
        <v>683896.73499999999</v>
      </c>
      <c r="I195" s="402">
        <f t="shared" si="11"/>
        <v>3.5568755935817733</v>
      </c>
    </row>
    <row r="196" spans="1:9" x14ac:dyDescent="0.25">
      <c r="A196" s="49">
        <f>'A) Base RI'!A197</f>
        <v>5719</v>
      </c>
      <c r="B196" s="492" t="str">
        <f>'A) Base RI'!B197</f>
        <v>Gingins</v>
      </c>
      <c r="C196" s="10">
        <f>'B) D RI'!Y197</f>
        <v>773289.35</v>
      </c>
      <c r="D196" s="432">
        <f>'B) D RI'!Z197</f>
        <v>49842.05</v>
      </c>
      <c r="E196" s="10">
        <f t="shared" si="8"/>
        <v>823131.4</v>
      </c>
      <c r="F196" s="432">
        <f>'B) D RI'!U197</f>
        <v>151296.69466666671</v>
      </c>
      <c r="G196" s="263">
        <f t="shared" si="9"/>
        <v>5.4405114521074216</v>
      </c>
      <c r="H196" s="55">
        <f t="shared" si="10"/>
        <v>401597.29</v>
      </c>
      <c r="I196" s="402">
        <f t="shared" si="11"/>
        <v>2.6543692238934211</v>
      </c>
    </row>
    <row r="197" spans="1:9" x14ac:dyDescent="0.25">
      <c r="A197" s="49">
        <f>'A) Base RI'!A198</f>
        <v>5720</v>
      </c>
      <c r="B197" s="492" t="str">
        <f>'A) Base RI'!B198</f>
        <v>Givrins</v>
      </c>
      <c r="C197" s="10">
        <f>'B) D RI'!Y198</f>
        <v>532676.10000000009</v>
      </c>
      <c r="D197" s="432">
        <f>'B) D RI'!Z198</f>
        <v>16468.349999999999</v>
      </c>
      <c r="E197" s="10">
        <f t="shared" si="8"/>
        <v>549144.45000000007</v>
      </c>
      <c r="F197" s="432">
        <f>'B) D RI'!U198</f>
        <v>74789.829883913771</v>
      </c>
      <c r="G197" s="263">
        <f t="shared" si="9"/>
        <v>7.3425016590138448</v>
      </c>
      <c r="H197" s="55">
        <f t="shared" si="10"/>
        <v>271278.55500000005</v>
      </c>
      <c r="I197" s="402">
        <f t="shared" si="11"/>
        <v>3.6272118203914809</v>
      </c>
    </row>
    <row r="198" spans="1:9" x14ac:dyDescent="0.25">
      <c r="A198" s="49">
        <f>'A) Base RI'!A199</f>
        <v>5721</v>
      </c>
      <c r="B198" s="492" t="str">
        <f>'A) Base RI'!B199</f>
        <v>Gland</v>
      </c>
      <c r="C198" s="10">
        <f>'B) D RI'!Y199</f>
        <v>3689138.3</v>
      </c>
      <c r="D198" s="432">
        <f>'B) D RI'!Z199</f>
        <v>2270512.4</v>
      </c>
      <c r="E198" s="10">
        <f t="shared" ref="E198:E261" si="12">C198+D198</f>
        <v>5959650.6999999993</v>
      </c>
      <c r="F198" s="432">
        <f>'B) D RI'!U199</f>
        <v>723023.81196721317</v>
      </c>
      <c r="G198" s="263">
        <f t="shared" ref="G198:G261" si="13">E198/F198</f>
        <v>8.2426755541908072</v>
      </c>
      <c r="H198" s="55">
        <f t="shared" ref="H198:H261" si="14">(C198*$C$5)+(D198*$D$5)</f>
        <v>2525722.87</v>
      </c>
      <c r="I198" s="402">
        <f t="shared" ref="I198:I261" si="15">H198/F198</f>
        <v>3.4932775770247155</v>
      </c>
    </row>
    <row r="199" spans="1:9" x14ac:dyDescent="0.25">
      <c r="A199" s="49">
        <f>'A) Base RI'!A200</f>
        <v>5722</v>
      </c>
      <c r="B199" s="492" t="str">
        <f>'A) Base RI'!B200</f>
        <v>Grens</v>
      </c>
      <c r="C199" s="10">
        <f>'B) D RI'!Y200</f>
        <v>16924</v>
      </c>
      <c r="D199" s="432">
        <f>'B) D RI'!Z200</f>
        <v>13044.45</v>
      </c>
      <c r="E199" s="10">
        <f t="shared" si="12"/>
        <v>29968.45</v>
      </c>
      <c r="F199" s="432">
        <f>'B) D RI'!U200</f>
        <v>22316.761129032264</v>
      </c>
      <c r="G199" s="263">
        <f t="shared" si="13"/>
        <v>1.3428673554700337</v>
      </c>
      <c r="H199" s="55">
        <f t="shared" si="14"/>
        <v>12375.334999999999</v>
      </c>
      <c r="I199" s="402">
        <f t="shared" si="15"/>
        <v>0.55453096121106527</v>
      </c>
    </row>
    <row r="200" spans="1:9" x14ac:dyDescent="0.25">
      <c r="A200" s="49">
        <f>'A) Base RI'!A201</f>
        <v>5723</v>
      </c>
      <c r="B200" s="492" t="str">
        <f>'A) Base RI'!B201</f>
        <v>Mies</v>
      </c>
      <c r="C200" s="10">
        <f>'B) D RI'!Y201</f>
        <v>3188837.0500000003</v>
      </c>
      <c r="D200" s="432">
        <f>'B) D RI'!Z201</f>
        <v>267148.3</v>
      </c>
      <c r="E200" s="10">
        <f t="shared" si="12"/>
        <v>3455985.35</v>
      </c>
      <c r="F200" s="432">
        <f>'B) D RI'!U201</f>
        <v>245974.84538461536</v>
      </c>
      <c r="G200" s="263">
        <f t="shared" si="13"/>
        <v>14.050157627281333</v>
      </c>
      <c r="H200" s="55">
        <f t="shared" si="14"/>
        <v>1674563.0150000001</v>
      </c>
      <c r="I200" s="402">
        <f t="shared" si="15"/>
        <v>6.8078628624873874</v>
      </c>
    </row>
    <row r="201" spans="1:9" x14ac:dyDescent="0.25">
      <c r="A201" s="49">
        <f>'A) Base RI'!A202</f>
        <v>5724</v>
      </c>
      <c r="B201" s="492" t="str">
        <f>'A) Base RI'!B202</f>
        <v>Nyon</v>
      </c>
      <c r="C201" s="10">
        <f>'B) D RI'!Y202</f>
        <v>10442523.600000001</v>
      </c>
      <c r="D201" s="432">
        <f>'B) D RI'!Z202</f>
        <v>5207617.95</v>
      </c>
      <c r="E201" s="10">
        <f t="shared" si="12"/>
        <v>15650141.550000001</v>
      </c>
      <c r="F201" s="432">
        <f>'B) D RI'!U202</f>
        <v>1461873.0345355188</v>
      </c>
      <c r="G201" s="263">
        <f t="shared" si="13"/>
        <v>10.705540891909619</v>
      </c>
      <c r="H201" s="55">
        <f t="shared" si="14"/>
        <v>6783547.1850000005</v>
      </c>
      <c r="I201" s="402">
        <f t="shared" si="15"/>
        <v>4.6403121370628044</v>
      </c>
    </row>
    <row r="202" spans="1:9" x14ac:dyDescent="0.25">
      <c r="A202" s="49">
        <f>'A) Base RI'!A203</f>
        <v>5725</v>
      </c>
      <c r="B202" s="492" t="str">
        <f>'A) Base RI'!B203</f>
        <v>Prangins</v>
      </c>
      <c r="C202" s="10">
        <f>'B) D RI'!Y203</f>
        <v>1310583.95</v>
      </c>
      <c r="D202" s="432">
        <f>'B) D RI'!Z203</f>
        <v>1315566.8999999999</v>
      </c>
      <c r="E202" s="10">
        <f t="shared" si="12"/>
        <v>2626150.8499999996</v>
      </c>
      <c r="F202" s="432">
        <f>'B) D RI'!U203</f>
        <v>355082.58820779232</v>
      </c>
      <c r="G202" s="263">
        <f t="shared" si="13"/>
        <v>7.3958874279219549</v>
      </c>
      <c r="H202" s="55">
        <f t="shared" si="14"/>
        <v>1049962.0449999999</v>
      </c>
      <c r="I202" s="402">
        <f t="shared" si="15"/>
        <v>2.9569516497541359</v>
      </c>
    </row>
    <row r="203" spans="1:9" x14ac:dyDescent="0.25">
      <c r="A203" s="49">
        <f>'A) Base RI'!A204</f>
        <v>5726</v>
      </c>
      <c r="B203" s="492" t="str">
        <f>'A) Base RI'!B204</f>
        <v>La Rippe</v>
      </c>
      <c r="C203" s="10">
        <f>'B) D RI'!Y204</f>
        <v>468258.95</v>
      </c>
      <c r="D203" s="432">
        <f>'B) D RI'!Z204</f>
        <v>42138.55</v>
      </c>
      <c r="E203" s="10">
        <f t="shared" si="12"/>
        <v>510397.5</v>
      </c>
      <c r="F203" s="432">
        <f>'B) D RI'!U204</f>
        <v>70366.469687500008</v>
      </c>
      <c r="G203" s="263">
        <f t="shared" si="13"/>
        <v>7.2534191677754114</v>
      </c>
      <c r="H203" s="55">
        <f t="shared" si="14"/>
        <v>246771.04</v>
      </c>
      <c r="I203" s="402">
        <f t="shared" si="15"/>
        <v>3.5069407502738019</v>
      </c>
    </row>
    <row r="204" spans="1:9" x14ac:dyDescent="0.25">
      <c r="A204" s="49">
        <f>'A) Base RI'!A205</f>
        <v>5727</v>
      </c>
      <c r="B204" s="492" t="str">
        <f>'A) Base RI'!B205</f>
        <v>Saint-Cergue</v>
      </c>
      <c r="C204" s="10">
        <f>'B) D RI'!Y205</f>
        <v>1363484.7000000002</v>
      </c>
      <c r="D204" s="432">
        <f>'B) D RI'!Z205</f>
        <v>182727.2</v>
      </c>
      <c r="E204" s="10">
        <f t="shared" si="12"/>
        <v>1546211.9000000001</v>
      </c>
      <c r="F204" s="432">
        <f>'B) D RI'!U205</f>
        <v>106173.30404040407</v>
      </c>
      <c r="G204" s="263">
        <f t="shared" si="13"/>
        <v>14.563094875634574</v>
      </c>
      <c r="H204" s="55">
        <f t="shared" si="14"/>
        <v>736560.51000000013</v>
      </c>
      <c r="I204" s="402">
        <f t="shared" si="15"/>
        <v>6.9373418926447208</v>
      </c>
    </row>
    <row r="205" spans="1:9" x14ac:dyDescent="0.25">
      <c r="A205" s="49">
        <f>'A) Base RI'!A206</f>
        <v>5728</v>
      </c>
      <c r="B205" s="492" t="str">
        <f>'A) Base RI'!B206</f>
        <v>Signy-Avenex</v>
      </c>
      <c r="C205" s="10">
        <f>'B) D RI'!Y206</f>
        <v>249845.65</v>
      </c>
      <c r="D205" s="432">
        <f>'B) D RI'!Z206</f>
        <v>172706.65</v>
      </c>
      <c r="E205" s="10">
        <f t="shared" si="12"/>
        <v>422552.3</v>
      </c>
      <c r="F205" s="432">
        <f>'B) D RI'!U206</f>
        <v>56477.02620689656</v>
      </c>
      <c r="G205" s="263">
        <f t="shared" si="13"/>
        <v>7.4818440059508831</v>
      </c>
      <c r="H205" s="55">
        <f t="shared" si="14"/>
        <v>176734.82</v>
      </c>
      <c r="I205" s="402">
        <f t="shared" si="15"/>
        <v>3.1293223434349038</v>
      </c>
    </row>
    <row r="206" spans="1:9" x14ac:dyDescent="0.25">
      <c r="A206" s="49">
        <f>'A) Base RI'!A207</f>
        <v>5729</v>
      </c>
      <c r="B206" s="492" t="str">
        <f>'A) Base RI'!B207</f>
        <v>Tannay</v>
      </c>
      <c r="C206" s="10">
        <f>'B) D RI'!Y207</f>
        <v>1253887.1000000001</v>
      </c>
      <c r="D206" s="432">
        <f>'B) D RI'!Z207</f>
        <v>17196.75</v>
      </c>
      <c r="E206" s="10">
        <f t="shared" si="12"/>
        <v>1271083.8500000001</v>
      </c>
      <c r="F206" s="432">
        <f>'B) D RI'!U207</f>
        <v>161688.04044077132</v>
      </c>
      <c r="G206" s="263">
        <f t="shared" si="13"/>
        <v>7.8613349913509314</v>
      </c>
      <c r="H206" s="55">
        <f t="shared" si="14"/>
        <v>632102.57500000007</v>
      </c>
      <c r="I206" s="402">
        <f t="shared" si="15"/>
        <v>3.9093959780627587</v>
      </c>
    </row>
    <row r="207" spans="1:9" x14ac:dyDescent="0.25">
      <c r="A207" s="49">
        <f>'A) Base RI'!A208</f>
        <v>5730</v>
      </c>
      <c r="B207" s="492" t="str">
        <f>'A) Base RI'!B208</f>
        <v>Trélex</v>
      </c>
      <c r="C207" s="10">
        <f>'B) D RI'!Y208</f>
        <v>1553705.6</v>
      </c>
      <c r="D207" s="432">
        <f>'B) D RI'!Z208</f>
        <v>18029.25</v>
      </c>
      <c r="E207" s="10">
        <f t="shared" si="12"/>
        <v>1571734.85</v>
      </c>
      <c r="F207" s="432">
        <f>'B) D RI'!U208</f>
        <v>125085.64878878882</v>
      </c>
      <c r="G207" s="263">
        <f t="shared" si="13"/>
        <v>12.565269199298198</v>
      </c>
      <c r="H207" s="55">
        <f t="shared" si="14"/>
        <v>782261.57500000007</v>
      </c>
      <c r="I207" s="402">
        <f t="shared" si="15"/>
        <v>6.253807551663054</v>
      </c>
    </row>
    <row r="208" spans="1:9" x14ac:dyDescent="0.25">
      <c r="A208" s="49">
        <f>'A) Base RI'!A209</f>
        <v>5731</v>
      </c>
      <c r="B208" s="492" t="str">
        <f>'A) Base RI'!B209</f>
        <v>Le Vaud</v>
      </c>
      <c r="C208" s="10">
        <f>'B) D RI'!Y209</f>
        <v>233518.40000000002</v>
      </c>
      <c r="D208" s="432">
        <f>'B) D RI'!Z209</f>
        <v>62795.199999999997</v>
      </c>
      <c r="E208" s="10">
        <f t="shared" si="12"/>
        <v>296313.60000000003</v>
      </c>
      <c r="F208" s="432">
        <f>'B) D RI'!U209</f>
        <v>69596.613288288281</v>
      </c>
      <c r="G208" s="263">
        <f t="shared" si="13"/>
        <v>4.2575864830173238</v>
      </c>
      <c r="H208" s="55">
        <f t="shared" si="14"/>
        <v>135597.76000000001</v>
      </c>
      <c r="I208" s="402">
        <f t="shared" si="15"/>
        <v>1.9483384836316224</v>
      </c>
    </row>
    <row r="209" spans="1:9" x14ac:dyDescent="0.25">
      <c r="A209" s="49">
        <f>'A) Base RI'!A210</f>
        <v>5732</v>
      </c>
      <c r="B209" s="492" t="str">
        <f>'A) Base RI'!B210</f>
        <v>Vich</v>
      </c>
      <c r="C209" s="10">
        <f>'B) D RI'!Y210</f>
        <v>186661.95</v>
      </c>
      <c r="D209" s="432">
        <f>'B) D RI'!Z210</f>
        <v>129498.6</v>
      </c>
      <c r="E209" s="10">
        <f t="shared" si="12"/>
        <v>316160.55000000005</v>
      </c>
      <c r="F209" s="432">
        <f>'B) D RI'!U210</f>
        <v>86538.031587301579</v>
      </c>
      <c r="G209" s="263">
        <f t="shared" si="13"/>
        <v>3.653428951420624</v>
      </c>
      <c r="H209" s="55">
        <f t="shared" si="14"/>
        <v>132180.55499999999</v>
      </c>
      <c r="I209" s="402">
        <f t="shared" si="15"/>
        <v>1.5274273354213421</v>
      </c>
    </row>
    <row r="210" spans="1:9" x14ac:dyDescent="0.25">
      <c r="A210" s="49">
        <f>'A) Base RI'!A211</f>
        <v>5741</v>
      </c>
      <c r="B210" s="492" t="str">
        <f>'A) Base RI'!B211</f>
        <v>L'Abergement</v>
      </c>
      <c r="C210" s="10">
        <f>'B) D RI'!Y211</f>
        <v>58872.6</v>
      </c>
      <c r="D210" s="432">
        <f>'B) D RI'!Z211</f>
        <v>6322.15</v>
      </c>
      <c r="E210" s="10">
        <f t="shared" si="12"/>
        <v>65194.75</v>
      </c>
      <c r="F210" s="432">
        <f>'B) D RI'!U211</f>
        <v>8987.3782921810707</v>
      </c>
      <c r="G210" s="263">
        <f t="shared" si="13"/>
        <v>7.254034255653707</v>
      </c>
      <c r="H210" s="55">
        <f t="shared" si="14"/>
        <v>31332.945</v>
      </c>
      <c r="I210" s="402">
        <f t="shared" si="15"/>
        <v>3.4863276009266628</v>
      </c>
    </row>
    <row r="211" spans="1:9" x14ac:dyDescent="0.25">
      <c r="A211" s="49">
        <f>'A) Base RI'!A212</f>
        <v>5742</v>
      </c>
      <c r="B211" s="492" t="str">
        <f>'A) Base RI'!B212</f>
        <v>Agiez</v>
      </c>
      <c r="C211" s="10">
        <f>'B) D RI'!Y212</f>
        <v>2805.2</v>
      </c>
      <c r="D211" s="432">
        <f>'B) D RI'!Z212</f>
        <v>2863.2</v>
      </c>
      <c r="E211" s="10">
        <f t="shared" si="12"/>
        <v>5668.4</v>
      </c>
      <c r="F211" s="432">
        <f>'B) D RI'!U212</f>
        <v>10160.069605263159</v>
      </c>
      <c r="G211" s="263">
        <f t="shared" si="13"/>
        <v>0.5579095636375988</v>
      </c>
      <c r="H211" s="55">
        <f t="shared" si="14"/>
        <v>2261.56</v>
      </c>
      <c r="I211" s="402">
        <f t="shared" si="15"/>
        <v>0.222592963224234</v>
      </c>
    </row>
    <row r="212" spans="1:9" x14ac:dyDescent="0.25">
      <c r="A212" s="49">
        <f>'A) Base RI'!A213</f>
        <v>5743</v>
      </c>
      <c r="B212" s="492" t="str">
        <f>'A) Base RI'!B213</f>
        <v>Arnex-sur-Orbe</v>
      </c>
      <c r="C212" s="10">
        <f>'B) D RI'!Y213</f>
        <v>81939</v>
      </c>
      <c r="D212" s="432">
        <f>'B) D RI'!Z213</f>
        <v>20766.900000000001</v>
      </c>
      <c r="E212" s="10">
        <f t="shared" si="12"/>
        <v>102705.9</v>
      </c>
      <c r="F212" s="432">
        <f>'B) D RI'!U213</f>
        <v>18533.117816901413</v>
      </c>
      <c r="G212" s="263">
        <f t="shared" si="13"/>
        <v>5.5417496945029185</v>
      </c>
      <c r="H212" s="55">
        <f t="shared" si="14"/>
        <v>47199.57</v>
      </c>
      <c r="I212" s="402">
        <f t="shared" si="15"/>
        <v>2.5467690038076598</v>
      </c>
    </row>
    <row r="213" spans="1:9" x14ac:dyDescent="0.25">
      <c r="A213" s="49">
        <f>'A) Base RI'!A214</f>
        <v>5744</v>
      </c>
      <c r="B213" s="492" t="str">
        <f>'A) Base RI'!B214</f>
        <v>Ballaigues</v>
      </c>
      <c r="C213" s="10">
        <f>'B) D RI'!Y214</f>
        <v>80337.850000000006</v>
      </c>
      <c r="D213" s="432">
        <f>'B) D RI'!Z214</f>
        <v>1852198.25</v>
      </c>
      <c r="E213" s="10">
        <f t="shared" si="12"/>
        <v>1932536.1</v>
      </c>
      <c r="F213" s="432">
        <f>'B) D RI'!U214</f>
        <v>49245.2596923077</v>
      </c>
      <c r="G213" s="263">
        <f t="shared" si="13"/>
        <v>39.243088818594856</v>
      </c>
      <c r="H213" s="55">
        <f t="shared" si="14"/>
        <v>595828.4</v>
      </c>
      <c r="I213" s="402">
        <f t="shared" si="15"/>
        <v>12.099203125799958</v>
      </c>
    </row>
    <row r="214" spans="1:9" x14ac:dyDescent="0.25">
      <c r="A214" s="49">
        <f>'A) Base RI'!A215</f>
        <v>5745</v>
      </c>
      <c r="B214" s="492" t="str">
        <f>'A) Base RI'!B215</f>
        <v>Baulmes</v>
      </c>
      <c r="C214" s="10">
        <f>'B) D RI'!Y215</f>
        <v>222541.75</v>
      </c>
      <c r="D214" s="432">
        <f>'B) D RI'!Z215</f>
        <v>195912.2</v>
      </c>
      <c r="E214" s="10">
        <f t="shared" si="12"/>
        <v>418453.95</v>
      </c>
      <c r="F214" s="432">
        <f>'B) D RI'!U215</f>
        <v>28471.572156862745</v>
      </c>
      <c r="G214" s="263">
        <f t="shared" si="13"/>
        <v>14.697254780823071</v>
      </c>
      <c r="H214" s="55">
        <f t="shared" si="14"/>
        <v>170044.535</v>
      </c>
      <c r="I214" s="402">
        <f t="shared" si="15"/>
        <v>5.9724322233822527</v>
      </c>
    </row>
    <row r="215" spans="1:9" x14ac:dyDescent="0.25">
      <c r="A215" s="49">
        <f>'A) Base RI'!A216</f>
        <v>5746</v>
      </c>
      <c r="B215" s="492" t="str">
        <f>'A) Base RI'!B216</f>
        <v>Bavois</v>
      </c>
      <c r="C215" s="10">
        <f>'B) D RI'!Y216</f>
        <v>335342.65000000002</v>
      </c>
      <c r="D215" s="432">
        <f>'B) D RI'!Z216</f>
        <v>7548.4</v>
      </c>
      <c r="E215" s="10">
        <f t="shared" si="12"/>
        <v>342891.05000000005</v>
      </c>
      <c r="F215" s="432">
        <f>'B) D RI'!U216</f>
        <v>27408.124908675796</v>
      </c>
      <c r="G215" s="263">
        <f t="shared" si="13"/>
        <v>12.510562146900497</v>
      </c>
      <c r="H215" s="55">
        <f t="shared" si="14"/>
        <v>169935.845</v>
      </c>
      <c r="I215" s="402">
        <f t="shared" si="15"/>
        <v>6.2001995965148398</v>
      </c>
    </row>
    <row r="216" spans="1:9" x14ac:dyDescent="0.25">
      <c r="A216" s="49">
        <f>'A) Base RI'!A217</f>
        <v>5747</v>
      </c>
      <c r="B216" s="492" t="str">
        <f>'A) Base RI'!B217</f>
        <v>Bofflens</v>
      </c>
      <c r="C216" s="10">
        <f>'B) D RI'!Y217</f>
        <v>0</v>
      </c>
      <c r="D216" s="432">
        <f>'B) D RI'!Z217</f>
        <v>602.6</v>
      </c>
      <c r="E216" s="10">
        <f t="shared" si="12"/>
        <v>602.6</v>
      </c>
      <c r="F216" s="432">
        <f>'B) D RI'!U217</f>
        <v>5808.1759420289845</v>
      </c>
      <c r="G216" s="263">
        <f t="shared" si="13"/>
        <v>0.10375030061322355</v>
      </c>
      <c r="H216" s="55">
        <f t="shared" si="14"/>
        <v>180.78</v>
      </c>
      <c r="I216" s="402">
        <f t="shared" si="15"/>
        <v>3.1125090183967065E-2</v>
      </c>
    </row>
    <row r="217" spans="1:9" x14ac:dyDescent="0.25">
      <c r="A217" s="49">
        <f>'A) Base RI'!A218</f>
        <v>5748</v>
      </c>
      <c r="B217" s="492" t="str">
        <f>'A) Base RI'!B218</f>
        <v>Bretonnières</v>
      </c>
      <c r="C217" s="10">
        <f>'B) D RI'!Y218</f>
        <v>33655.699999999997</v>
      </c>
      <c r="D217" s="432">
        <f>'B) D RI'!Z218</f>
        <v>197.7</v>
      </c>
      <c r="E217" s="10">
        <f t="shared" si="12"/>
        <v>33853.399999999994</v>
      </c>
      <c r="F217" s="432">
        <f>'B) D RI'!U218</f>
        <v>6643.6153664302601</v>
      </c>
      <c r="G217" s="263">
        <f t="shared" si="13"/>
        <v>5.0956291315507123</v>
      </c>
      <c r="H217" s="55">
        <f t="shared" si="14"/>
        <v>16887.16</v>
      </c>
      <c r="I217" s="402">
        <f t="shared" si="15"/>
        <v>2.5418629870310792</v>
      </c>
    </row>
    <row r="218" spans="1:9" x14ac:dyDescent="0.25">
      <c r="A218" s="49">
        <f>'A) Base RI'!A219</f>
        <v>5749</v>
      </c>
      <c r="B218" s="492" t="str">
        <f>'A) Base RI'!B219</f>
        <v>Chavornay</v>
      </c>
      <c r="C218" s="10">
        <f>'B) D RI'!Y219</f>
        <v>505163.15</v>
      </c>
      <c r="D218" s="432">
        <f>'B) D RI'!Z219</f>
        <v>744756.9</v>
      </c>
      <c r="E218" s="10">
        <f t="shared" si="12"/>
        <v>1249920.05</v>
      </c>
      <c r="F218" s="432">
        <f>'B) D RI'!U219</f>
        <v>153338.61687943264</v>
      </c>
      <c r="G218" s="263">
        <f t="shared" si="13"/>
        <v>8.1513716207756683</v>
      </c>
      <c r="H218" s="55">
        <f t="shared" si="14"/>
        <v>476008.64500000002</v>
      </c>
      <c r="I218" s="402">
        <f t="shared" si="15"/>
        <v>3.1042972389289059</v>
      </c>
    </row>
    <row r="219" spans="1:9" x14ac:dyDescent="0.25">
      <c r="A219" s="49">
        <f>'A) Base RI'!A220</f>
        <v>5750</v>
      </c>
      <c r="B219" s="492" t="str">
        <f>'A) Base RI'!B220</f>
        <v>Les Clées</v>
      </c>
      <c r="C219" s="10">
        <f>'B) D RI'!Y220</f>
        <v>42112.7</v>
      </c>
      <c r="D219" s="432">
        <f>'B) D RI'!Z220</f>
        <v>5002.05</v>
      </c>
      <c r="E219" s="10">
        <f t="shared" si="12"/>
        <v>47114.75</v>
      </c>
      <c r="F219" s="432">
        <f>'B) D RI'!U220</f>
        <v>4819.774166666667</v>
      </c>
      <c r="G219" s="263">
        <f t="shared" si="13"/>
        <v>9.7753024043830532</v>
      </c>
      <c r="H219" s="55">
        <f t="shared" si="14"/>
        <v>22556.965</v>
      </c>
      <c r="I219" s="402">
        <f t="shared" si="15"/>
        <v>4.6800875352216531</v>
      </c>
    </row>
    <row r="220" spans="1:9" x14ac:dyDescent="0.25">
      <c r="A220" s="49">
        <f>'A) Base RI'!A221</f>
        <v>5752</v>
      </c>
      <c r="B220" s="492" t="str">
        <f>'A) Base RI'!B221</f>
        <v>Croy</v>
      </c>
      <c r="C220" s="10">
        <f>'B) D RI'!Y221</f>
        <v>20358.599999999999</v>
      </c>
      <c r="D220" s="432">
        <f>'B) D RI'!Z221</f>
        <v>30061.4</v>
      </c>
      <c r="E220" s="10">
        <f t="shared" si="12"/>
        <v>50420</v>
      </c>
      <c r="F220" s="432">
        <f>'B) D RI'!U221</f>
        <v>9670.9952316602321</v>
      </c>
      <c r="G220" s="263">
        <f t="shared" si="13"/>
        <v>5.2135275421229146</v>
      </c>
      <c r="H220" s="55">
        <f t="shared" si="14"/>
        <v>19197.72</v>
      </c>
      <c r="I220" s="402">
        <f t="shared" si="15"/>
        <v>1.9850821492654489</v>
      </c>
    </row>
    <row r="221" spans="1:9" x14ac:dyDescent="0.25">
      <c r="A221" s="49">
        <f>'A) Base RI'!A222</f>
        <v>5754</v>
      </c>
      <c r="B221" s="492" t="str">
        <f>'A) Base RI'!B222</f>
        <v>Juriens</v>
      </c>
      <c r="C221" s="10">
        <f>'B) D RI'!Y222</f>
        <v>127024.15</v>
      </c>
      <c r="D221" s="432">
        <f>'B) D RI'!Z222</f>
        <v>5292.65</v>
      </c>
      <c r="E221" s="10">
        <f t="shared" si="12"/>
        <v>132316.79999999999</v>
      </c>
      <c r="F221" s="432">
        <f>'B) D RI'!U222</f>
        <v>9073.6935443037964</v>
      </c>
      <c r="G221" s="263">
        <f t="shared" si="13"/>
        <v>14.582462957773647</v>
      </c>
      <c r="H221" s="55">
        <f t="shared" si="14"/>
        <v>65099.869999999995</v>
      </c>
      <c r="I221" s="402">
        <f t="shared" si="15"/>
        <v>7.1745722601429289</v>
      </c>
    </row>
    <row r="222" spans="1:9" x14ac:dyDescent="0.25">
      <c r="A222" s="49">
        <f>'A) Base RI'!A223</f>
        <v>5755</v>
      </c>
      <c r="B222" s="492" t="str">
        <f>'A) Base RI'!B223</f>
        <v>Lignerolle</v>
      </c>
      <c r="C222" s="10">
        <f>'B) D RI'!Y223</f>
        <v>41362.700000000004</v>
      </c>
      <c r="D222" s="432">
        <f>'B) D RI'!Z223</f>
        <v>53250.85</v>
      </c>
      <c r="E222" s="10">
        <f t="shared" si="12"/>
        <v>94613.55</v>
      </c>
      <c r="F222" s="432">
        <f>'B) D RI'!U223</f>
        <v>10746.718034576888</v>
      </c>
      <c r="G222" s="263">
        <f t="shared" si="13"/>
        <v>8.8039483026898875</v>
      </c>
      <c r="H222" s="55">
        <f t="shared" si="14"/>
        <v>36656.605000000003</v>
      </c>
      <c r="I222" s="402">
        <f t="shared" si="15"/>
        <v>3.4109581066572776</v>
      </c>
    </row>
    <row r="223" spans="1:9" x14ac:dyDescent="0.25">
      <c r="A223" s="49">
        <f>'A) Base RI'!A224</f>
        <v>5756</v>
      </c>
      <c r="B223" s="492" t="str">
        <f>'A) Base RI'!B224</f>
        <v>Montcherand</v>
      </c>
      <c r="C223" s="10">
        <f>'B) D RI'!Y224</f>
        <v>47391.8</v>
      </c>
      <c r="D223" s="432">
        <f>'B) D RI'!Z224</f>
        <v>20910.599999999999</v>
      </c>
      <c r="E223" s="10">
        <f t="shared" si="12"/>
        <v>68302.399999999994</v>
      </c>
      <c r="F223" s="432">
        <f>'B) D RI'!U224</f>
        <v>17739.52444444444</v>
      </c>
      <c r="G223" s="263">
        <f t="shared" si="13"/>
        <v>3.850294871990807</v>
      </c>
      <c r="H223" s="55">
        <f t="shared" si="14"/>
        <v>29969.08</v>
      </c>
      <c r="I223" s="402">
        <f t="shared" si="15"/>
        <v>1.6893959076442742</v>
      </c>
    </row>
    <row r="224" spans="1:9" x14ac:dyDescent="0.25">
      <c r="A224" s="49">
        <f>'A) Base RI'!A225</f>
        <v>5757</v>
      </c>
      <c r="B224" s="492" t="str">
        <f>'A) Base RI'!B225</f>
        <v>Orbe</v>
      </c>
      <c r="C224" s="10">
        <f>'B) D RI'!Y225</f>
        <v>1371640.1</v>
      </c>
      <c r="D224" s="432">
        <f>'B) D RI'!Z225</f>
        <v>3266196.25</v>
      </c>
      <c r="E224" s="10">
        <f t="shared" si="12"/>
        <v>4637836.3499999996</v>
      </c>
      <c r="F224" s="432">
        <f>'B) D RI'!U225</f>
        <v>216184.82317880794</v>
      </c>
      <c r="G224" s="263">
        <f t="shared" si="13"/>
        <v>21.453107955520142</v>
      </c>
      <c r="H224" s="55">
        <f t="shared" si="14"/>
        <v>1665678.925</v>
      </c>
      <c r="I224" s="402">
        <f t="shared" si="15"/>
        <v>7.7048837217509281</v>
      </c>
    </row>
    <row r="225" spans="1:9" x14ac:dyDescent="0.25">
      <c r="A225" s="49">
        <f>'A) Base RI'!A226</f>
        <v>5758</v>
      </c>
      <c r="B225" s="492" t="str">
        <f>'A) Base RI'!B226</f>
        <v>La Praz</v>
      </c>
      <c r="C225" s="10">
        <f>'B) D RI'!Y226</f>
        <v>42657.05</v>
      </c>
      <c r="D225" s="432">
        <f>'B) D RI'!Z226</f>
        <v>1860.55</v>
      </c>
      <c r="E225" s="10">
        <f t="shared" si="12"/>
        <v>44517.600000000006</v>
      </c>
      <c r="F225" s="432">
        <f>'B) D RI'!U226</f>
        <v>4771.8661445783146</v>
      </c>
      <c r="G225" s="263">
        <f t="shared" si="13"/>
        <v>9.3291803774881412</v>
      </c>
      <c r="H225" s="55">
        <f t="shared" si="14"/>
        <v>21886.690000000002</v>
      </c>
      <c r="I225" s="402">
        <f t="shared" si="15"/>
        <v>4.5866102143009941</v>
      </c>
    </row>
    <row r="226" spans="1:9" x14ac:dyDescent="0.25">
      <c r="A226" s="49">
        <f>'A) Base RI'!A227</f>
        <v>5759</v>
      </c>
      <c r="B226" s="492" t="str">
        <f>'A) Base RI'!B227</f>
        <v>Premier</v>
      </c>
      <c r="C226" s="10">
        <f>'B) D RI'!Y227</f>
        <v>0</v>
      </c>
      <c r="D226" s="432">
        <f>'B) D RI'!Z227</f>
        <v>4410.6499999999996</v>
      </c>
      <c r="E226" s="10">
        <f t="shared" si="12"/>
        <v>4410.6499999999996</v>
      </c>
      <c r="F226" s="432">
        <f>'B) D RI'!U227</f>
        <v>5900.0572327044019</v>
      </c>
      <c r="G226" s="263">
        <f t="shared" si="13"/>
        <v>0.74756054493022184</v>
      </c>
      <c r="H226" s="55">
        <f t="shared" si="14"/>
        <v>1323.1949999999999</v>
      </c>
      <c r="I226" s="402">
        <f t="shared" si="15"/>
        <v>0.22426816347906658</v>
      </c>
    </row>
    <row r="227" spans="1:9" x14ac:dyDescent="0.25">
      <c r="A227" s="49">
        <f>'A) Base RI'!A228</f>
        <v>5760</v>
      </c>
      <c r="B227" s="492" t="str">
        <f>'A) Base RI'!B228</f>
        <v>Rances</v>
      </c>
      <c r="C227" s="10">
        <f>'B) D RI'!Y228</f>
        <v>91863.65</v>
      </c>
      <c r="D227" s="432">
        <f>'B) D RI'!Z228</f>
        <v>34603.35</v>
      </c>
      <c r="E227" s="10">
        <f t="shared" si="12"/>
        <v>126467</v>
      </c>
      <c r="F227" s="432">
        <f>'B) D RI'!U228</f>
        <v>14481.892461873636</v>
      </c>
      <c r="G227" s="263">
        <f t="shared" si="13"/>
        <v>8.732767511770211</v>
      </c>
      <c r="H227" s="55">
        <f t="shared" si="14"/>
        <v>56312.829999999994</v>
      </c>
      <c r="I227" s="402">
        <f t="shared" si="15"/>
        <v>3.8884993897209452</v>
      </c>
    </row>
    <row r="228" spans="1:9" x14ac:dyDescent="0.25">
      <c r="A228" s="49">
        <f>'A) Base RI'!A229</f>
        <v>5761</v>
      </c>
      <c r="B228" s="492" t="str">
        <f>'A) Base RI'!B229</f>
        <v>Romainmôtier-Envy</v>
      </c>
      <c r="C228" s="10">
        <f>'B) D RI'!Y229</f>
        <v>150529.29999999999</v>
      </c>
      <c r="D228" s="432">
        <f>'B) D RI'!Z229</f>
        <v>67027.600000000006</v>
      </c>
      <c r="E228" s="10">
        <f t="shared" si="12"/>
        <v>217556.9</v>
      </c>
      <c r="F228" s="432">
        <f>'B) D RI'!U229</f>
        <v>12913.984792368126</v>
      </c>
      <c r="G228" s="263">
        <f t="shared" si="13"/>
        <v>16.846612683683134</v>
      </c>
      <c r="H228" s="55">
        <f t="shared" si="14"/>
        <v>95372.93</v>
      </c>
      <c r="I228" s="402">
        <f t="shared" si="15"/>
        <v>7.3852441003618994</v>
      </c>
    </row>
    <row r="229" spans="1:9" x14ac:dyDescent="0.25">
      <c r="A229" s="49">
        <f>'A) Base RI'!A230</f>
        <v>5762</v>
      </c>
      <c r="B229" s="492" t="str">
        <f>'A) Base RI'!B230</f>
        <v>Sergey</v>
      </c>
      <c r="C229" s="10">
        <f>'B) D RI'!Y230</f>
        <v>0</v>
      </c>
      <c r="D229" s="432">
        <f>'B) D RI'!Z230</f>
        <v>12165.4</v>
      </c>
      <c r="E229" s="10">
        <f t="shared" si="12"/>
        <v>12165.4</v>
      </c>
      <c r="F229" s="432">
        <f>'B) D RI'!U230</f>
        <v>3849.6283333333336</v>
      </c>
      <c r="G229" s="263">
        <f t="shared" si="13"/>
        <v>3.1601492265270625</v>
      </c>
      <c r="H229" s="55">
        <f t="shared" si="14"/>
        <v>3649.62</v>
      </c>
      <c r="I229" s="402">
        <f t="shared" si="15"/>
        <v>0.94804476795811887</v>
      </c>
    </row>
    <row r="230" spans="1:9" x14ac:dyDescent="0.25">
      <c r="A230" s="49">
        <f>'A) Base RI'!A231</f>
        <v>5763</v>
      </c>
      <c r="B230" s="492" t="str">
        <f>'A) Base RI'!B231</f>
        <v>Valeyres-sous-Rances</v>
      </c>
      <c r="C230" s="10">
        <f>'B) D RI'!Y231</f>
        <v>26867.85</v>
      </c>
      <c r="D230" s="432">
        <f>'B) D RI'!Z231</f>
        <v>33568.9</v>
      </c>
      <c r="E230" s="10">
        <f t="shared" si="12"/>
        <v>60436.75</v>
      </c>
      <c r="F230" s="432">
        <f>'B) D RI'!U231</f>
        <v>22663.97352941176</v>
      </c>
      <c r="G230" s="263">
        <f t="shared" si="13"/>
        <v>2.6666440428713574</v>
      </c>
      <c r="H230" s="55">
        <f t="shared" si="14"/>
        <v>23504.595000000001</v>
      </c>
      <c r="I230" s="402">
        <f t="shared" si="15"/>
        <v>1.0370906482703635</v>
      </c>
    </row>
    <row r="231" spans="1:9" x14ac:dyDescent="0.25">
      <c r="A231" s="49">
        <f>'A) Base RI'!A232</f>
        <v>5764</v>
      </c>
      <c r="B231" s="492" t="str">
        <f>'A) Base RI'!B232</f>
        <v>Vallorbe</v>
      </c>
      <c r="C231" s="10">
        <f>'B) D RI'!Y232</f>
        <v>459229.35000000003</v>
      </c>
      <c r="D231" s="432">
        <f>'B) D RI'!Z232</f>
        <v>2206248.75</v>
      </c>
      <c r="E231" s="10">
        <f t="shared" si="12"/>
        <v>2665478.1</v>
      </c>
      <c r="F231" s="432">
        <f>'B) D RI'!U232</f>
        <v>83682.382797202779</v>
      </c>
      <c r="G231" s="263">
        <f t="shared" si="13"/>
        <v>31.85232077412951</v>
      </c>
      <c r="H231" s="55">
        <f t="shared" si="14"/>
        <v>891489.3</v>
      </c>
      <c r="I231" s="402">
        <f t="shared" si="15"/>
        <v>10.65324946781749</v>
      </c>
    </row>
    <row r="232" spans="1:9" x14ac:dyDescent="0.25">
      <c r="A232" s="49">
        <f>'A) Base RI'!A233</f>
        <v>5765</v>
      </c>
      <c r="B232" s="492" t="str">
        <f>'A) Base RI'!B233</f>
        <v>Vaulion</v>
      </c>
      <c r="C232" s="10">
        <f>'B) D RI'!Y233</f>
        <v>69089.25</v>
      </c>
      <c r="D232" s="432">
        <f>'B) D RI'!Z233</f>
        <v>51234.400000000001</v>
      </c>
      <c r="E232" s="10">
        <f t="shared" si="12"/>
        <v>120323.65</v>
      </c>
      <c r="F232" s="432">
        <f>'B) D RI'!U233</f>
        <v>10279.479012345679</v>
      </c>
      <c r="G232" s="263">
        <f t="shared" si="13"/>
        <v>11.705228431858366</v>
      </c>
      <c r="H232" s="55">
        <f t="shared" si="14"/>
        <v>49914.945</v>
      </c>
      <c r="I232" s="402">
        <f t="shared" si="15"/>
        <v>4.8557854867987018</v>
      </c>
    </row>
    <row r="233" spans="1:9" x14ac:dyDescent="0.25">
      <c r="A233" s="49">
        <f>'A) Base RI'!A234</f>
        <v>5766</v>
      </c>
      <c r="B233" s="492" t="str">
        <f>'A) Base RI'!B234</f>
        <v>Vuiteboeuf</v>
      </c>
      <c r="C233" s="10">
        <f>'B) D RI'!Y234</f>
        <v>86157.7</v>
      </c>
      <c r="D233" s="432">
        <f>'B) D RI'!Z234</f>
        <v>29394.75</v>
      </c>
      <c r="E233" s="10">
        <f t="shared" si="12"/>
        <v>115552.45</v>
      </c>
      <c r="F233" s="432">
        <f>'B) D RI'!U234</f>
        <v>15554.101904761903</v>
      </c>
      <c r="G233" s="263">
        <f t="shared" si="13"/>
        <v>7.4290660243535829</v>
      </c>
      <c r="H233" s="55">
        <f t="shared" si="14"/>
        <v>51897.274999999994</v>
      </c>
      <c r="I233" s="402">
        <f t="shared" si="15"/>
        <v>3.3365651914696275</v>
      </c>
    </row>
    <row r="234" spans="1:9" x14ac:dyDescent="0.25">
      <c r="A234" s="49">
        <f>'A) Base RI'!A235</f>
        <v>5785</v>
      </c>
      <c r="B234" s="492" t="str">
        <f>'A) Base RI'!B235</f>
        <v>Corcelles-le-Jorat</v>
      </c>
      <c r="C234" s="10">
        <f>'B) D RI'!Y235</f>
        <v>75904.799999999988</v>
      </c>
      <c r="D234" s="432">
        <f>'B) D RI'!Z235</f>
        <v>0</v>
      </c>
      <c r="E234" s="10">
        <f t="shared" si="12"/>
        <v>75904.799999999988</v>
      </c>
      <c r="F234" s="432">
        <f>'B) D RI'!U235</f>
        <v>14579.940909090908</v>
      </c>
      <c r="G234" s="263">
        <f t="shared" si="13"/>
        <v>5.2061116346961125</v>
      </c>
      <c r="H234" s="55">
        <f t="shared" si="14"/>
        <v>37952.399999999994</v>
      </c>
      <c r="I234" s="402">
        <f t="shared" si="15"/>
        <v>2.6030558173480562</v>
      </c>
    </row>
    <row r="235" spans="1:9" x14ac:dyDescent="0.25">
      <c r="A235" s="49">
        <f>'A) Base RI'!A236</f>
        <v>5788</v>
      </c>
      <c r="B235" s="492" t="str">
        <f>'A) Base RI'!B236</f>
        <v>Essertes</v>
      </c>
      <c r="C235" s="10">
        <f>'B) D RI'!Y236</f>
        <v>29167.1</v>
      </c>
      <c r="D235" s="432">
        <f>'B) D RI'!Z236</f>
        <v>0</v>
      </c>
      <c r="E235" s="10">
        <f t="shared" si="12"/>
        <v>29167.1</v>
      </c>
      <c r="F235" s="432">
        <f>'B) D RI'!U236</f>
        <v>13314.951048951047</v>
      </c>
      <c r="G235" s="263">
        <f t="shared" si="13"/>
        <v>2.1905525519973867</v>
      </c>
      <c r="H235" s="55">
        <f t="shared" si="14"/>
        <v>14583.55</v>
      </c>
      <c r="I235" s="402">
        <f t="shared" si="15"/>
        <v>1.0952762759986934</v>
      </c>
    </row>
    <row r="236" spans="1:9" x14ac:dyDescent="0.25">
      <c r="A236" s="49">
        <f>'A) Base RI'!A237</f>
        <v>5790</v>
      </c>
      <c r="B236" s="492" t="str">
        <f>'A) Base RI'!B237</f>
        <v>Maracon</v>
      </c>
      <c r="C236" s="10">
        <f>'B) D RI'!Y237</f>
        <v>62894.35</v>
      </c>
      <c r="D236" s="432">
        <f>'B) D RI'!Z237</f>
        <v>5741.85</v>
      </c>
      <c r="E236" s="10">
        <f t="shared" si="12"/>
        <v>68636.2</v>
      </c>
      <c r="F236" s="432">
        <f>'B) D RI'!U237</f>
        <v>15172.050604026846</v>
      </c>
      <c r="G236" s="263">
        <f t="shared" si="13"/>
        <v>4.5238578351289647</v>
      </c>
      <c r="H236" s="55">
        <f t="shared" si="14"/>
        <v>33169.729999999996</v>
      </c>
      <c r="I236" s="402">
        <f t="shared" si="15"/>
        <v>2.1862390830146814</v>
      </c>
    </row>
    <row r="237" spans="1:9" x14ac:dyDescent="0.25">
      <c r="A237" s="49">
        <f>'A) Base RI'!A238</f>
        <v>5792</v>
      </c>
      <c r="B237" s="492" t="str">
        <f>'A) Base RI'!B238</f>
        <v>Montpreveyres</v>
      </c>
      <c r="C237" s="10">
        <f>'B) D RI'!Y238</f>
        <v>174614.95</v>
      </c>
      <c r="D237" s="432">
        <f>'B) D RI'!Z238</f>
        <v>681.3</v>
      </c>
      <c r="E237" s="10">
        <f t="shared" si="12"/>
        <v>175296.25</v>
      </c>
      <c r="F237" s="432">
        <f>'B) D RI'!U238</f>
        <v>20145.836291390729</v>
      </c>
      <c r="G237" s="263">
        <f t="shared" si="13"/>
        <v>8.7013637688951331</v>
      </c>
      <c r="H237" s="55">
        <f t="shared" si="14"/>
        <v>87511.865000000005</v>
      </c>
      <c r="I237" s="402">
        <f t="shared" si="15"/>
        <v>4.343918203951552</v>
      </c>
    </row>
    <row r="238" spans="1:9" x14ac:dyDescent="0.25">
      <c r="A238" s="49">
        <f>'A) Base RI'!A239</f>
        <v>5798</v>
      </c>
      <c r="B238" s="492" t="str">
        <f>'A) Base RI'!B239</f>
        <v>Ropraz</v>
      </c>
      <c r="C238" s="10">
        <f>'B) D RI'!Y239</f>
        <v>126497</v>
      </c>
      <c r="D238" s="432">
        <f>'B) D RI'!Z239</f>
        <v>19232.099999999999</v>
      </c>
      <c r="E238" s="10">
        <f t="shared" si="12"/>
        <v>145729.1</v>
      </c>
      <c r="F238" s="432">
        <f>'B) D RI'!U239</f>
        <v>17444.805161290325</v>
      </c>
      <c r="G238" s="263">
        <f t="shared" si="13"/>
        <v>8.3537247136110171</v>
      </c>
      <c r="H238" s="55">
        <f t="shared" si="14"/>
        <v>69018.13</v>
      </c>
      <c r="I238" s="402">
        <f t="shared" si="15"/>
        <v>3.9563715021105454</v>
      </c>
    </row>
    <row r="239" spans="1:9" x14ac:dyDescent="0.25">
      <c r="A239" s="49">
        <f>'A) Base RI'!A240</f>
        <v>5799</v>
      </c>
      <c r="B239" s="492" t="str">
        <f>'A) Base RI'!B240</f>
        <v>Servion</v>
      </c>
      <c r="C239" s="10">
        <f>'B) D RI'!Y240</f>
        <v>478159.2</v>
      </c>
      <c r="D239" s="432">
        <f>'B) D RI'!Z240</f>
        <v>33537.599999999999</v>
      </c>
      <c r="E239" s="10">
        <f t="shared" si="12"/>
        <v>511696.8</v>
      </c>
      <c r="F239" s="432">
        <f>'B) D RI'!U240</f>
        <v>71744.263478260895</v>
      </c>
      <c r="G239" s="263">
        <f t="shared" si="13"/>
        <v>7.1322329506532371</v>
      </c>
      <c r="H239" s="55">
        <f t="shared" si="14"/>
        <v>249140.88</v>
      </c>
      <c r="I239" s="402">
        <f t="shared" si="15"/>
        <v>3.4726244011898144</v>
      </c>
    </row>
    <row r="240" spans="1:9" x14ac:dyDescent="0.25">
      <c r="A240" s="49">
        <f>'A) Base RI'!A241</f>
        <v>5803</v>
      </c>
      <c r="B240" s="492" t="str">
        <f>'A) Base RI'!B241</f>
        <v>Vulliens</v>
      </c>
      <c r="C240" s="10">
        <f>'B) D RI'!Y241</f>
        <v>107532</v>
      </c>
      <c r="D240" s="432">
        <f>'B) D RI'!Z241</f>
        <v>898.7</v>
      </c>
      <c r="E240" s="10">
        <f t="shared" si="12"/>
        <v>108430.7</v>
      </c>
      <c r="F240" s="432">
        <f>'B) D RI'!U241</f>
        <v>17996.188026315795</v>
      </c>
      <c r="G240" s="263">
        <f t="shared" si="13"/>
        <v>6.0252037732347521</v>
      </c>
      <c r="H240" s="55">
        <f t="shared" si="14"/>
        <v>54035.61</v>
      </c>
      <c r="I240" s="402">
        <f t="shared" si="15"/>
        <v>3.0026142159097149</v>
      </c>
    </row>
    <row r="241" spans="1:9" x14ac:dyDescent="0.25">
      <c r="A241" s="49">
        <f>'A) Base RI'!A242</f>
        <v>5804</v>
      </c>
      <c r="B241" s="492" t="str">
        <f>'A) Base RI'!B242</f>
        <v>Jorat-Menthue</v>
      </c>
      <c r="C241" s="10">
        <f>'B) D RI'!Y242</f>
        <v>162112.04999999999</v>
      </c>
      <c r="D241" s="432">
        <f>'B) D RI'!Z242</f>
        <v>15774.9</v>
      </c>
      <c r="E241" s="10">
        <f t="shared" si="12"/>
        <v>177886.94999999998</v>
      </c>
      <c r="F241" s="432">
        <f>'B) D RI'!U242</f>
        <v>46854.424539007086</v>
      </c>
      <c r="G241" s="263">
        <f t="shared" si="13"/>
        <v>3.7965880864016617</v>
      </c>
      <c r="H241" s="55">
        <f t="shared" si="14"/>
        <v>85788.494999999995</v>
      </c>
      <c r="I241" s="402">
        <f t="shared" si="15"/>
        <v>1.830958246612967</v>
      </c>
    </row>
    <row r="242" spans="1:9" x14ac:dyDescent="0.25">
      <c r="A242" s="49">
        <f>'A) Base RI'!A243</f>
        <v>5805</v>
      </c>
      <c r="B242" s="492" t="str">
        <f>'A) Base RI'!B243</f>
        <v>Oron</v>
      </c>
      <c r="C242" s="10">
        <f>'B) D RI'!Y243</f>
        <v>578877.4</v>
      </c>
      <c r="D242" s="432">
        <f>'B) D RI'!Z243</f>
        <v>100890.6</v>
      </c>
      <c r="E242" s="10">
        <f t="shared" si="12"/>
        <v>679768</v>
      </c>
      <c r="F242" s="432">
        <f>'B) D RI'!U243</f>
        <v>162115.58504611329</v>
      </c>
      <c r="G242" s="263">
        <f t="shared" si="13"/>
        <v>4.1931070341364283</v>
      </c>
      <c r="H242" s="55">
        <f t="shared" si="14"/>
        <v>319705.88</v>
      </c>
      <c r="I242" s="402">
        <f t="shared" si="15"/>
        <v>1.9720860268250002</v>
      </c>
    </row>
    <row r="243" spans="1:9" x14ac:dyDescent="0.25">
      <c r="A243" s="49">
        <f>'A) Base RI'!A244</f>
        <v>5806</v>
      </c>
      <c r="B243" s="492" t="str">
        <f>'A) Base RI'!B244</f>
        <v>Jorat-Mézières</v>
      </c>
      <c r="C243" s="10">
        <f>'B) D RI'!Y244</f>
        <v>971531.65</v>
      </c>
      <c r="D243" s="432">
        <f>'B) D RI'!Z244</f>
        <v>31196.15</v>
      </c>
      <c r="E243" s="10">
        <f t="shared" si="12"/>
        <v>1002727.8</v>
      </c>
      <c r="F243" s="432">
        <f>'B) D RI'!U244</f>
        <v>102077.74465753423</v>
      </c>
      <c r="G243" s="263">
        <f t="shared" si="13"/>
        <v>9.823177455223977</v>
      </c>
      <c r="H243" s="55">
        <f t="shared" si="14"/>
        <v>495124.67</v>
      </c>
      <c r="I243" s="402">
        <f t="shared" si="15"/>
        <v>4.8504663936406383</v>
      </c>
    </row>
    <row r="244" spans="1:9" x14ac:dyDescent="0.25">
      <c r="A244" s="49">
        <f>'A) Base RI'!A245</f>
        <v>5812</v>
      </c>
      <c r="B244" s="492" t="str">
        <f>'A) Base RI'!B245</f>
        <v>Champtauroz</v>
      </c>
      <c r="C244" s="10">
        <f>'B) D RI'!Y245</f>
        <v>14211.3</v>
      </c>
      <c r="D244" s="432">
        <f>'B) D RI'!Z245</f>
        <v>0</v>
      </c>
      <c r="E244" s="10">
        <f t="shared" si="12"/>
        <v>14211.3</v>
      </c>
      <c r="F244" s="432">
        <f>'B) D RI'!U245</f>
        <v>3349.1505194805191</v>
      </c>
      <c r="G244" s="263">
        <f t="shared" si="13"/>
        <v>4.2432550932958035</v>
      </c>
      <c r="H244" s="55">
        <f t="shared" si="14"/>
        <v>7105.65</v>
      </c>
      <c r="I244" s="402">
        <f t="shared" si="15"/>
        <v>2.1216275466479018</v>
      </c>
    </row>
    <row r="245" spans="1:9" x14ac:dyDescent="0.25">
      <c r="A245" s="49">
        <f>'A) Base RI'!A246</f>
        <v>5813</v>
      </c>
      <c r="B245" s="492" t="str">
        <f>'A) Base RI'!B246</f>
        <v>Chevroux</v>
      </c>
      <c r="C245" s="10">
        <f>'B) D RI'!Y246</f>
        <v>152329.59999999998</v>
      </c>
      <c r="D245" s="432">
        <f>'B) D RI'!Z246</f>
        <v>0</v>
      </c>
      <c r="E245" s="10">
        <f t="shared" si="12"/>
        <v>152329.59999999998</v>
      </c>
      <c r="F245" s="432">
        <f>'B) D RI'!U246</f>
        <v>15276.905328467155</v>
      </c>
      <c r="G245" s="263">
        <f t="shared" si="13"/>
        <v>9.9712341423067734</v>
      </c>
      <c r="H245" s="55">
        <f t="shared" si="14"/>
        <v>76164.799999999988</v>
      </c>
      <c r="I245" s="402">
        <f t="shared" si="15"/>
        <v>4.9856170711533867</v>
      </c>
    </row>
    <row r="246" spans="1:9" x14ac:dyDescent="0.25">
      <c r="A246" s="49">
        <f>'A) Base RI'!A247</f>
        <v>5816</v>
      </c>
      <c r="B246" s="492" t="str">
        <f>'A) Base RI'!B247</f>
        <v>Corcelles-près-Payerne</v>
      </c>
      <c r="C246" s="10">
        <f>'B) D RI'!Y247</f>
        <v>256003.45</v>
      </c>
      <c r="D246" s="432">
        <f>'B) D RI'!Z247</f>
        <v>25265.5</v>
      </c>
      <c r="E246" s="10">
        <f t="shared" si="12"/>
        <v>281268.95</v>
      </c>
      <c r="F246" s="432">
        <f>'B) D RI'!U247</f>
        <v>65651.255161626686</v>
      </c>
      <c r="G246" s="263">
        <f t="shared" si="13"/>
        <v>4.2842889950473086</v>
      </c>
      <c r="H246" s="55">
        <f t="shared" si="14"/>
        <v>135581.375</v>
      </c>
      <c r="I246" s="402">
        <f t="shared" si="15"/>
        <v>2.0651756720600773</v>
      </c>
    </row>
    <row r="247" spans="1:9" x14ac:dyDescent="0.25">
      <c r="A247" s="49">
        <f>'A) Base RI'!A248</f>
        <v>5817</v>
      </c>
      <c r="B247" s="492" t="str">
        <f>'A) Base RI'!B248</f>
        <v>Grandcour</v>
      </c>
      <c r="C247" s="10">
        <f>'B) D RI'!Y248</f>
        <v>41155.800000000003</v>
      </c>
      <c r="D247" s="432">
        <f>'B) D RI'!Z248</f>
        <v>7672.05</v>
      </c>
      <c r="E247" s="10">
        <f t="shared" si="12"/>
        <v>48827.850000000006</v>
      </c>
      <c r="F247" s="432">
        <f>'B) D RI'!U248</f>
        <v>24623.103809523807</v>
      </c>
      <c r="G247" s="263">
        <f t="shared" si="13"/>
        <v>1.9830095497998999</v>
      </c>
      <c r="H247" s="55">
        <f t="shared" si="14"/>
        <v>22879.514999999999</v>
      </c>
      <c r="I247" s="402">
        <f t="shared" si="15"/>
        <v>0.92918891042284379</v>
      </c>
    </row>
    <row r="248" spans="1:9" x14ac:dyDescent="0.25">
      <c r="A248" s="49">
        <f>'A) Base RI'!A249</f>
        <v>5819</v>
      </c>
      <c r="B248" s="492" t="str">
        <f>'A) Base RI'!B249</f>
        <v>Henniez</v>
      </c>
      <c r="C248" s="10">
        <f>'B) D RI'!Y249</f>
        <v>63229.95</v>
      </c>
      <c r="D248" s="432">
        <f>'B) D RI'!Z249</f>
        <v>5222.3500000000004</v>
      </c>
      <c r="E248" s="10">
        <f t="shared" si="12"/>
        <v>68452.3</v>
      </c>
      <c r="F248" s="432">
        <f>'B) D RI'!U249</f>
        <v>10073.647101449274</v>
      </c>
      <c r="G248" s="263">
        <f t="shared" si="13"/>
        <v>6.7951854289348601</v>
      </c>
      <c r="H248" s="55">
        <f t="shared" si="14"/>
        <v>33181.68</v>
      </c>
      <c r="I248" s="402">
        <f t="shared" si="15"/>
        <v>3.2939093126685193</v>
      </c>
    </row>
    <row r="249" spans="1:9" x14ac:dyDescent="0.25">
      <c r="A249" s="49">
        <f>'A) Base RI'!A250</f>
        <v>5821</v>
      </c>
      <c r="B249" s="492" t="str">
        <f>'A) Base RI'!B250</f>
        <v>Missy</v>
      </c>
      <c r="C249" s="10">
        <f>'B) D RI'!Y250</f>
        <v>24585.75</v>
      </c>
      <c r="D249" s="432">
        <f>'B) D RI'!Z250</f>
        <v>0</v>
      </c>
      <c r="E249" s="10">
        <f t="shared" si="12"/>
        <v>24585.75</v>
      </c>
      <c r="F249" s="432">
        <f>'B) D RI'!U250</f>
        <v>8044.6855555555558</v>
      </c>
      <c r="G249" s="263">
        <f t="shared" si="13"/>
        <v>3.0561480408667308</v>
      </c>
      <c r="H249" s="55">
        <f t="shared" si="14"/>
        <v>12292.875</v>
      </c>
      <c r="I249" s="402">
        <f t="shared" si="15"/>
        <v>1.5280740204333654</v>
      </c>
    </row>
    <row r="250" spans="1:9" x14ac:dyDescent="0.25">
      <c r="A250" s="49">
        <f>'A) Base RI'!A251</f>
        <v>5822</v>
      </c>
      <c r="B250" s="492" t="str">
        <f>'A) Base RI'!B251</f>
        <v>Payerne</v>
      </c>
      <c r="C250" s="10">
        <f>'B) D RI'!Y251</f>
        <v>2264737.9500000002</v>
      </c>
      <c r="D250" s="432">
        <f>'B) D RI'!Z251</f>
        <v>26658.9</v>
      </c>
      <c r="E250" s="10">
        <f t="shared" si="12"/>
        <v>2291396.85</v>
      </c>
      <c r="F250" s="432">
        <f>'B) D RI'!U251</f>
        <v>239984.44424657538</v>
      </c>
      <c r="G250" s="263">
        <f t="shared" si="13"/>
        <v>9.5481057415774515</v>
      </c>
      <c r="H250" s="55">
        <f t="shared" si="14"/>
        <v>1140366.645</v>
      </c>
      <c r="I250" s="402">
        <f t="shared" si="15"/>
        <v>4.7518356807673516</v>
      </c>
    </row>
    <row r="251" spans="1:9" x14ac:dyDescent="0.25">
      <c r="A251" s="49">
        <f>'A) Base RI'!A252</f>
        <v>5827</v>
      </c>
      <c r="B251" s="492" t="str">
        <f>'A) Base RI'!B252</f>
        <v>Trey</v>
      </c>
      <c r="C251" s="10">
        <f>'B) D RI'!Y252</f>
        <v>115382.75</v>
      </c>
      <c r="D251" s="432">
        <f>'B) D RI'!Z252</f>
        <v>0</v>
      </c>
      <c r="E251" s="10">
        <f t="shared" si="12"/>
        <v>115382.75</v>
      </c>
      <c r="F251" s="432">
        <f>'B) D RI'!U252</f>
        <v>7747.4438461538457</v>
      </c>
      <c r="G251" s="263">
        <f t="shared" si="13"/>
        <v>14.89300888024904</v>
      </c>
      <c r="H251" s="55">
        <f t="shared" si="14"/>
        <v>57691.375</v>
      </c>
      <c r="I251" s="402">
        <f t="shared" si="15"/>
        <v>7.44650444012452</v>
      </c>
    </row>
    <row r="252" spans="1:9" x14ac:dyDescent="0.25">
      <c r="A252" s="49">
        <f>'A) Base RI'!A253</f>
        <v>5828</v>
      </c>
      <c r="B252" s="492" t="str">
        <f>'A) Base RI'!B253</f>
        <v>Treytorrens (Payerne)</v>
      </c>
      <c r="C252" s="10">
        <f>'B) D RI'!Y253</f>
        <v>13674.05</v>
      </c>
      <c r="D252" s="432">
        <f>'B) D RI'!Z253</f>
        <v>0</v>
      </c>
      <c r="E252" s="10">
        <f t="shared" si="12"/>
        <v>13674.05</v>
      </c>
      <c r="F252" s="432">
        <f>'B) D RI'!U253</f>
        <v>2899.2203232323236</v>
      </c>
      <c r="G252" s="263">
        <f t="shared" si="13"/>
        <v>4.7164576939619689</v>
      </c>
      <c r="H252" s="55">
        <f t="shared" si="14"/>
        <v>6837.0249999999996</v>
      </c>
      <c r="I252" s="402">
        <f t="shared" si="15"/>
        <v>2.3582288469809844</v>
      </c>
    </row>
    <row r="253" spans="1:9" x14ac:dyDescent="0.25">
      <c r="A253" s="49">
        <f>'A) Base RI'!A254</f>
        <v>5830</v>
      </c>
      <c r="B253" s="492" t="str">
        <f>'A) Base RI'!B254</f>
        <v>Villarzel</v>
      </c>
      <c r="C253" s="10">
        <f>'B) D RI'!Y254</f>
        <v>124493.95</v>
      </c>
      <c r="D253" s="432">
        <f>'B) D RI'!Z254</f>
        <v>8196.65</v>
      </c>
      <c r="E253" s="10">
        <f t="shared" si="12"/>
        <v>132690.6</v>
      </c>
      <c r="F253" s="432">
        <f>'B) D RI'!U254</f>
        <v>12409.986933333334</v>
      </c>
      <c r="G253" s="263">
        <f t="shared" si="13"/>
        <v>10.692243328926631</v>
      </c>
      <c r="H253" s="55">
        <f t="shared" si="14"/>
        <v>64705.97</v>
      </c>
      <c r="I253" s="402">
        <f t="shared" si="15"/>
        <v>5.214024023361314</v>
      </c>
    </row>
    <row r="254" spans="1:9" x14ac:dyDescent="0.25">
      <c r="A254" s="49">
        <f>'A) Base RI'!A255</f>
        <v>5831</v>
      </c>
      <c r="B254" s="492" t="str">
        <f>'A) Base RI'!B255</f>
        <v>Valbroye</v>
      </c>
      <c r="C254" s="10">
        <f>'B) D RI'!Y255</f>
        <v>851787.60000000009</v>
      </c>
      <c r="D254" s="432">
        <f>'B) D RI'!Z255</f>
        <v>21377.35</v>
      </c>
      <c r="E254" s="10">
        <f t="shared" si="12"/>
        <v>873164.95000000007</v>
      </c>
      <c r="F254" s="432">
        <f>'B) D RI'!U255</f>
        <v>81049.404018912537</v>
      </c>
      <c r="G254" s="263">
        <f t="shared" si="13"/>
        <v>10.773243314611552</v>
      </c>
      <c r="H254" s="55">
        <f t="shared" si="14"/>
        <v>432307.00500000006</v>
      </c>
      <c r="I254" s="402">
        <f t="shared" si="15"/>
        <v>5.333870251521196</v>
      </c>
    </row>
    <row r="255" spans="1:9" x14ac:dyDescent="0.25">
      <c r="A255" s="49">
        <f>'A) Base RI'!A256</f>
        <v>5841</v>
      </c>
      <c r="B255" s="492" t="str">
        <f>'A) Base RI'!B256</f>
        <v>Château-d'Oex</v>
      </c>
      <c r="C255" s="10">
        <f>'B) D RI'!Y256</f>
        <v>1786351.9</v>
      </c>
      <c r="D255" s="432">
        <f>'B) D RI'!Z256</f>
        <v>4103.45</v>
      </c>
      <c r="E255" s="10">
        <f t="shared" si="12"/>
        <v>1790455.3499999999</v>
      </c>
      <c r="F255" s="432">
        <f>'B) D RI'!U256</f>
        <v>110857.63779141105</v>
      </c>
      <c r="G255" s="263">
        <f t="shared" si="13"/>
        <v>16.150942647442189</v>
      </c>
      <c r="H255" s="55">
        <f t="shared" si="14"/>
        <v>894406.98499999999</v>
      </c>
      <c r="I255" s="402">
        <f t="shared" si="15"/>
        <v>8.0680682253297675</v>
      </c>
    </row>
    <row r="256" spans="1:9" x14ac:dyDescent="0.25">
      <c r="A256" s="49">
        <f>'A) Base RI'!A257</f>
        <v>5842</v>
      </c>
      <c r="B256" s="492" t="str">
        <f>'A) Base RI'!B257</f>
        <v>Rossinière</v>
      </c>
      <c r="C256" s="10">
        <f>'B) D RI'!Y257</f>
        <v>87162.35</v>
      </c>
      <c r="D256" s="432">
        <f>'B) D RI'!Z257</f>
        <v>0</v>
      </c>
      <c r="E256" s="10">
        <f t="shared" si="12"/>
        <v>87162.35</v>
      </c>
      <c r="F256" s="432">
        <f>'B) D RI'!U257</f>
        <v>14944.680411522633</v>
      </c>
      <c r="G256" s="263">
        <f t="shared" si="13"/>
        <v>5.8323328167523858</v>
      </c>
      <c r="H256" s="55">
        <f t="shared" si="14"/>
        <v>43581.175000000003</v>
      </c>
      <c r="I256" s="402">
        <f t="shared" si="15"/>
        <v>2.9161664083761929</v>
      </c>
    </row>
    <row r="257" spans="1:9" x14ac:dyDescent="0.25">
      <c r="A257" s="49">
        <f>'A) Base RI'!A258</f>
        <v>5843</v>
      </c>
      <c r="B257" s="492" t="str">
        <f>'A) Base RI'!B258</f>
        <v>Rougemont</v>
      </c>
      <c r="C257" s="10">
        <f>'B) D RI'!Y258</f>
        <v>2316734.1</v>
      </c>
      <c r="D257" s="432">
        <f>'B) D RI'!Z258</f>
        <v>10483.35</v>
      </c>
      <c r="E257" s="10">
        <f t="shared" si="12"/>
        <v>2327217.4500000002</v>
      </c>
      <c r="F257" s="432">
        <f>'B) D RI'!U258</f>
        <v>97088.109459459462</v>
      </c>
      <c r="G257" s="263">
        <f t="shared" si="13"/>
        <v>23.970159301245467</v>
      </c>
      <c r="H257" s="55">
        <f t="shared" si="14"/>
        <v>1161512.0549999999</v>
      </c>
      <c r="I257" s="402">
        <f t="shared" si="15"/>
        <v>11.963484112181687</v>
      </c>
    </row>
    <row r="258" spans="1:9" x14ac:dyDescent="0.25">
      <c r="A258" s="49">
        <f>'A) Base RI'!A259</f>
        <v>5851</v>
      </c>
      <c r="B258" s="492" t="str">
        <f>'A) Base RI'!B259</f>
        <v>Allaman</v>
      </c>
      <c r="C258" s="10">
        <f>'B) D RI'!Y259</f>
        <v>71953.25</v>
      </c>
      <c r="D258" s="432">
        <f>'B) D RI'!Z259</f>
        <v>59074.75</v>
      </c>
      <c r="E258" s="10">
        <f t="shared" si="12"/>
        <v>131028</v>
      </c>
      <c r="F258" s="432">
        <f>'B) D RI'!U259</f>
        <v>24875.935818181821</v>
      </c>
      <c r="G258" s="263">
        <f t="shared" si="13"/>
        <v>5.267259127764417</v>
      </c>
      <c r="H258" s="55">
        <f t="shared" si="14"/>
        <v>53699.05</v>
      </c>
      <c r="I258" s="402">
        <f t="shared" si="15"/>
        <v>2.1586745677624464</v>
      </c>
    </row>
    <row r="259" spans="1:9" x14ac:dyDescent="0.25">
      <c r="A259" s="49">
        <f>'A) Base RI'!A260</f>
        <v>5852</v>
      </c>
      <c r="B259" s="492" t="str">
        <f>'A) Base RI'!B260</f>
        <v>Bursinel</v>
      </c>
      <c r="C259" s="10">
        <f>'B) D RI'!Y260</f>
        <v>335558.30000000005</v>
      </c>
      <c r="D259" s="432">
        <f>'B) D RI'!Z260</f>
        <v>9375.5499999999993</v>
      </c>
      <c r="E259" s="10">
        <f t="shared" si="12"/>
        <v>344933.85000000003</v>
      </c>
      <c r="F259" s="432">
        <f>'B) D RI'!U260</f>
        <v>34636.657688172039</v>
      </c>
      <c r="G259" s="263">
        <f t="shared" si="13"/>
        <v>9.9586355330638732</v>
      </c>
      <c r="H259" s="55">
        <f t="shared" si="14"/>
        <v>170591.81500000003</v>
      </c>
      <c r="I259" s="402">
        <f t="shared" si="15"/>
        <v>4.9251811920136532</v>
      </c>
    </row>
    <row r="260" spans="1:9" x14ac:dyDescent="0.25">
      <c r="A260" s="49">
        <f>'A) Base RI'!A261</f>
        <v>5853</v>
      </c>
      <c r="B260" s="492" t="str">
        <f>'A) Base RI'!B261</f>
        <v>Bursins</v>
      </c>
      <c r="C260" s="10">
        <f>'B) D RI'!Y261</f>
        <v>522025.4</v>
      </c>
      <c r="D260" s="432">
        <f>'B) D RI'!Z261</f>
        <v>82707.899999999994</v>
      </c>
      <c r="E260" s="10">
        <f t="shared" si="12"/>
        <v>604733.30000000005</v>
      </c>
      <c r="F260" s="432">
        <f>'B) D RI'!U261</f>
        <v>44486.311690140843</v>
      </c>
      <c r="G260" s="263">
        <f t="shared" si="13"/>
        <v>13.593693813326908</v>
      </c>
      <c r="H260" s="55">
        <f t="shared" si="14"/>
        <v>285825.07</v>
      </c>
      <c r="I260" s="402">
        <f t="shared" si="15"/>
        <v>6.4250116303380844</v>
      </c>
    </row>
    <row r="261" spans="1:9" x14ac:dyDescent="0.25">
      <c r="A261" s="49">
        <f>'A) Base RI'!A262</f>
        <v>5854</v>
      </c>
      <c r="B261" s="492" t="str">
        <f>'A) Base RI'!B262</f>
        <v>Burtigny</v>
      </c>
      <c r="C261" s="10">
        <f>'B) D RI'!Y262</f>
        <v>45382.55</v>
      </c>
      <c r="D261" s="432">
        <f>'B) D RI'!Z262</f>
        <v>42212.55</v>
      </c>
      <c r="E261" s="10">
        <f t="shared" si="12"/>
        <v>87595.1</v>
      </c>
      <c r="F261" s="432">
        <f>'B) D RI'!U262</f>
        <v>15255.967208333332</v>
      </c>
      <c r="G261" s="263">
        <f t="shared" si="13"/>
        <v>5.7416943025515002</v>
      </c>
      <c r="H261" s="55">
        <f t="shared" si="14"/>
        <v>35355.040000000001</v>
      </c>
      <c r="I261" s="402">
        <f t="shared" si="15"/>
        <v>2.317456475698759</v>
      </c>
    </row>
    <row r="262" spans="1:9" x14ac:dyDescent="0.25">
      <c r="A262" s="49">
        <f>'A) Base RI'!A263</f>
        <v>5855</v>
      </c>
      <c r="B262" s="492" t="str">
        <f>'A) Base RI'!B263</f>
        <v>Dully</v>
      </c>
      <c r="C262" s="10">
        <f>'B) D RI'!Y263</f>
        <v>667542.65</v>
      </c>
      <c r="D262" s="432">
        <f>'B) D RI'!Z263</f>
        <v>1358.65</v>
      </c>
      <c r="E262" s="10">
        <f t="shared" ref="E262:E313" si="16">C262+D262</f>
        <v>668901.30000000005</v>
      </c>
      <c r="F262" s="432">
        <f>'B) D RI'!U263</f>
        <v>93684.152857142864</v>
      </c>
      <c r="G262" s="263">
        <f t="shared" ref="G262:G313" si="17">E262/F262</f>
        <v>7.139962091774418</v>
      </c>
      <c r="H262" s="55">
        <f t="shared" ref="H262:H313" si="18">(C262*$C$5)+(D262*$D$5)</f>
        <v>334178.92</v>
      </c>
      <c r="I262" s="402">
        <f t="shared" ref="I262:I313" si="19">H262/F262</f>
        <v>3.567080555337709</v>
      </c>
    </row>
    <row r="263" spans="1:9" x14ac:dyDescent="0.25">
      <c r="A263" s="49">
        <f>'A) Base RI'!A264</f>
        <v>5856</v>
      </c>
      <c r="B263" s="492" t="str">
        <f>'A) Base RI'!B264</f>
        <v>Essertines-sur-Rolle</v>
      </c>
      <c r="C263" s="10">
        <f>'B) D RI'!Y264</f>
        <v>465760.95</v>
      </c>
      <c r="D263" s="432">
        <f>'B) D RI'!Z264</f>
        <v>6571.75</v>
      </c>
      <c r="E263" s="10">
        <f t="shared" si="16"/>
        <v>472332.7</v>
      </c>
      <c r="F263" s="432">
        <f>'B) D RI'!U264</f>
        <v>42220.114424522842</v>
      </c>
      <c r="G263" s="263">
        <f t="shared" si="17"/>
        <v>11.187385596606852</v>
      </c>
      <c r="H263" s="55">
        <f t="shared" si="18"/>
        <v>234852</v>
      </c>
      <c r="I263" s="402">
        <f t="shared" si="19"/>
        <v>5.5625619020963661</v>
      </c>
    </row>
    <row r="264" spans="1:9" x14ac:dyDescent="0.25">
      <c r="A264" s="49">
        <f>'A) Base RI'!A265</f>
        <v>5857</v>
      </c>
      <c r="B264" s="492" t="str">
        <f>'A) Base RI'!B265</f>
        <v>Gilly</v>
      </c>
      <c r="C264" s="10">
        <f>'B) D RI'!Y265</f>
        <v>439852.94999999995</v>
      </c>
      <c r="D264" s="432">
        <f>'B) D RI'!Z265</f>
        <v>86130.95</v>
      </c>
      <c r="E264" s="10">
        <f t="shared" si="16"/>
        <v>525983.89999999991</v>
      </c>
      <c r="F264" s="432">
        <f>'B) D RI'!U265</f>
        <v>88866.553953488372</v>
      </c>
      <c r="G264" s="263">
        <f t="shared" si="17"/>
        <v>5.918806081704183</v>
      </c>
      <c r="H264" s="55">
        <f t="shared" si="18"/>
        <v>245765.75999999998</v>
      </c>
      <c r="I264" s="402">
        <f t="shared" si="19"/>
        <v>2.7655596967181899</v>
      </c>
    </row>
    <row r="265" spans="1:9" x14ac:dyDescent="0.25">
      <c r="A265" s="49">
        <f>'A) Base RI'!A266</f>
        <v>5858</v>
      </c>
      <c r="B265" s="492" t="str">
        <f>'A) Base RI'!B266</f>
        <v>Luins</v>
      </c>
      <c r="C265" s="10">
        <f>'B) D RI'!Y266</f>
        <v>105985.65</v>
      </c>
      <c r="D265" s="432">
        <f>'B) D RI'!Z266</f>
        <v>3971.45</v>
      </c>
      <c r="E265" s="10">
        <f t="shared" si="16"/>
        <v>109957.09999999999</v>
      </c>
      <c r="F265" s="432">
        <f>'B) D RI'!U266</f>
        <v>38253.397207977199</v>
      </c>
      <c r="G265" s="263">
        <f t="shared" si="17"/>
        <v>2.8744401288644243</v>
      </c>
      <c r="H265" s="55">
        <f t="shared" si="18"/>
        <v>54184.259999999995</v>
      </c>
      <c r="I265" s="402">
        <f t="shared" si="19"/>
        <v>1.4164561569632472</v>
      </c>
    </row>
    <row r="266" spans="1:9" x14ac:dyDescent="0.25">
      <c r="A266" s="49">
        <f>'A) Base RI'!A267</f>
        <v>5859</v>
      </c>
      <c r="B266" s="492" t="str">
        <f>'A) Base RI'!B267</f>
        <v>Mont-sur-Rolle</v>
      </c>
      <c r="C266" s="10">
        <f>'B) D RI'!Y267</f>
        <v>1671072.7000000002</v>
      </c>
      <c r="D266" s="432">
        <f>'B) D RI'!Z267</f>
        <v>120212.6</v>
      </c>
      <c r="E266" s="10">
        <f t="shared" si="16"/>
        <v>1791285.3000000003</v>
      </c>
      <c r="F266" s="432">
        <f>'B) D RI'!U267</f>
        <v>160910.93779527559</v>
      </c>
      <c r="G266" s="263">
        <f t="shared" si="17"/>
        <v>11.132153752525038</v>
      </c>
      <c r="H266" s="55">
        <f t="shared" si="18"/>
        <v>871600.13000000012</v>
      </c>
      <c r="I266" s="402">
        <f t="shared" si="19"/>
        <v>5.4166618002619744</v>
      </c>
    </row>
    <row r="267" spans="1:9" x14ac:dyDescent="0.25">
      <c r="A267" s="49">
        <f>'A) Base RI'!A268</f>
        <v>5860</v>
      </c>
      <c r="B267" s="492" t="str">
        <f>'A) Base RI'!B268</f>
        <v>Perroy</v>
      </c>
      <c r="C267" s="10">
        <f>'B) D RI'!Y268</f>
        <v>1012997.4500000001</v>
      </c>
      <c r="D267" s="432">
        <f>'B) D RI'!Z268</f>
        <v>19166.650000000001</v>
      </c>
      <c r="E267" s="10">
        <f t="shared" si="16"/>
        <v>1032164.1000000001</v>
      </c>
      <c r="F267" s="432">
        <f>'B) D RI'!U268</f>
        <v>124242.10120973046</v>
      </c>
      <c r="G267" s="263">
        <f t="shared" si="17"/>
        <v>8.3076838684306029</v>
      </c>
      <c r="H267" s="55">
        <f t="shared" si="18"/>
        <v>512248.72000000003</v>
      </c>
      <c r="I267" s="402">
        <f t="shared" si="19"/>
        <v>4.1229882222877396</v>
      </c>
    </row>
    <row r="268" spans="1:9" x14ac:dyDescent="0.25">
      <c r="A268" s="49">
        <f>'A) Base RI'!A269</f>
        <v>5861</v>
      </c>
      <c r="B268" s="492" t="str">
        <f>'A) Base RI'!B269</f>
        <v>Rolle</v>
      </c>
      <c r="C268" s="10">
        <f>'B) D RI'!Y269</f>
        <v>3491758.55</v>
      </c>
      <c r="D268" s="432">
        <f>'B) D RI'!Z269</f>
        <v>223079.3</v>
      </c>
      <c r="E268" s="10">
        <f t="shared" si="16"/>
        <v>3714837.8499999996</v>
      </c>
      <c r="F268" s="432">
        <f>'B) D RI'!U269</f>
        <v>638128.58403361356</v>
      </c>
      <c r="G268" s="263">
        <f t="shared" si="17"/>
        <v>5.821456588762242</v>
      </c>
      <c r="H268" s="55">
        <f t="shared" si="18"/>
        <v>1812803.0649999999</v>
      </c>
      <c r="I268" s="402">
        <f t="shared" si="19"/>
        <v>2.8408115705164998</v>
      </c>
    </row>
    <row r="269" spans="1:9" x14ac:dyDescent="0.25">
      <c r="A269" s="49">
        <f>'A) Base RI'!A270</f>
        <v>5862</v>
      </c>
      <c r="B269" s="492" t="str">
        <f>'A) Base RI'!B270</f>
        <v>Tartegnin</v>
      </c>
      <c r="C269" s="10">
        <f>'B) D RI'!Y270</f>
        <v>32752.3</v>
      </c>
      <c r="D269" s="432">
        <f>'B) D RI'!Z270</f>
        <v>5530.15</v>
      </c>
      <c r="E269" s="10">
        <f t="shared" si="16"/>
        <v>38282.449999999997</v>
      </c>
      <c r="F269" s="432">
        <f>'B) D RI'!U270</f>
        <v>7891.022278481013</v>
      </c>
      <c r="G269" s="263">
        <f t="shared" si="17"/>
        <v>4.8513929689942783</v>
      </c>
      <c r="H269" s="55">
        <f t="shared" si="18"/>
        <v>18035.195</v>
      </c>
      <c r="I269" s="402">
        <f t="shared" si="19"/>
        <v>2.2855334028370904</v>
      </c>
    </row>
    <row r="270" spans="1:9" x14ac:dyDescent="0.25">
      <c r="A270" s="49">
        <f>'A) Base RI'!A271</f>
        <v>5863</v>
      </c>
      <c r="B270" s="492" t="str">
        <f>'A) Base RI'!B271</f>
        <v>Vinzel</v>
      </c>
      <c r="C270" s="10">
        <f>'B) D RI'!Y271</f>
        <v>198082.65</v>
      </c>
      <c r="D270" s="432">
        <f>'B) D RI'!Z271</f>
        <v>18683.7</v>
      </c>
      <c r="E270" s="10">
        <f t="shared" si="16"/>
        <v>216766.35</v>
      </c>
      <c r="F270" s="432">
        <f>'B) D RI'!U271</f>
        <v>21424.128507462683</v>
      </c>
      <c r="G270" s="263">
        <f t="shared" si="17"/>
        <v>10.11786080000844</v>
      </c>
      <c r="H270" s="55">
        <f t="shared" si="18"/>
        <v>104646.435</v>
      </c>
      <c r="I270" s="402">
        <f t="shared" si="19"/>
        <v>4.884513036950298</v>
      </c>
    </row>
    <row r="271" spans="1:9" x14ac:dyDescent="0.25">
      <c r="A271" s="49">
        <f>'A) Base RI'!A272</f>
        <v>5871</v>
      </c>
      <c r="B271" s="492" t="str">
        <f>'A) Base RI'!B272</f>
        <v>L'Abbaye</v>
      </c>
      <c r="C271" s="10">
        <f>'B) D RI'!Y272</f>
        <v>506973.05</v>
      </c>
      <c r="D271" s="432">
        <f>'B) D RI'!Z272</f>
        <v>774954</v>
      </c>
      <c r="E271" s="10">
        <f t="shared" si="16"/>
        <v>1281927.05</v>
      </c>
      <c r="F271" s="432">
        <f>'B) D RI'!U272</f>
        <v>53269.472631578945</v>
      </c>
      <c r="G271" s="263">
        <f t="shared" si="17"/>
        <v>24.064947270381918</v>
      </c>
      <c r="H271" s="55">
        <f t="shared" si="18"/>
        <v>485972.72499999998</v>
      </c>
      <c r="I271" s="402">
        <f t="shared" si="19"/>
        <v>9.122912260856662</v>
      </c>
    </row>
    <row r="272" spans="1:9" x14ac:dyDescent="0.25">
      <c r="A272" s="49">
        <f>'A) Base RI'!A273</f>
        <v>5872</v>
      </c>
      <c r="B272" s="492" t="str">
        <f>'A) Base RI'!B273</f>
        <v>Le Chenit</v>
      </c>
      <c r="C272" s="10">
        <f>'B) D RI'!Y273</f>
        <v>1733392.55</v>
      </c>
      <c r="D272" s="432">
        <f>'B) D RI'!Z273</f>
        <v>6657622.0499999998</v>
      </c>
      <c r="E272" s="10">
        <f t="shared" si="16"/>
        <v>8391014.5999999996</v>
      </c>
      <c r="F272" s="432">
        <f>'B) D RI'!U273</f>
        <v>228048.33794871799</v>
      </c>
      <c r="G272" s="263">
        <f t="shared" si="17"/>
        <v>36.794894781855042</v>
      </c>
      <c r="H272" s="55">
        <f t="shared" si="18"/>
        <v>2863982.8899999997</v>
      </c>
      <c r="I272" s="402">
        <f t="shared" si="19"/>
        <v>12.558665920398127</v>
      </c>
    </row>
    <row r="273" spans="1:9" x14ac:dyDescent="0.25">
      <c r="A273" s="49">
        <f>'A) Base RI'!A274</f>
        <v>5873</v>
      </c>
      <c r="B273" s="492" t="str">
        <f>'A) Base RI'!B274</f>
        <v>Le Lieu</v>
      </c>
      <c r="C273" s="10">
        <f>'B) D RI'!Y274</f>
        <v>206344.95</v>
      </c>
      <c r="D273" s="432">
        <f>'B) D RI'!Z274</f>
        <v>899203.4</v>
      </c>
      <c r="E273" s="10">
        <f t="shared" si="16"/>
        <v>1105548.3500000001</v>
      </c>
      <c r="F273" s="432">
        <f>'B) D RI'!U274</f>
        <v>31475.129392857143</v>
      </c>
      <c r="G273" s="263">
        <f t="shared" si="17"/>
        <v>35.124505326128677</v>
      </c>
      <c r="H273" s="55">
        <f t="shared" si="18"/>
        <v>372933.495</v>
      </c>
      <c r="I273" s="402">
        <f t="shared" si="19"/>
        <v>11.848513483303812</v>
      </c>
    </row>
    <row r="274" spans="1:9" x14ac:dyDescent="0.25">
      <c r="A274" s="49">
        <f>'A) Base RI'!A275</f>
        <v>5881</v>
      </c>
      <c r="B274" s="492" t="str">
        <f>'A) Base RI'!B275</f>
        <v>Blonay</v>
      </c>
      <c r="C274" s="10">
        <f>'B) D RI'!Y275</f>
        <v>4833084.43</v>
      </c>
      <c r="D274" s="432">
        <f>'B) D RI'!Z275</f>
        <v>69243.399999999994</v>
      </c>
      <c r="E274" s="10">
        <f t="shared" si="16"/>
        <v>4902327.83</v>
      </c>
      <c r="F274" s="432">
        <f>'B) D RI'!U275</f>
        <v>371401.9382481752</v>
      </c>
      <c r="G274" s="263">
        <f t="shared" si="17"/>
        <v>13.199521394861989</v>
      </c>
      <c r="H274" s="55">
        <f t="shared" si="18"/>
        <v>2437315.2349999999</v>
      </c>
      <c r="I274" s="402">
        <f t="shared" si="19"/>
        <v>6.5624731160432361</v>
      </c>
    </row>
    <row r="275" spans="1:9" x14ac:dyDescent="0.25">
      <c r="A275" s="49">
        <f>'A) Base RI'!A276</f>
        <v>5882</v>
      </c>
      <c r="B275" s="492" t="str">
        <f>'A) Base RI'!B276</f>
        <v>Chardonne</v>
      </c>
      <c r="C275" s="10">
        <f>'B) D RI'!Y276</f>
        <v>1463855.4</v>
      </c>
      <c r="D275" s="432">
        <f>'B) D RI'!Z276</f>
        <v>7632.95</v>
      </c>
      <c r="E275" s="10">
        <f t="shared" si="16"/>
        <v>1471488.3499999999</v>
      </c>
      <c r="F275" s="432">
        <f>'B) D RI'!U276</f>
        <v>186952.68588235296</v>
      </c>
      <c r="G275" s="263">
        <f t="shared" si="17"/>
        <v>7.8709131299990496</v>
      </c>
      <c r="H275" s="55">
        <f t="shared" si="18"/>
        <v>734217.58499999996</v>
      </c>
      <c r="I275" s="402">
        <f t="shared" si="19"/>
        <v>3.9272909160665073</v>
      </c>
    </row>
    <row r="276" spans="1:9" x14ac:dyDescent="0.25">
      <c r="A276" s="49">
        <f>'A) Base RI'!A277</f>
        <v>5883</v>
      </c>
      <c r="B276" s="492" t="str">
        <f>'A) Base RI'!B277</f>
        <v>Corseaux</v>
      </c>
      <c r="C276" s="10">
        <f>'B) D RI'!Y277</f>
        <v>3104956.75</v>
      </c>
      <c r="D276" s="432">
        <f>'B) D RI'!Z277</f>
        <v>0</v>
      </c>
      <c r="E276" s="10">
        <f t="shared" si="16"/>
        <v>3104956.75</v>
      </c>
      <c r="F276" s="432">
        <f>'B) D RI'!U277</f>
        <v>193095.30118518518</v>
      </c>
      <c r="G276" s="263">
        <f t="shared" si="17"/>
        <v>16.079918728950517</v>
      </c>
      <c r="H276" s="55">
        <f t="shared" si="18"/>
        <v>1552478.375</v>
      </c>
      <c r="I276" s="402">
        <f t="shared" si="19"/>
        <v>8.0399593644752585</v>
      </c>
    </row>
    <row r="277" spans="1:9" x14ac:dyDescent="0.25">
      <c r="A277" s="49">
        <f>'A) Base RI'!A278</f>
        <v>5884</v>
      </c>
      <c r="B277" s="492" t="str">
        <f>'A) Base RI'!B278</f>
        <v>Corsier-sur-Vevey</v>
      </c>
      <c r="C277" s="10">
        <f>'B) D RI'!Y278</f>
        <v>783265.45</v>
      </c>
      <c r="D277" s="432">
        <f>'B) D RI'!Z278</f>
        <v>551964.19999999995</v>
      </c>
      <c r="E277" s="10">
        <f t="shared" si="16"/>
        <v>1335229.6499999999</v>
      </c>
      <c r="F277" s="432">
        <f>'B) D RI'!U278</f>
        <v>148896.79012919901</v>
      </c>
      <c r="G277" s="263">
        <f t="shared" si="17"/>
        <v>8.9674844490697865</v>
      </c>
      <c r="H277" s="55">
        <f t="shared" si="18"/>
        <v>557221.98499999999</v>
      </c>
      <c r="I277" s="402">
        <f t="shared" si="19"/>
        <v>3.7423371216833736</v>
      </c>
    </row>
    <row r="278" spans="1:9" x14ac:dyDescent="0.25">
      <c r="A278" s="49">
        <f>'A) Base RI'!A279</f>
        <v>5885</v>
      </c>
      <c r="B278" s="492" t="str">
        <f>'A) Base RI'!B279</f>
        <v>Jongny</v>
      </c>
      <c r="C278" s="10">
        <f>'B) D RI'!Y279</f>
        <v>1161154.8500000001</v>
      </c>
      <c r="D278" s="432">
        <f>'B) D RI'!Z279</f>
        <v>2403.85</v>
      </c>
      <c r="E278" s="10">
        <f t="shared" si="16"/>
        <v>1163558.7000000002</v>
      </c>
      <c r="F278" s="432">
        <f>'B) D RI'!U279</f>
        <v>97076.940527577928</v>
      </c>
      <c r="G278" s="263">
        <f t="shared" si="17"/>
        <v>11.985943249514056</v>
      </c>
      <c r="H278" s="55">
        <f t="shared" si="18"/>
        <v>581298.58000000007</v>
      </c>
      <c r="I278" s="402">
        <f t="shared" si="19"/>
        <v>5.9880191613049742</v>
      </c>
    </row>
    <row r="279" spans="1:9" x14ac:dyDescent="0.25">
      <c r="A279" s="49">
        <f>'A) Base RI'!A280</f>
        <v>5886</v>
      </c>
      <c r="B279" s="492" t="str">
        <f>'A) Base RI'!B280</f>
        <v>Montreux</v>
      </c>
      <c r="C279" s="10">
        <f>'B) D RI'!Y280</f>
        <v>30312889.099999998</v>
      </c>
      <c r="D279" s="432">
        <f>'B) D RI'!Z280</f>
        <v>1254691.7</v>
      </c>
      <c r="E279" s="10">
        <f t="shared" si="16"/>
        <v>31567580.799999997</v>
      </c>
      <c r="F279" s="432">
        <f>'B) D RI'!U280</f>
        <v>1223405.0430769229</v>
      </c>
      <c r="G279" s="263">
        <f t="shared" si="17"/>
        <v>25.803049430469898</v>
      </c>
      <c r="H279" s="55">
        <f t="shared" si="18"/>
        <v>15532852.059999999</v>
      </c>
      <c r="I279" s="402">
        <f t="shared" si="19"/>
        <v>12.69641003026612</v>
      </c>
    </row>
    <row r="280" spans="1:9" x14ac:dyDescent="0.25">
      <c r="A280" s="49">
        <f>'A) Base RI'!A281</f>
        <v>5888</v>
      </c>
      <c r="B280" s="492" t="str">
        <f>'A) Base RI'!B281</f>
        <v>Saint-Légier-La Chiésaz</v>
      </c>
      <c r="C280" s="10">
        <f>'B) D RI'!Y281</f>
        <v>2662594.15</v>
      </c>
      <c r="D280" s="432">
        <f>'B) D RI'!Z281</f>
        <v>210894</v>
      </c>
      <c r="E280" s="10">
        <f t="shared" si="16"/>
        <v>2873488.15</v>
      </c>
      <c r="F280" s="432">
        <f>'B) D RI'!U281</f>
        <v>334017.18953771284</v>
      </c>
      <c r="G280" s="263">
        <f t="shared" si="17"/>
        <v>8.602815184383088</v>
      </c>
      <c r="H280" s="55">
        <f t="shared" si="18"/>
        <v>1394565.2749999999</v>
      </c>
      <c r="I280" s="402">
        <f t="shared" si="19"/>
        <v>4.1751302588052699</v>
      </c>
    </row>
    <row r="281" spans="1:9" x14ac:dyDescent="0.25">
      <c r="A281" s="49">
        <f>'A) Base RI'!A282</f>
        <v>5889</v>
      </c>
      <c r="B281" s="492" t="str">
        <f>'A) Base RI'!B282</f>
        <v>La Tour-de-Peilz</v>
      </c>
      <c r="C281" s="10">
        <f>'B) D RI'!Y282</f>
        <v>3820761.5</v>
      </c>
      <c r="D281" s="432">
        <f>'B) D RI'!Z282</f>
        <v>259436.3</v>
      </c>
      <c r="E281" s="10">
        <f t="shared" si="16"/>
        <v>4080197.8</v>
      </c>
      <c r="F281" s="432">
        <f>'B) D RI'!U282</f>
        <v>740535.59942708339</v>
      </c>
      <c r="G281" s="263">
        <f t="shared" si="17"/>
        <v>5.5097929163117234</v>
      </c>
      <c r="H281" s="55">
        <f t="shared" si="18"/>
        <v>1988211.64</v>
      </c>
      <c r="I281" s="402">
        <f t="shared" si="19"/>
        <v>2.684829252689787</v>
      </c>
    </row>
    <row r="282" spans="1:9" x14ac:dyDescent="0.25">
      <c r="A282" s="49">
        <f>'A) Base RI'!A283</f>
        <v>5890</v>
      </c>
      <c r="B282" s="492" t="str">
        <f>'A) Base RI'!B283</f>
        <v>Vevey</v>
      </c>
      <c r="C282" s="10">
        <f>'B) D RI'!Y283</f>
        <v>5933416.4499999993</v>
      </c>
      <c r="D282" s="432">
        <f>'B) D RI'!Z283</f>
        <v>1260005.1000000001</v>
      </c>
      <c r="E282" s="10">
        <f t="shared" si="16"/>
        <v>7193421.5499999989</v>
      </c>
      <c r="F282" s="432">
        <f>'B) D RI'!U283</f>
        <v>969776.79771812086</v>
      </c>
      <c r="G282" s="263">
        <f t="shared" si="17"/>
        <v>7.417605336533188</v>
      </c>
      <c r="H282" s="55">
        <f t="shared" si="18"/>
        <v>3344709.7549999999</v>
      </c>
      <c r="I282" s="402">
        <f t="shared" si="19"/>
        <v>3.4489480083149879</v>
      </c>
    </row>
    <row r="283" spans="1:9" x14ac:dyDescent="0.25">
      <c r="A283" s="49">
        <f>'A) Base RI'!A284</f>
        <v>5891</v>
      </c>
      <c r="B283" s="492" t="str">
        <f>'A) Base RI'!B284</f>
        <v>Veytaux</v>
      </c>
      <c r="C283" s="10">
        <f>'B) D RI'!Y284</f>
        <v>260197.90000000002</v>
      </c>
      <c r="D283" s="432">
        <f>'B) D RI'!Z284</f>
        <v>2689.3</v>
      </c>
      <c r="E283" s="10">
        <f t="shared" si="16"/>
        <v>262887.2</v>
      </c>
      <c r="F283" s="432">
        <f>'B) D RI'!U284</f>
        <v>39123.353381294961</v>
      </c>
      <c r="G283" s="263">
        <f t="shared" si="17"/>
        <v>6.7194444565605025</v>
      </c>
      <c r="H283" s="55">
        <f t="shared" si="18"/>
        <v>130905.74</v>
      </c>
      <c r="I283" s="402">
        <f t="shared" si="19"/>
        <v>3.3459744292417066</v>
      </c>
    </row>
    <row r="284" spans="1:9" x14ac:dyDescent="0.25">
      <c r="A284" s="49">
        <f>'A) Base RI'!A285</f>
        <v>5902</v>
      </c>
      <c r="B284" s="492" t="str">
        <f>'A) Base RI'!B285</f>
        <v>Belmont-sur-Yverdon</v>
      </c>
      <c r="C284" s="10">
        <f>'B) D RI'!Y285</f>
        <v>62776.549999999996</v>
      </c>
      <c r="D284" s="432">
        <f>'B) D RI'!Z285</f>
        <v>0</v>
      </c>
      <c r="E284" s="10">
        <f t="shared" si="16"/>
        <v>62776.549999999996</v>
      </c>
      <c r="F284" s="432">
        <f>'B) D RI'!U285</f>
        <v>12109.15</v>
      </c>
      <c r="G284" s="263">
        <f t="shared" si="17"/>
        <v>5.1842243262326422</v>
      </c>
      <c r="H284" s="55">
        <f t="shared" si="18"/>
        <v>31388.274999999998</v>
      </c>
      <c r="I284" s="402">
        <f t="shared" si="19"/>
        <v>2.5921121631163211</v>
      </c>
    </row>
    <row r="285" spans="1:9" x14ac:dyDescent="0.25">
      <c r="A285" s="49">
        <f>'A) Base RI'!A286</f>
        <v>5903</v>
      </c>
      <c r="B285" s="492" t="str">
        <f>'A) Base RI'!B286</f>
        <v>Bioley-Magnoux</v>
      </c>
      <c r="C285" s="10">
        <f>'B) D RI'!Y286</f>
        <v>0</v>
      </c>
      <c r="D285" s="432">
        <f>'B) D RI'!Z286</f>
        <v>35867.85</v>
      </c>
      <c r="E285" s="10">
        <f t="shared" si="16"/>
        <v>35867.85</v>
      </c>
      <c r="F285" s="432">
        <f>'B) D RI'!U286</f>
        <v>6059.1993849206356</v>
      </c>
      <c r="G285" s="263">
        <f t="shared" si="17"/>
        <v>5.9195691908180708</v>
      </c>
      <c r="H285" s="55">
        <f t="shared" si="18"/>
        <v>10760.355</v>
      </c>
      <c r="I285" s="402">
        <f t="shared" si="19"/>
        <v>1.7758707572454213</v>
      </c>
    </row>
    <row r="286" spans="1:9" x14ac:dyDescent="0.25">
      <c r="A286" s="49">
        <f>'A) Base RI'!A287</f>
        <v>5904</v>
      </c>
      <c r="B286" s="492" t="str">
        <f>'A) Base RI'!B287</f>
        <v>Chamblon</v>
      </c>
      <c r="C286" s="10">
        <f>'B) D RI'!Y287</f>
        <v>46645.1</v>
      </c>
      <c r="D286" s="432">
        <f>'B) D RI'!Z287</f>
        <v>32442.95</v>
      </c>
      <c r="E286" s="10">
        <f t="shared" si="16"/>
        <v>79088.05</v>
      </c>
      <c r="F286" s="432">
        <f>'B) D RI'!U287</f>
        <v>22178.215151515149</v>
      </c>
      <c r="G286" s="263">
        <f t="shared" si="17"/>
        <v>3.5660241123865615</v>
      </c>
      <c r="H286" s="55">
        <f t="shared" si="18"/>
        <v>33055.434999999998</v>
      </c>
      <c r="I286" s="402">
        <f t="shared" si="19"/>
        <v>1.4904461325753597</v>
      </c>
    </row>
    <row r="287" spans="1:9" x14ac:dyDescent="0.25">
      <c r="A287" s="49">
        <f>'A) Base RI'!A288</f>
        <v>5905</v>
      </c>
      <c r="B287" s="492" t="str">
        <f>'A) Base RI'!B288</f>
        <v>Champvent</v>
      </c>
      <c r="C287" s="10">
        <f>'B) D RI'!Y288</f>
        <v>185557.34999999998</v>
      </c>
      <c r="D287" s="432">
        <f>'B) D RI'!Z288</f>
        <v>273258</v>
      </c>
      <c r="E287" s="10">
        <f t="shared" si="16"/>
        <v>458815.35</v>
      </c>
      <c r="F287" s="432">
        <f>'B) D RI'!U288</f>
        <v>23236.229714285717</v>
      </c>
      <c r="G287" s="263">
        <f t="shared" si="17"/>
        <v>19.745688334192991</v>
      </c>
      <c r="H287" s="55">
        <f t="shared" si="18"/>
        <v>174756.07499999998</v>
      </c>
      <c r="I287" s="402">
        <f t="shared" si="19"/>
        <v>7.5208446959258337</v>
      </c>
    </row>
    <row r="288" spans="1:9" x14ac:dyDescent="0.25">
      <c r="A288" s="49">
        <f>'A) Base RI'!A289</f>
        <v>5907</v>
      </c>
      <c r="B288" s="492" t="str">
        <f>'A) Base RI'!B289</f>
        <v>Chavannes-le-Chêne</v>
      </c>
      <c r="C288" s="10">
        <f>'B) D RI'!Y289</f>
        <v>20205.349999999999</v>
      </c>
      <c r="D288" s="432">
        <f>'B) D RI'!Z289</f>
        <v>8695.1</v>
      </c>
      <c r="E288" s="10">
        <f t="shared" si="16"/>
        <v>28900.449999999997</v>
      </c>
      <c r="F288" s="432">
        <f>'B) D RI'!U289</f>
        <v>7818.3477333333331</v>
      </c>
      <c r="G288" s="263">
        <f t="shared" si="17"/>
        <v>3.6964907402089113</v>
      </c>
      <c r="H288" s="55">
        <f t="shared" si="18"/>
        <v>12711.205</v>
      </c>
      <c r="I288" s="402">
        <f t="shared" si="19"/>
        <v>1.62581729970977</v>
      </c>
    </row>
    <row r="289" spans="1:9" x14ac:dyDescent="0.25">
      <c r="A289" s="49">
        <f>'A) Base RI'!A290</f>
        <v>5908</v>
      </c>
      <c r="B289" s="492" t="str">
        <f>'A) Base RI'!B290</f>
        <v>Chêne-Pâquier</v>
      </c>
      <c r="C289" s="10">
        <f>'B) D RI'!Y290</f>
        <v>14606.45</v>
      </c>
      <c r="D289" s="432">
        <f>'B) D RI'!Z290</f>
        <v>436.2</v>
      </c>
      <c r="E289" s="10">
        <f t="shared" si="16"/>
        <v>15042.650000000001</v>
      </c>
      <c r="F289" s="432">
        <f>'B) D RI'!U290</f>
        <v>4413.8781012658228</v>
      </c>
      <c r="G289" s="263">
        <f t="shared" si="17"/>
        <v>3.4080347610157231</v>
      </c>
      <c r="H289" s="55">
        <f t="shared" si="18"/>
        <v>7434.085</v>
      </c>
      <c r="I289" s="402">
        <f t="shared" si="19"/>
        <v>1.6842524486274406</v>
      </c>
    </row>
    <row r="290" spans="1:9" x14ac:dyDescent="0.25">
      <c r="A290" s="49">
        <f>'A) Base RI'!A291</f>
        <v>5909</v>
      </c>
      <c r="B290" s="492" t="str">
        <f>'A) Base RI'!B291</f>
        <v>Cheseaux-Noréaz</v>
      </c>
      <c r="C290" s="10">
        <f>'B) D RI'!Y291</f>
        <v>265390.09999999998</v>
      </c>
      <c r="D290" s="432">
        <f>'B) D RI'!Z291</f>
        <v>7393.8</v>
      </c>
      <c r="E290" s="10">
        <f t="shared" si="16"/>
        <v>272783.89999999997</v>
      </c>
      <c r="F290" s="432">
        <f>'B) D RI'!U291</f>
        <v>36898.573134328355</v>
      </c>
      <c r="G290" s="263">
        <f t="shared" si="17"/>
        <v>7.3928034834012912</v>
      </c>
      <c r="H290" s="55">
        <f t="shared" si="18"/>
        <v>134913.19</v>
      </c>
      <c r="I290" s="402">
        <f t="shared" si="19"/>
        <v>3.6563253952626251</v>
      </c>
    </row>
    <row r="291" spans="1:9" x14ac:dyDescent="0.25">
      <c r="A291" s="49">
        <f>'A) Base RI'!A292</f>
        <v>5910</v>
      </c>
      <c r="B291" s="492" t="str">
        <f>'A) Base RI'!B292</f>
        <v>Cronay</v>
      </c>
      <c r="C291" s="10">
        <f>'B) D RI'!Y292</f>
        <v>57762.5</v>
      </c>
      <c r="D291" s="432">
        <f>'B) D RI'!Z292</f>
        <v>0</v>
      </c>
      <c r="E291" s="10">
        <f t="shared" si="16"/>
        <v>57762.5</v>
      </c>
      <c r="F291" s="432">
        <f>'B) D RI'!U292</f>
        <v>10600.416103896103</v>
      </c>
      <c r="G291" s="263">
        <f t="shared" si="17"/>
        <v>5.4490785487911015</v>
      </c>
      <c r="H291" s="55">
        <f t="shared" si="18"/>
        <v>28881.25</v>
      </c>
      <c r="I291" s="402">
        <f t="shared" si="19"/>
        <v>2.7245392743955508</v>
      </c>
    </row>
    <row r="292" spans="1:9" x14ac:dyDescent="0.25">
      <c r="A292" s="49">
        <f>'A) Base RI'!A293</f>
        <v>5911</v>
      </c>
      <c r="B292" s="492" t="str">
        <f>'A) Base RI'!B293</f>
        <v>Cuarny</v>
      </c>
      <c r="C292" s="10">
        <f>'B) D RI'!Y293</f>
        <v>47895.9</v>
      </c>
      <c r="D292" s="432">
        <f>'B) D RI'!Z293</f>
        <v>1009.45</v>
      </c>
      <c r="E292" s="10">
        <f t="shared" si="16"/>
        <v>48905.35</v>
      </c>
      <c r="F292" s="432">
        <f>'B) D RI'!U293</f>
        <v>7504.0945454545454</v>
      </c>
      <c r="G292" s="263">
        <f t="shared" si="17"/>
        <v>6.5171553614850755</v>
      </c>
      <c r="H292" s="55">
        <f t="shared" si="18"/>
        <v>24250.785</v>
      </c>
      <c r="I292" s="402">
        <f t="shared" si="19"/>
        <v>3.2316737020177104</v>
      </c>
    </row>
    <row r="293" spans="1:9" x14ac:dyDescent="0.25">
      <c r="A293" s="49">
        <f>'A) Base RI'!A294</f>
        <v>5912</v>
      </c>
      <c r="B293" s="492" t="str">
        <f>'A) Base RI'!B294</f>
        <v>Démoret</v>
      </c>
      <c r="C293" s="10">
        <f>'B) D RI'!Y294</f>
        <v>31576.5</v>
      </c>
      <c r="D293" s="432">
        <f>'B) D RI'!Z294</f>
        <v>3569.75</v>
      </c>
      <c r="E293" s="10">
        <f t="shared" si="16"/>
        <v>35146.25</v>
      </c>
      <c r="F293" s="432">
        <f>'B) D RI'!U294</f>
        <v>4722.5551851851851</v>
      </c>
      <c r="G293" s="263">
        <f t="shared" si="17"/>
        <v>7.4422105453113545</v>
      </c>
      <c r="H293" s="55">
        <f t="shared" si="18"/>
        <v>16859.174999999999</v>
      </c>
      <c r="I293" s="402">
        <f t="shared" si="19"/>
        <v>3.5699265204751445</v>
      </c>
    </row>
    <row r="294" spans="1:9" x14ac:dyDescent="0.25">
      <c r="A294" s="49">
        <f>'A) Base RI'!A295</f>
        <v>5913</v>
      </c>
      <c r="B294" s="492" t="str">
        <f>'A) Base RI'!B295</f>
        <v>Donneloye</v>
      </c>
      <c r="C294" s="10">
        <f>'B) D RI'!Y295</f>
        <v>143251.70000000001</v>
      </c>
      <c r="D294" s="432">
        <f>'B) D RI'!Z295</f>
        <v>29277.45</v>
      </c>
      <c r="E294" s="10">
        <f t="shared" si="16"/>
        <v>172529.15000000002</v>
      </c>
      <c r="F294" s="432">
        <f>'B) D RI'!U295</f>
        <v>23893.322465753423</v>
      </c>
      <c r="G294" s="263">
        <f t="shared" si="17"/>
        <v>7.2208103434458755</v>
      </c>
      <c r="H294" s="55">
        <f t="shared" si="18"/>
        <v>80409.085000000006</v>
      </c>
      <c r="I294" s="402">
        <f t="shared" si="19"/>
        <v>3.365337119408625</v>
      </c>
    </row>
    <row r="295" spans="1:9" x14ac:dyDescent="0.25">
      <c r="A295" s="49">
        <f>'A) Base RI'!A296</f>
        <v>5914</v>
      </c>
      <c r="B295" s="492" t="str">
        <f>'A) Base RI'!B296</f>
        <v>Ependes</v>
      </c>
      <c r="C295" s="10">
        <f>'B) D RI'!Y296</f>
        <v>120945.29999999999</v>
      </c>
      <c r="D295" s="432">
        <f>'B) D RI'!Z296</f>
        <v>11708.55</v>
      </c>
      <c r="E295" s="10">
        <f t="shared" si="16"/>
        <v>132653.84999999998</v>
      </c>
      <c r="F295" s="432">
        <f>'B) D RI'!U296</f>
        <v>9829.5133333333324</v>
      </c>
      <c r="G295" s="263">
        <f t="shared" si="17"/>
        <v>13.495464678820992</v>
      </c>
      <c r="H295" s="55">
        <f t="shared" si="18"/>
        <v>63985.214999999997</v>
      </c>
      <c r="I295" s="402">
        <f t="shared" si="19"/>
        <v>6.509499792122635</v>
      </c>
    </row>
    <row r="296" spans="1:9" x14ac:dyDescent="0.25">
      <c r="A296" s="49">
        <f>'A) Base RI'!A297</f>
        <v>5919</v>
      </c>
      <c r="B296" s="492" t="str">
        <f>'A) Base RI'!B297</f>
        <v>Mathod</v>
      </c>
      <c r="C296" s="10">
        <f>'B) D RI'!Y297</f>
        <v>88899</v>
      </c>
      <c r="D296" s="432">
        <f>'B) D RI'!Z297</f>
        <v>11130.05</v>
      </c>
      <c r="E296" s="10">
        <f t="shared" si="16"/>
        <v>100029.05</v>
      </c>
      <c r="F296" s="432">
        <f>'B) D RI'!U297</f>
        <v>18684.885972222222</v>
      </c>
      <c r="G296" s="263">
        <f t="shared" si="17"/>
        <v>5.3534739333548842</v>
      </c>
      <c r="H296" s="55">
        <f t="shared" si="18"/>
        <v>47788.514999999999</v>
      </c>
      <c r="I296" s="402">
        <f t="shared" si="19"/>
        <v>2.5576027100751122</v>
      </c>
    </row>
    <row r="297" spans="1:9" x14ac:dyDescent="0.25">
      <c r="A297" s="49">
        <f>'A) Base RI'!A298</f>
        <v>5921</v>
      </c>
      <c r="B297" s="492" t="str">
        <f>'A) Base RI'!B298</f>
        <v>Molondin</v>
      </c>
      <c r="C297" s="10">
        <f>'B) D RI'!Y298</f>
        <v>4271.8500000000004</v>
      </c>
      <c r="D297" s="432">
        <f>'B) D RI'!Z298</f>
        <v>8046.65</v>
      </c>
      <c r="E297" s="10">
        <f t="shared" si="16"/>
        <v>12318.5</v>
      </c>
      <c r="F297" s="432">
        <f>'B) D RI'!U298</f>
        <v>5874.9966666666678</v>
      </c>
      <c r="G297" s="263">
        <f t="shared" si="17"/>
        <v>2.0967671471019269</v>
      </c>
      <c r="H297" s="55">
        <f t="shared" si="18"/>
        <v>4549.92</v>
      </c>
      <c r="I297" s="402">
        <f t="shared" si="19"/>
        <v>0.77445490749214596</v>
      </c>
    </row>
    <row r="298" spans="1:9" x14ac:dyDescent="0.25">
      <c r="A298" s="49">
        <f>'A) Base RI'!A299</f>
        <v>5922</v>
      </c>
      <c r="B298" s="492" t="str">
        <f>'A) Base RI'!B299</f>
        <v>Montagny-près-Yverdon</v>
      </c>
      <c r="C298" s="10">
        <f>'B) D RI'!Y299</f>
        <v>328666.40000000002</v>
      </c>
      <c r="D298" s="432">
        <f>'B) D RI'!Z299</f>
        <v>373184.55</v>
      </c>
      <c r="E298" s="10">
        <f t="shared" si="16"/>
        <v>701850.95</v>
      </c>
      <c r="F298" s="432">
        <f>'B) D RI'!U299</f>
        <v>39614.024961240313</v>
      </c>
      <c r="G298" s="263">
        <f t="shared" si="17"/>
        <v>17.717234002016063</v>
      </c>
      <c r="H298" s="55">
        <f t="shared" si="18"/>
        <v>276288.565</v>
      </c>
      <c r="I298" s="402">
        <f t="shared" si="19"/>
        <v>6.9745138311577772</v>
      </c>
    </row>
    <row r="299" spans="1:9" x14ac:dyDescent="0.25">
      <c r="A299" s="49">
        <f>'A) Base RI'!A300</f>
        <v>5923</v>
      </c>
      <c r="B299" s="492" t="str">
        <f>'A) Base RI'!B300</f>
        <v>Oppens</v>
      </c>
      <c r="C299" s="10">
        <f>'B) D RI'!Y300</f>
        <v>62066.65</v>
      </c>
      <c r="D299" s="432">
        <f>'B) D RI'!Z300</f>
        <v>12323.55</v>
      </c>
      <c r="E299" s="10">
        <f t="shared" si="16"/>
        <v>74390.2</v>
      </c>
      <c r="F299" s="432">
        <f>'B) D RI'!U300</f>
        <v>5094.8359259259259</v>
      </c>
      <c r="G299" s="263">
        <f t="shared" si="17"/>
        <v>14.601098265295061</v>
      </c>
      <c r="H299" s="55">
        <f t="shared" si="18"/>
        <v>34730.39</v>
      </c>
      <c r="I299" s="402">
        <f t="shared" si="19"/>
        <v>6.8167828179252234</v>
      </c>
    </row>
    <row r="300" spans="1:9" x14ac:dyDescent="0.25">
      <c r="A300" s="49">
        <f>'A) Base RI'!A301</f>
        <v>5924</v>
      </c>
      <c r="B300" s="492" t="str">
        <f>'A) Base RI'!B301</f>
        <v>Orges</v>
      </c>
      <c r="C300" s="10">
        <f>'B) D RI'!Y301</f>
        <v>82057.100000000006</v>
      </c>
      <c r="D300" s="432">
        <f>'B) D RI'!Z301</f>
        <v>18896.3</v>
      </c>
      <c r="E300" s="10">
        <f t="shared" si="16"/>
        <v>100953.40000000001</v>
      </c>
      <c r="F300" s="432">
        <f>'B) D RI'!U301</f>
        <v>13110.169864864867</v>
      </c>
      <c r="G300" s="263">
        <f t="shared" si="17"/>
        <v>7.7003884038569312</v>
      </c>
      <c r="H300" s="55">
        <f t="shared" si="18"/>
        <v>46697.440000000002</v>
      </c>
      <c r="I300" s="402">
        <f t="shared" si="19"/>
        <v>3.5619248630140716</v>
      </c>
    </row>
    <row r="301" spans="1:9" x14ac:dyDescent="0.25">
      <c r="A301" s="49">
        <f>'A) Base RI'!A302</f>
        <v>5925</v>
      </c>
      <c r="B301" s="492" t="str">
        <f>'A) Base RI'!B302</f>
        <v>Orzens</v>
      </c>
      <c r="C301" s="10">
        <f>'B) D RI'!Y302</f>
        <v>137016.1</v>
      </c>
      <c r="D301" s="432">
        <f>'B) D RI'!Z302</f>
        <v>514.25</v>
      </c>
      <c r="E301" s="10">
        <f t="shared" si="16"/>
        <v>137530.35</v>
      </c>
      <c r="F301" s="432">
        <f>'B) D RI'!U302</f>
        <v>5230.5868354430377</v>
      </c>
      <c r="G301" s="263">
        <f t="shared" si="17"/>
        <v>26.293483757516285</v>
      </c>
      <c r="H301" s="55">
        <f t="shared" si="18"/>
        <v>68662.324999999997</v>
      </c>
      <c r="I301" s="402">
        <f t="shared" si="19"/>
        <v>13.12707869310886</v>
      </c>
    </row>
    <row r="302" spans="1:9" x14ac:dyDescent="0.25">
      <c r="A302" s="49">
        <f>'A) Base RI'!A303</f>
        <v>5926</v>
      </c>
      <c r="B302" s="492" t="str">
        <f>'A) Base RI'!B303</f>
        <v>Pomy</v>
      </c>
      <c r="C302" s="10">
        <f>'B) D RI'!Y303</f>
        <v>194771.34999999998</v>
      </c>
      <c r="D302" s="432">
        <f>'B) D RI'!Z303</f>
        <v>30239.599999999999</v>
      </c>
      <c r="E302" s="10">
        <f t="shared" si="16"/>
        <v>225010.94999999998</v>
      </c>
      <c r="F302" s="432">
        <f>'B) D RI'!U303</f>
        <v>27875.103943661972</v>
      </c>
      <c r="G302" s="263">
        <f t="shared" si="17"/>
        <v>8.0721116037725569</v>
      </c>
      <c r="H302" s="55">
        <f t="shared" si="18"/>
        <v>106457.55499999999</v>
      </c>
      <c r="I302" s="402">
        <f t="shared" si="19"/>
        <v>3.819090871020967</v>
      </c>
    </row>
    <row r="303" spans="1:9" x14ac:dyDescent="0.25">
      <c r="A303" s="49">
        <f>'A) Base RI'!A304</f>
        <v>5928</v>
      </c>
      <c r="B303" s="492" t="str">
        <f>'A) Base RI'!B304</f>
        <v>Rovray</v>
      </c>
      <c r="C303" s="10">
        <f>'B) D RI'!Y304</f>
        <v>19441.55</v>
      </c>
      <c r="D303" s="432">
        <f>'B) D RI'!Z304</f>
        <v>10979.85</v>
      </c>
      <c r="E303" s="10">
        <f t="shared" si="16"/>
        <v>30421.4</v>
      </c>
      <c r="F303" s="432">
        <f>'B) D RI'!U304</f>
        <v>5459.4606993006983</v>
      </c>
      <c r="G303" s="263">
        <f t="shared" si="17"/>
        <v>5.5722353682107606</v>
      </c>
      <c r="H303" s="55">
        <f t="shared" si="18"/>
        <v>13014.73</v>
      </c>
      <c r="I303" s="402">
        <f t="shared" si="19"/>
        <v>2.3838856467392566</v>
      </c>
    </row>
    <row r="304" spans="1:9" x14ac:dyDescent="0.25">
      <c r="A304" s="49">
        <f>'A) Base RI'!A305</f>
        <v>5929</v>
      </c>
      <c r="B304" s="492" t="str">
        <f>'A) Base RI'!B305</f>
        <v>Suchy</v>
      </c>
      <c r="C304" s="10">
        <f>'B) D RI'!Y305</f>
        <v>143441.1</v>
      </c>
      <c r="D304" s="432">
        <f>'B) D RI'!Z305</f>
        <v>6048.3</v>
      </c>
      <c r="E304" s="10">
        <f t="shared" si="16"/>
        <v>149489.4</v>
      </c>
      <c r="F304" s="432">
        <f>'B) D RI'!U305</f>
        <v>20266.988392857143</v>
      </c>
      <c r="G304" s="263">
        <f t="shared" si="17"/>
        <v>7.3760046190526136</v>
      </c>
      <c r="H304" s="55">
        <f t="shared" si="18"/>
        <v>73535.040000000008</v>
      </c>
      <c r="I304" s="402">
        <f t="shared" si="19"/>
        <v>3.6283160859714387</v>
      </c>
    </row>
    <row r="305" spans="1:9" x14ac:dyDescent="0.25">
      <c r="A305" s="49">
        <f>'A) Base RI'!A306</f>
        <v>5930</v>
      </c>
      <c r="B305" s="492" t="str">
        <f>'A) Base RI'!B306</f>
        <v>Suscévaz</v>
      </c>
      <c r="C305" s="10">
        <f>'B) D RI'!Y306</f>
        <v>79841.8</v>
      </c>
      <c r="D305" s="432">
        <f>'B) D RI'!Z306</f>
        <v>0</v>
      </c>
      <c r="E305" s="10">
        <f t="shared" si="16"/>
        <v>79841.8</v>
      </c>
      <c r="F305" s="432">
        <f>'B) D RI'!U306</f>
        <v>6661.8138888888889</v>
      </c>
      <c r="G305" s="263">
        <f t="shared" si="17"/>
        <v>11.984994076938506</v>
      </c>
      <c r="H305" s="55">
        <f t="shared" si="18"/>
        <v>39920.9</v>
      </c>
      <c r="I305" s="402">
        <f t="shared" si="19"/>
        <v>5.9924970384692529</v>
      </c>
    </row>
    <row r="306" spans="1:9" x14ac:dyDescent="0.25">
      <c r="A306" s="49">
        <f>'A) Base RI'!A307</f>
        <v>5931</v>
      </c>
      <c r="B306" s="492" t="str">
        <f>'A) Base RI'!B307</f>
        <v>Treycovagnes</v>
      </c>
      <c r="C306" s="10">
        <f>'B) D RI'!Y307</f>
        <v>155078.15000000002</v>
      </c>
      <c r="D306" s="432">
        <f>'B) D RI'!Z307</f>
        <v>12375.15</v>
      </c>
      <c r="E306" s="10">
        <f t="shared" si="16"/>
        <v>167453.30000000002</v>
      </c>
      <c r="F306" s="432">
        <f>'B) D RI'!U307</f>
        <v>15271.093466666664</v>
      </c>
      <c r="G306" s="263">
        <f t="shared" si="17"/>
        <v>10.96537719224315</v>
      </c>
      <c r="H306" s="55">
        <f t="shared" si="18"/>
        <v>81251.62000000001</v>
      </c>
      <c r="I306" s="402">
        <f t="shared" si="19"/>
        <v>5.3206157225973296</v>
      </c>
    </row>
    <row r="307" spans="1:9" x14ac:dyDescent="0.25">
      <c r="A307" s="49">
        <f>'A) Base RI'!A308</f>
        <v>5932</v>
      </c>
      <c r="B307" s="492" t="str">
        <f>'A) Base RI'!B308</f>
        <v>Ursins</v>
      </c>
      <c r="C307" s="10">
        <f>'B) D RI'!Y308</f>
        <v>9848.7000000000007</v>
      </c>
      <c r="D307" s="432">
        <f>'B) D RI'!Z308</f>
        <v>0</v>
      </c>
      <c r="E307" s="10">
        <f t="shared" si="16"/>
        <v>9848.7000000000007</v>
      </c>
      <c r="F307" s="432">
        <f>'B) D RI'!U308</f>
        <v>7703.3244000000022</v>
      </c>
      <c r="G307" s="263">
        <f t="shared" si="17"/>
        <v>1.2784999681436235</v>
      </c>
      <c r="H307" s="55">
        <f t="shared" si="18"/>
        <v>4924.3500000000004</v>
      </c>
      <c r="I307" s="402">
        <f t="shared" si="19"/>
        <v>0.63924998407181177</v>
      </c>
    </row>
    <row r="308" spans="1:9" x14ac:dyDescent="0.25">
      <c r="A308" s="49">
        <f>'A) Base RI'!A309</f>
        <v>5933</v>
      </c>
      <c r="B308" s="492" t="str">
        <f>'A) Base RI'!B309</f>
        <v>Valeyres-sous-Montagny</v>
      </c>
      <c r="C308" s="10">
        <f>'B) D RI'!Y309</f>
        <v>132448.65</v>
      </c>
      <c r="D308" s="432">
        <f>'B) D RI'!Z309</f>
        <v>17443.900000000001</v>
      </c>
      <c r="E308" s="10">
        <f t="shared" si="16"/>
        <v>149892.54999999999</v>
      </c>
      <c r="F308" s="432">
        <f>'B) D RI'!U309</f>
        <v>19607.073049645387</v>
      </c>
      <c r="G308" s="263">
        <f t="shared" si="17"/>
        <v>7.6448202962507423</v>
      </c>
      <c r="H308" s="55">
        <f t="shared" si="18"/>
        <v>71457.494999999995</v>
      </c>
      <c r="I308" s="402">
        <f t="shared" si="19"/>
        <v>3.6444753798319924</v>
      </c>
    </row>
    <row r="309" spans="1:9" x14ac:dyDescent="0.25">
      <c r="A309" s="49">
        <f>'A) Base RI'!A310</f>
        <v>5934</v>
      </c>
      <c r="B309" s="492" t="str">
        <f>'A) Base RI'!B310</f>
        <v>Valeyres-sous-Ursins</v>
      </c>
      <c r="C309" s="10">
        <f>'B) D RI'!Y310</f>
        <v>2211.6</v>
      </c>
      <c r="D309" s="432">
        <f>'B) D RI'!Z310</f>
        <v>16396.150000000001</v>
      </c>
      <c r="E309" s="10">
        <f t="shared" si="16"/>
        <v>18607.75</v>
      </c>
      <c r="F309" s="432">
        <f>'B) D RI'!U310</f>
        <v>7018.283636363637</v>
      </c>
      <c r="G309" s="263">
        <f t="shared" si="17"/>
        <v>2.651324877152041</v>
      </c>
      <c r="H309" s="55">
        <f t="shared" si="18"/>
        <v>6024.6450000000004</v>
      </c>
      <c r="I309" s="402">
        <f t="shared" si="19"/>
        <v>0.85842141927474624</v>
      </c>
    </row>
    <row r="310" spans="1:9" x14ac:dyDescent="0.25">
      <c r="A310" s="49">
        <f>'A) Base RI'!A311</f>
        <v>5935</v>
      </c>
      <c r="B310" s="492" t="str">
        <f>'A) Base RI'!B311</f>
        <v>Villars-Epeney</v>
      </c>
      <c r="C310" s="10">
        <f>'B) D RI'!Y311</f>
        <v>10120</v>
      </c>
      <c r="D310" s="432">
        <f>'B) D RI'!Z311</f>
        <v>0</v>
      </c>
      <c r="E310" s="10">
        <f t="shared" si="16"/>
        <v>10120</v>
      </c>
      <c r="F310" s="432">
        <f>'B) D RI'!U311</f>
        <v>3448.2304999999997</v>
      </c>
      <c r="G310" s="263">
        <f t="shared" si="17"/>
        <v>2.9348386078018858</v>
      </c>
      <c r="H310" s="55">
        <f t="shared" si="18"/>
        <v>5060</v>
      </c>
      <c r="I310" s="402">
        <f t="shared" si="19"/>
        <v>1.4674193039009429</v>
      </c>
    </row>
    <row r="311" spans="1:9" x14ac:dyDescent="0.25">
      <c r="A311" s="49">
        <f>'A) Base RI'!A312</f>
        <v>5937</v>
      </c>
      <c r="B311" s="492" t="str">
        <f>'A) Base RI'!B312</f>
        <v>Vugelles-La Mothe</v>
      </c>
      <c r="C311" s="10">
        <f>'B) D RI'!Y312</f>
        <v>10230</v>
      </c>
      <c r="D311" s="432">
        <f>'B) D RI'!Z312</f>
        <v>0</v>
      </c>
      <c r="E311" s="10">
        <f t="shared" si="16"/>
        <v>10230</v>
      </c>
      <c r="F311" s="432">
        <f>'B) D RI'!U312</f>
        <v>3471.6885918367348</v>
      </c>
      <c r="G311" s="263">
        <f t="shared" si="17"/>
        <v>2.9466928641165095</v>
      </c>
      <c r="H311" s="55">
        <f t="shared" si="18"/>
        <v>5115</v>
      </c>
      <c r="I311" s="402">
        <f t="shared" si="19"/>
        <v>1.4733464320582548</v>
      </c>
    </row>
    <row r="312" spans="1:9" x14ac:dyDescent="0.25">
      <c r="A312" s="49">
        <f>'A) Base RI'!A313</f>
        <v>5938</v>
      </c>
      <c r="B312" s="492" t="str">
        <f>'A) Base RI'!B313</f>
        <v>Yverdon-les-Bains</v>
      </c>
      <c r="C312" s="10">
        <f>'B) D RI'!Y313</f>
        <v>6273689.7999999998</v>
      </c>
      <c r="D312" s="432">
        <f>'B) D RI'!Z313</f>
        <v>4824763.5999999996</v>
      </c>
      <c r="E312" s="10">
        <f t="shared" si="16"/>
        <v>11098453.399999999</v>
      </c>
      <c r="F312" s="432">
        <f>'B) D RI'!U313</f>
        <v>762770.29813333345</v>
      </c>
      <c r="G312" s="263">
        <f t="shared" si="17"/>
        <v>14.550190833544978</v>
      </c>
      <c r="H312" s="55">
        <f t="shared" si="18"/>
        <v>4584273.9799999995</v>
      </c>
      <c r="I312" s="402">
        <f t="shared" si="19"/>
        <v>6.0100321043159726</v>
      </c>
    </row>
    <row r="313" spans="1:9" x14ac:dyDescent="0.25">
      <c r="A313" s="49">
        <f>'A) Base RI'!A314</f>
        <v>5939</v>
      </c>
      <c r="B313" s="492" t="str">
        <f>'A) Base RI'!B314</f>
        <v>Yvonand</v>
      </c>
      <c r="C313" s="412">
        <f>'B) D RI'!Y314</f>
        <v>606423.5</v>
      </c>
      <c r="D313" s="432">
        <f>'B) D RI'!Z314</f>
        <v>167773.55</v>
      </c>
      <c r="E313" s="10">
        <f t="shared" si="16"/>
        <v>774197.05</v>
      </c>
      <c r="F313" s="432">
        <f>'B) D RI'!U314</f>
        <v>105336.86867132869</v>
      </c>
      <c r="G313" s="263">
        <f t="shared" si="17"/>
        <v>7.3497253123751376</v>
      </c>
      <c r="H313" s="55">
        <f t="shared" si="18"/>
        <v>353543.815</v>
      </c>
      <c r="I313" s="402">
        <f t="shared" si="19"/>
        <v>3.3563159742589725</v>
      </c>
    </row>
    <row r="314" spans="1:9" x14ac:dyDescent="0.25">
      <c r="A314" s="363"/>
      <c r="B314" s="118">
        <f>COUNTA(B6:B313)</f>
        <v>308</v>
      </c>
      <c r="C314" s="392">
        <f>SUM(C6:C313)</f>
        <v>322945400.58000004</v>
      </c>
      <c r="D314" s="11">
        <f>SUM(D6:D313)</f>
        <v>82182598.849999994</v>
      </c>
      <c r="E314" s="11">
        <f>SUM(E6:E313)</f>
        <v>405127999.43000036</v>
      </c>
      <c r="F314" s="11">
        <f>SUM(F6:F313)</f>
        <v>39896757.238841556</v>
      </c>
      <c r="G314" s="59">
        <f t="shared" ref="G314" si="20">E314/F314</f>
        <v>10.154409216887114</v>
      </c>
      <c r="H314" s="265">
        <f>(C314*$C$5)+(D314*$D$5)</f>
        <v>186127479.94500002</v>
      </c>
      <c r="I314" s="403">
        <f t="shared" ref="I314" si="21">H314/F314</f>
        <v>4.6652282748382188</v>
      </c>
    </row>
    <row r="316" spans="1:9" x14ac:dyDescent="0.25">
      <c r="G316" s="13"/>
    </row>
    <row r="317" spans="1:9" x14ac:dyDescent="0.25">
      <c r="G317" s="13"/>
    </row>
    <row r="318" spans="1:9" x14ac:dyDescent="0.25">
      <c r="G318" s="13"/>
    </row>
    <row r="319" spans="1:9" x14ac:dyDescent="0.25">
      <c r="G319" s="13"/>
    </row>
    <row r="320" spans="1:9" x14ac:dyDescent="0.25">
      <c r="G320" s="13"/>
    </row>
    <row r="321" spans="7:7" x14ac:dyDescent="0.25">
      <c r="G321" s="13"/>
    </row>
    <row r="322" spans="7:7" x14ac:dyDescent="0.25">
      <c r="G322" s="13"/>
    </row>
    <row r="323" spans="7:7" x14ac:dyDescent="0.25">
      <c r="G323" s="13"/>
    </row>
    <row r="324" spans="7:7" x14ac:dyDescent="0.25">
      <c r="G324" s="13"/>
    </row>
    <row r="325" spans="7:7" x14ac:dyDescent="0.25">
      <c r="G325" s="13"/>
    </row>
    <row r="326" spans="7:7" x14ac:dyDescent="0.25">
      <c r="G326" s="13"/>
    </row>
    <row r="327" spans="7:7" x14ac:dyDescent="0.25">
      <c r="G327" s="13"/>
    </row>
    <row r="328" spans="7:7" x14ac:dyDescent="0.25">
      <c r="G328" s="13"/>
    </row>
    <row r="329" spans="7:7" x14ac:dyDescent="0.25">
      <c r="G329" s="13"/>
    </row>
    <row r="330" spans="7:7" x14ac:dyDescent="0.25">
      <c r="G330" s="13"/>
    </row>
    <row r="331" spans="7:7" x14ac:dyDescent="0.25">
      <c r="G331" s="13"/>
    </row>
    <row r="332" spans="7:7" x14ac:dyDescent="0.25">
      <c r="G332" s="13"/>
    </row>
  </sheetData>
  <mergeCells count="7">
    <mergeCell ref="A4:A5"/>
    <mergeCell ref="B4:B5"/>
    <mergeCell ref="I4:I5"/>
    <mergeCell ref="H4:H5"/>
    <mergeCell ref="G4:G5"/>
    <mergeCell ref="F4:F5"/>
    <mergeCell ref="E4:E5"/>
  </mergeCells>
  <phoneticPr fontId="21" type="noConversion"/>
  <printOptions horizontalCentered="1" verticalCentered="1"/>
  <pageMargins left="0" right="0" top="0" bottom="0" header="0.51181102362204722" footer="0.51181102362204722"/>
  <pageSetup paperSize="8" orientation="landscape" horizontalDpi="300" verticalDpi="300"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Feuil7">
    <tabColor rgb="FF00B050"/>
  </sheetPr>
  <dimension ref="A1:V320"/>
  <sheetViews>
    <sheetView topLeftCell="A284" workbookViewId="0">
      <selection activeCell="C314" sqref="C314"/>
    </sheetView>
  </sheetViews>
  <sheetFormatPr baseColWidth="10" defaultColWidth="11" defaultRowHeight="15" x14ac:dyDescent="0.25"/>
  <cols>
    <col min="1" max="1" width="7.25" style="13" customWidth="1"/>
    <col min="2" max="2" width="18" style="13" customWidth="1"/>
    <col min="3" max="3" width="10.875" style="13" bestFit="1" customWidth="1"/>
    <col min="4" max="4" width="10" style="13" customWidth="1"/>
    <col min="5" max="5" width="10.125" style="13" customWidth="1"/>
    <col min="6" max="6" width="8.75" style="58" bestFit="1" customWidth="1"/>
    <col min="7" max="7" width="5.75" style="13" bestFit="1" customWidth="1"/>
    <col min="8" max="8" width="5.75" style="13" customWidth="1"/>
    <col min="9" max="10" width="5.75" style="13" bestFit="1" customWidth="1"/>
    <col min="11" max="11" width="6.5" style="13" bestFit="1" customWidth="1"/>
    <col min="12" max="12" width="7.625" style="13" bestFit="1" customWidth="1"/>
    <col min="13" max="13" width="13" style="12" bestFit="1" customWidth="1"/>
    <col min="14" max="17" width="11" style="362"/>
    <col min="18" max="18" width="11.25" style="362" bestFit="1" customWidth="1"/>
    <col min="19" max="21" width="11" style="13"/>
    <col min="22" max="22" width="11.25" style="13" bestFit="1" customWidth="1"/>
    <col min="23" max="16384" width="11" style="13"/>
  </cols>
  <sheetData>
    <row r="1" spans="1:22" ht="21" x14ac:dyDescent="0.25">
      <c r="A1" s="51" t="s">
        <v>457</v>
      </c>
      <c r="B1" s="42"/>
      <c r="C1" s="56"/>
      <c r="D1" s="43"/>
      <c r="E1" s="43"/>
      <c r="F1" s="57"/>
    </row>
    <row r="2" spans="1:22" s="400" customFormat="1" ht="21" x14ac:dyDescent="0.25">
      <c r="A2" s="200" t="str">
        <f>Paramètres!B5</f>
        <v>décompte provisoire 2021</v>
      </c>
      <c r="B2" s="42"/>
      <c r="C2" s="56"/>
      <c r="D2" s="43"/>
      <c r="E2" s="43"/>
      <c r="F2" s="57"/>
      <c r="M2" s="12"/>
      <c r="N2" s="436"/>
      <c r="O2" s="436"/>
      <c r="P2" s="436"/>
      <c r="Q2" s="436"/>
      <c r="R2" s="436"/>
    </row>
    <row r="3" spans="1:22" x14ac:dyDescent="0.25">
      <c r="G3" s="66">
        <f>$E$314*G5</f>
        <v>48.42538817965405</v>
      </c>
      <c r="H3" s="66">
        <f>$E$314*H5</f>
        <v>58.11046581558486</v>
      </c>
      <c r="I3" s="66">
        <f>$E$314*I5</f>
        <v>72.638082269481075</v>
      </c>
      <c r="J3" s="66">
        <f>$E$314*J5</f>
        <v>96.850776359308099</v>
      </c>
      <c r="K3" s="66">
        <f>$E$314*K5</f>
        <v>145.27616453896215</v>
      </c>
    </row>
    <row r="4" spans="1:22" ht="60" customHeight="1" x14ac:dyDescent="0.25">
      <c r="A4" s="581" t="s">
        <v>46</v>
      </c>
      <c r="B4" s="581" t="s">
        <v>94</v>
      </c>
      <c r="C4" s="588" t="s">
        <v>298</v>
      </c>
      <c r="D4" s="589"/>
      <c r="E4" s="590"/>
      <c r="F4" s="587" t="s">
        <v>284</v>
      </c>
      <c r="G4" s="63">
        <f>Paramètres!B16</f>
        <v>0.2</v>
      </c>
      <c r="H4" s="63">
        <f>Paramètres!C16</f>
        <v>0.3</v>
      </c>
      <c r="I4" s="63">
        <f>Paramètres!D16</f>
        <v>0.4</v>
      </c>
      <c r="J4" s="63">
        <f>Paramètres!E16</f>
        <v>0.5</v>
      </c>
      <c r="K4" s="63">
        <f>Paramètres!F16</f>
        <v>0.6</v>
      </c>
      <c r="L4" s="587" t="s">
        <v>287</v>
      </c>
      <c r="M4" s="587" t="s">
        <v>299</v>
      </c>
    </row>
    <row r="5" spans="1:22" ht="30" x14ac:dyDescent="0.25">
      <c r="A5" s="582"/>
      <c r="B5" s="582"/>
      <c r="C5" s="64" t="s">
        <v>359</v>
      </c>
      <c r="D5" s="64" t="s">
        <v>297</v>
      </c>
      <c r="E5" s="64" t="s">
        <v>67</v>
      </c>
      <c r="F5" s="587"/>
      <c r="G5" s="65">
        <f>Paramètres!B17</f>
        <v>1</v>
      </c>
      <c r="H5" s="65">
        <f>Paramètres!C17</f>
        <v>1.2</v>
      </c>
      <c r="I5" s="65">
        <f>Paramètres!D17</f>
        <v>1.5</v>
      </c>
      <c r="J5" s="65">
        <f>Paramètres!E17</f>
        <v>2</v>
      </c>
      <c r="K5" s="65">
        <f>Paramètres!F17</f>
        <v>3</v>
      </c>
      <c r="L5" s="591"/>
      <c r="M5" s="587"/>
    </row>
    <row r="6" spans="1:22" x14ac:dyDescent="0.25">
      <c r="A6" s="104">
        <f>'A) Base RI'!A7</f>
        <v>5401</v>
      </c>
      <c r="B6" s="291" t="str">
        <f>'A) Base RI'!B7</f>
        <v>Aigle</v>
      </c>
      <c r="C6" s="288">
        <f>'B) D RI'!U7</f>
        <v>280991.46517676767</v>
      </c>
      <c r="D6" s="32">
        <f>'B) D RI'!AA7</f>
        <v>10828</v>
      </c>
      <c r="E6" s="199">
        <f>C6/D6</f>
        <v>25.950449314441048</v>
      </c>
      <c r="F6" s="357">
        <f t="shared" ref="F6:F37" si="0">E6/$E$314</f>
        <v>0.5358852100094087</v>
      </c>
      <c r="G6" s="367">
        <f>IF(E6-$G$3&lt;0,0,E6-$G$3)</f>
        <v>0</v>
      </c>
      <c r="H6" s="359">
        <f>IF(E6-$H$3&lt;0,0,E6-$H$3)</f>
        <v>0</v>
      </c>
      <c r="I6" s="367">
        <f>IF(E6-$I$3&lt;0,0,E6-$I$3)</f>
        <v>0</v>
      </c>
      <c r="J6" s="359">
        <f>IF(E6-$J$3&lt;0,0,E6-$J$3)</f>
        <v>0</v>
      </c>
      <c r="K6" s="358">
        <f>IF(E6-$K$3&lt;0,0,E6-$K$3)</f>
        <v>0</v>
      </c>
      <c r="L6" s="366">
        <f>(G6-H6)*$G$4+(H6-I6)*$H$4+(I6-J6)*$I$4+(J6-K6)*$J$4+(K6*$K$4)</f>
        <v>0</v>
      </c>
      <c r="M6" s="113">
        <f>L6*D6*'B) D RI'!S7</f>
        <v>0</v>
      </c>
    </row>
    <row r="7" spans="1:22" x14ac:dyDescent="0.25">
      <c r="A7" s="290">
        <f>'A) Base RI'!A8</f>
        <v>5402</v>
      </c>
      <c r="B7" s="32" t="str">
        <f>'A) Base RI'!B8</f>
        <v>Bex</v>
      </c>
      <c r="C7" s="288">
        <f>'B) D RI'!U8</f>
        <v>192706.98084507044</v>
      </c>
      <c r="D7" s="32">
        <f>'B) D RI'!AA8</f>
        <v>8063</v>
      </c>
      <c r="E7" s="199">
        <f t="shared" ref="E7:E69" si="1">C7/D7</f>
        <v>23.900158854653409</v>
      </c>
      <c r="F7" s="357">
        <f t="shared" si="0"/>
        <v>0.49354604584656842</v>
      </c>
      <c r="G7" s="368">
        <f t="shared" ref="G7:G69" si="2">IF(E7-$G$3&lt;0,0,E7-$G$3)</f>
        <v>0</v>
      </c>
      <c r="H7" s="365">
        <f t="shared" ref="H7:H69" si="3">IF(E7-$H$3&lt;0,0,E7-$H$3)</f>
        <v>0</v>
      </c>
      <c r="I7" s="368">
        <f t="shared" ref="I7:I69" si="4">IF(E7-$I$3&lt;0,0,E7-$I$3)</f>
        <v>0</v>
      </c>
      <c r="J7" s="365">
        <f t="shared" ref="J7:J69" si="5">IF(E7-$J$3&lt;0,0,E7-$J$3)</f>
        <v>0</v>
      </c>
      <c r="K7" s="360">
        <f t="shared" ref="K7:K69" si="6">IF(E7-$K$3&lt;0,0,E7-$K$3)</f>
        <v>0</v>
      </c>
      <c r="L7" s="364">
        <f t="shared" ref="L7:L69" si="7">(G7-H7)*$G$4+(H7-I7)*$H$4+(I7-J7)*$I$4+(J7-K7)*$J$4+(K7*$K$4)</f>
        <v>0</v>
      </c>
      <c r="M7" s="113">
        <f>L7*D7*'B) D RI'!S8</f>
        <v>0</v>
      </c>
    </row>
    <row r="8" spans="1:22" x14ac:dyDescent="0.25">
      <c r="A8" s="290">
        <f>'A) Base RI'!A9</f>
        <v>5403</v>
      </c>
      <c r="B8" s="32" t="str">
        <f>'A) Base RI'!B9</f>
        <v>Chessel</v>
      </c>
      <c r="C8" s="288">
        <f>'B) D RI'!U9</f>
        <v>12090.332702702703</v>
      </c>
      <c r="D8" s="32">
        <f>'B) D RI'!AA9</f>
        <v>497</v>
      </c>
      <c r="E8" s="199">
        <f t="shared" si="1"/>
        <v>24.326625156343464</v>
      </c>
      <c r="F8" s="357">
        <f t="shared" si="0"/>
        <v>0.50235271354137145</v>
      </c>
      <c r="G8" s="368">
        <f t="shared" si="2"/>
        <v>0</v>
      </c>
      <c r="H8" s="365">
        <f t="shared" si="3"/>
        <v>0</v>
      </c>
      <c r="I8" s="368">
        <f t="shared" si="4"/>
        <v>0</v>
      </c>
      <c r="J8" s="365">
        <f t="shared" si="5"/>
        <v>0</v>
      </c>
      <c r="K8" s="360">
        <f t="shared" si="6"/>
        <v>0</v>
      </c>
      <c r="L8" s="364">
        <f t="shared" si="7"/>
        <v>0</v>
      </c>
      <c r="M8" s="113">
        <f>L8*D8*'B) D RI'!S9</f>
        <v>0</v>
      </c>
    </row>
    <row r="9" spans="1:22" x14ac:dyDescent="0.25">
      <c r="A9" s="290">
        <f>'A) Base RI'!A10</f>
        <v>5404</v>
      </c>
      <c r="B9" s="32" t="str">
        <f>'A) Base RI'!B10</f>
        <v>Corbeyrier</v>
      </c>
      <c r="C9" s="288">
        <f>'B) D RI'!U10</f>
        <v>11581.118783783784</v>
      </c>
      <c r="D9" s="32">
        <f>'B) D RI'!AA10</f>
        <v>439</v>
      </c>
      <c r="E9" s="199">
        <f t="shared" si="1"/>
        <v>26.380680600874225</v>
      </c>
      <c r="F9" s="357">
        <f t="shared" si="0"/>
        <v>0.5447696258624537</v>
      </c>
      <c r="G9" s="368">
        <f t="shared" si="2"/>
        <v>0</v>
      </c>
      <c r="H9" s="365">
        <f t="shared" si="3"/>
        <v>0</v>
      </c>
      <c r="I9" s="368">
        <f t="shared" si="4"/>
        <v>0</v>
      </c>
      <c r="J9" s="365">
        <f t="shared" si="5"/>
        <v>0</v>
      </c>
      <c r="K9" s="360">
        <f t="shared" si="6"/>
        <v>0</v>
      </c>
      <c r="L9" s="364">
        <f t="shared" si="7"/>
        <v>0</v>
      </c>
      <c r="M9" s="113">
        <f>L9*D9*'B) D RI'!S10</f>
        <v>0</v>
      </c>
    </row>
    <row r="10" spans="1:22" x14ac:dyDescent="0.25">
      <c r="A10" s="290">
        <f>'A) Base RI'!A11</f>
        <v>5405</v>
      </c>
      <c r="B10" s="32" t="str">
        <f>'A) Base RI'!B11</f>
        <v>Gryon</v>
      </c>
      <c r="C10" s="288">
        <f>'B) D RI'!U11</f>
        <v>78111.135102040818</v>
      </c>
      <c r="D10" s="32">
        <f>'B) D RI'!AA11</f>
        <v>1382</v>
      </c>
      <c r="E10" s="199">
        <f t="shared" si="1"/>
        <v>56.520358250391332</v>
      </c>
      <c r="F10" s="357">
        <f t="shared" si="0"/>
        <v>1.1671637621304269</v>
      </c>
      <c r="G10" s="368">
        <f t="shared" si="2"/>
        <v>8.0949700707372827</v>
      </c>
      <c r="H10" s="365">
        <f t="shared" si="3"/>
        <v>0</v>
      </c>
      <c r="I10" s="368">
        <f t="shared" si="4"/>
        <v>0</v>
      </c>
      <c r="J10" s="365">
        <f t="shared" si="5"/>
        <v>0</v>
      </c>
      <c r="K10" s="360">
        <f t="shared" si="6"/>
        <v>0</v>
      </c>
      <c r="L10" s="364">
        <f t="shared" si="7"/>
        <v>1.6189940141474566</v>
      </c>
      <c r="M10" s="113">
        <f>L10*D10*'B) D RI'!S11</f>
        <v>164452.55497505621</v>
      </c>
    </row>
    <row r="11" spans="1:22" x14ac:dyDescent="0.25">
      <c r="A11" s="290">
        <f>'A) Base RI'!A12</f>
        <v>5406</v>
      </c>
      <c r="B11" s="32" t="str">
        <f>'A) Base RI'!B12</f>
        <v>Lavey-Morcles</v>
      </c>
      <c r="C11" s="288">
        <f>'B) D RI'!U12</f>
        <v>21513.822183969878</v>
      </c>
      <c r="D11" s="32">
        <f>'B) D RI'!AA12</f>
        <v>966</v>
      </c>
      <c r="E11" s="199">
        <f t="shared" si="1"/>
        <v>22.271037457525754</v>
      </c>
      <c r="F11" s="357">
        <f t="shared" si="0"/>
        <v>0.45990415967141263</v>
      </c>
      <c r="G11" s="368">
        <f t="shared" si="2"/>
        <v>0</v>
      </c>
      <c r="H11" s="365">
        <f t="shared" si="3"/>
        <v>0</v>
      </c>
      <c r="I11" s="368">
        <f t="shared" si="4"/>
        <v>0</v>
      </c>
      <c r="J11" s="365">
        <f t="shared" si="5"/>
        <v>0</v>
      </c>
      <c r="K11" s="360">
        <f t="shared" si="6"/>
        <v>0</v>
      </c>
      <c r="L11" s="364">
        <f t="shared" si="7"/>
        <v>0</v>
      </c>
      <c r="M11" s="113">
        <f>L11*D11*'B) D RI'!S12</f>
        <v>0</v>
      </c>
    </row>
    <row r="12" spans="1:22" x14ac:dyDescent="0.25">
      <c r="A12" s="290">
        <f>'A) Base RI'!A13</f>
        <v>5407</v>
      </c>
      <c r="B12" s="32" t="str">
        <f>'A) Base RI'!B13</f>
        <v>Leysin</v>
      </c>
      <c r="C12" s="288">
        <f>'B) D RI'!U13</f>
        <v>90687.443803418792</v>
      </c>
      <c r="D12" s="32">
        <f>'B) D RI'!AA13</f>
        <v>3637</v>
      </c>
      <c r="E12" s="199">
        <f t="shared" si="1"/>
        <v>24.934683476331809</v>
      </c>
      <c r="F12" s="357">
        <f t="shared" si="0"/>
        <v>0.51490931541583651</v>
      </c>
      <c r="G12" s="368">
        <f t="shared" si="2"/>
        <v>0</v>
      </c>
      <c r="H12" s="365">
        <f t="shared" si="3"/>
        <v>0</v>
      </c>
      <c r="I12" s="368">
        <f t="shared" si="4"/>
        <v>0</v>
      </c>
      <c r="J12" s="365">
        <f t="shared" si="5"/>
        <v>0</v>
      </c>
      <c r="K12" s="360">
        <f t="shared" si="6"/>
        <v>0</v>
      </c>
      <c r="L12" s="364">
        <f t="shared" si="7"/>
        <v>0</v>
      </c>
      <c r="M12" s="113">
        <f>L12*D12*'B) D RI'!S13</f>
        <v>0</v>
      </c>
    </row>
    <row r="13" spans="1:22" x14ac:dyDescent="0.25">
      <c r="A13" s="290">
        <f>'A) Base RI'!A14</f>
        <v>5408</v>
      </c>
      <c r="B13" s="32" t="str">
        <f>'A) Base RI'!B14</f>
        <v>Noville</v>
      </c>
      <c r="C13" s="288">
        <f>'B) D RI'!U14</f>
        <v>41389.442632696395</v>
      </c>
      <c r="D13" s="32">
        <f>'B) D RI'!AA14</f>
        <v>1169</v>
      </c>
      <c r="E13" s="199">
        <f t="shared" si="1"/>
        <v>35.405853406925914</v>
      </c>
      <c r="F13" s="357">
        <f t="shared" si="0"/>
        <v>0.73114237671308335</v>
      </c>
      <c r="G13" s="368">
        <f t="shared" si="2"/>
        <v>0</v>
      </c>
      <c r="H13" s="365">
        <f t="shared" si="3"/>
        <v>0</v>
      </c>
      <c r="I13" s="368">
        <f t="shared" si="4"/>
        <v>0</v>
      </c>
      <c r="J13" s="365">
        <f t="shared" si="5"/>
        <v>0</v>
      </c>
      <c r="K13" s="360">
        <f t="shared" si="6"/>
        <v>0</v>
      </c>
      <c r="L13" s="364">
        <f t="shared" si="7"/>
        <v>0</v>
      </c>
      <c r="M13" s="113">
        <f>L13*D13*'B) D RI'!S14</f>
        <v>0</v>
      </c>
    </row>
    <row r="14" spans="1:22" x14ac:dyDescent="0.25">
      <c r="A14" s="290">
        <f>'A) Base RI'!A15</f>
        <v>5409</v>
      </c>
      <c r="B14" s="32" t="str">
        <f>'A) Base RI'!B15</f>
        <v>Ollon</v>
      </c>
      <c r="C14" s="288">
        <f>'B) D RI'!U15</f>
        <v>428262.96074660635</v>
      </c>
      <c r="D14" s="32">
        <f>'B) D RI'!AA15</f>
        <v>7904</v>
      </c>
      <c r="E14" s="199">
        <f t="shared" si="1"/>
        <v>54.183066896078735</v>
      </c>
      <c r="F14" s="357">
        <f t="shared" si="0"/>
        <v>1.1188979362450167</v>
      </c>
      <c r="G14" s="368">
        <f t="shared" si="2"/>
        <v>5.7576787164246852</v>
      </c>
      <c r="H14" s="365">
        <f t="shared" si="3"/>
        <v>0</v>
      </c>
      <c r="I14" s="368">
        <f t="shared" si="4"/>
        <v>0</v>
      </c>
      <c r="J14" s="365">
        <f t="shared" si="5"/>
        <v>0</v>
      </c>
      <c r="K14" s="360">
        <f t="shared" si="6"/>
        <v>0</v>
      </c>
      <c r="L14" s="364">
        <f t="shared" si="7"/>
        <v>1.1515357432849371</v>
      </c>
      <c r="M14" s="113">
        <f>L14*D14*'B) D RI'!S15</f>
        <v>618918.21901484171</v>
      </c>
    </row>
    <row r="15" spans="1:22" x14ac:dyDescent="0.25">
      <c r="A15" s="290">
        <f>'A) Base RI'!A16</f>
        <v>5410</v>
      </c>
      <c r="B15" s="32" t="str">
        <f>'A) Base RI'!B16</f>
        <v>Ormont-Dessous</v>
      </c>
      <c r="C15" s="288">
        <f>'B) D RI'!U16</f>
        <v>38607.205194805196</v>
      </c>
      <c r="D15" s="32">
        <f>'B) D RI'!AA16</f>
        <v>1162</v>
      </c>
      <c r="E15" s="199">
        <f t="shared" si="1"/>
        <v>33.224789324272976</v>
      </c>
      <c r="F15" s="357">
        <f t="shared" si="0"/>
        <v>0.6861026947478841</v>
      </c>
      <c r="G15" s="368">
        <f t="shared" si="2"/>
        <v>0</v>
      </c>
      <c r="H15" s="365">
        <f t="shared" si="3"/>
        <v>0</v>
      </c>
      <c r="I15" s="368">
        <f t="shared" si="4"/>
        <v>0</v>
      </c>
      <c r="J15" s="365">
        <f t="shared" si="5"/>
        <v>0</v>
      </c>
      <c r="K15" s="360">
        <f t="shared" si="6"/>
        <v>0</v>
      </c>
      <c r="L15" s="364">
        <f t="shared" si="7"/>
        <v>0</v>
      </c>
      <c r="M15" s="113">
        <f>L15*D15*'B) D RI'!S16</f>
        <v>0</v>
      </c>
      <c r="V15" s="15"/>
    </row>
    <row r="16" spans="1:22" x14ac:dyDescent="0.25">
      <c r="A16" s="290">
        <f>'A) Base RI'!A17</f>
        <v>5411</v>
      </c>
      <c r="B16" s="32" t="str">
        <f>'A) Base RI'!B17</f>
        <v>Ormont-Dessus</v>
      </c>
      <c r="C16" s="288">
        <f>'B) D RI'!U17</f>
        <v>77411.411228070181</v>
      </c>
      <c r="D16" s="32">
        <f>'B) D RI'!AA17</f>
        <v>1451</v>
      </c>
      <c r="E16" s="199">
        <f t="shared" si="1"/>
        <v>53.350386787091786</v>
      </c>
      <c r="F16" s="357">
        <f t="shared" si="0"/>
        <v>1.1017028214449498</v>
      </c>
      <c r="G16" s="368">
        <f t="shared" si="2"/>
        <v>4.9249986074377361</v>
      </c>
      <c r="H16" s="365">
        <f t="shared" si="3"/>
        <v>0</v>
      </c>
      <c r="I16" s="368">
        <f t="shared" si="4"/>
        <v>0</v>
      </c>
      <c r="J16" s="365">
        <f t="shared" si="5"/>
        <v>0</v>
      </c>
      <c r="K16" s="360">
        <f t="shared" si="6"/>
        <v>0</v>
      </c>
      <c r="L16" s="364">
        <f t="shared" si="7"/>
        <v>0.98499972148754722</v>
      </c>
      <c r="M16" s="113">
        <f>L16*D16*'B) D RI'!S17</f>
        <v>108621.82928676075</v>
      </c>
      <c r="V16" s="15"/>
    </row>
    <row r="17" spans="1:22" x14ac:dyDescent="0.25">
      <c r="A17" s="290">
        <f>'A) Base RI'!A18</f>
        <v>5412</v>
      </c>
      <c r="B17" s="32" t="str">
        <f>'A) Base RI'!B18</f>
        <v>Rennaz</v>
      </c>
      <c r="C17" s="288">
        <f>'B) D RI'!U18</f>
        <v>28875.999420289856</v>
      </c>
      <c r="D17" s="32">
        <f>'B) D RI'!AA18</f>
        <v>883</v>
      </c>
      <c r="E17" s="199">
        <f t="shared" si="1"/>
        <v>32.702151098856007</v>
      </c>
      <c r="F17" s="357">
        <f t="shared" si="0"/>
        <v>0.67531004558050878</v>
      </c>
      <c r="G17" s="368">
        <f t="shared" si="2"/>
        <v>0</v>
      </c>
      <c r="H17" s="365">
        <f t="shared" si="3"/>
        <v>0</v>
      </c>
      <c r="I17" s="368">
        <f t="shared" si="4"/>
        <v>0</v>
      </c>
      <c r="J17" s="365">
        <f t="shared" si="5"/>
        <v>0</v>
      </c>
      <c r="K17" s="360">
        <f t="shared" si="6"/>
        <v>0</v>
      </c>
      <c r="L17" s="364">
        <f t="shared" si="7"/>
        <v>0</v>
      </c>
      <c r="M17" s="113">
        <f>L17*D17*'B) D RI'!S18</f>
        <v>0</v>
      </c>
      <c r="V17" s="15"/>
    </row>
    <row r="18" spans="1:22" x14ac:dyDescent="0.25">
      <c r="A18" s="290">
        <f>'A) Base RI'!A19</f>
        <v>5413</v>
      </c>
      <c r="B18" s="32" t="str">
        <f>'A) Base RI'!B19</f>
        <v>Roche</v>
      </c>
      <c r="C18" s="288">
        <f>'B) D RI'!U19</f>
        <v>43148.541249999987</v>
      </c>
      <c r="D18" s="32">
        <f>'B) D RI'!AA19</f>
        <v>1874</v>
      </c>
      <c r="E18" s="199">
        <f t="shared" si="1"/>
        <v>23.024835245464242</v>
      </c>
      <c r="F18" s="357">
        <f t="shared" si="0"/>
        <v>0.47547032891185242</v>
      </c>
      <c r="G18" s="368">
        <f t="shared" si="2"/>
        <v>0</v>
      </c>
      <c r="H18" s="365">
        <f t="shared" si="3"/>
        <v>0</v>
      </c>
      <c r="I18" s="368">
        <f t="shared" si="4"/>
        <v>0</v>
      </c>
      <c r="J18" s="365">
        <f t="shared" si="5"/>
        <v>0</v>
      </c>
      <c r="K18" s="360">
        <f t="shared" si="6"/>
        <v>0</v>
      </c>
      <c r="L18" s="364">
        <f t="shared" si="7"/>
        <v>0</v>
      </c>
      <c r="M18" s="113">
        <f>L18*D18*'B) D RI'!S19</f>
        <v>0</v>
      </c>
      <c r="V18" s="15"/>
    </row>
    <row r="19" spans="1:22" x14ac:dyDescent="0.25">
      <c r="A19" s="290">
        <f>'A) Base RI'!A20</f>
        <v>5414</v>
      </c>
      <c r="B19" s="32" t="str">
        <f>'A) Base RI'!B20</f>
        <v>Villeneuve</v>
      </c>
      <c r="C19" s="288">
        <f>'B) D RI'!U20</f>
        <v>185712.20711111111</v>
      </c>
      <c r="D19" s="32">
        <f>'B) D RI'!AA20</f>
        <v>5921</v>
      </c>
      <c r="E19" s="199">
        <f t="shared" si="1"/>
        <v>31.365007112161987</v>
      </c>
      <c r="F19" s="357">
        <f t="shared" si="0"/>
        <v>0.64769758779837738</v>
      </c>
      <c r="G19" s="368">
        <f t="shared" si="2"/>
        <v>0</v>
      </c>
      <c r="H19" s="365">
        <f t="shared" si="3"/>
        <v>0</v>
      </c>
      <c r="I19" s="368">
        <f t="shared" si="4"/>
        <v>0</v>
      </c>
      <c r="J19" s="365">
        <f t="shared" si="5"/>
        <v>0</v>
      </c>
      <c r="K19" s="360">
        <f t="shared" si="6"/>
        <v>0</v>
      </c>
      <c r="L19" s="364">
        <f t="shared" si="7"/>
        <v>0</v>
      </c>
      <c r="M19" s="113">
        <f>L19*D19*'B) D RI'!S20</f>
        <v>0</v>
      </c>
      <c r="V19" s="15"/>
    </row>
    <row r="20" spans="1:22" x14ac:dyDescent="0.25">
      <c r="A20" s="290">
        <f>'A) Base RI'!A21</f>
        <v>5415</v>
      </c>
      <c r="B20" s="32" t="str">
        <f>'A) Base RI'!B21</f>
        <v>Yvorne</v>
      </c>
      <c r="C20" s="288">
        <f>'B) D RI'!U21</f>
        <v>35910.274638694631</v>
      </c>
      <c r="D20" s="32">
        <f>'B) D RI'!AA21</f>
        <v>1038</v>
      </c>
      <c r="E20" s="199">
        <f t="shared" si="1"/>
        <v>34.59564030702758</v>
      </c>
      <c r="F20" s="357">
        <f t="shared" si="0"/>
        <v>0.71441121295054388</v>
      </c>
      <c r="G20" s="368">
        <f t="shared" si="2"/>
        <v>0</v>
      </c>
      <c r="H20" s="365">
        <f t="shared" si="3"/>
        <v>0</v>
      </c>
      <c r="I20" s="368">
        <f t="shared" si="4"/>
        <v>0</v>
      </c>
      <c r="J20" s="365">
        <f t="shared" si="5"/>
        <v>0</v>
      </c>
      <c r="K20" s="360">
        <f t="shared" si="6"/>
        <v>0</v>
      </c>
      <c r="L20" s="364">
        <f t="shared" si="7"/>
        <v>0</v>
      </c>
      <c r="M20" s="113">
        <f>L20*D20*'B) D RI'!S21</f>
        <v>0</v>
      </c>
      <c r="V20" s="15"/>
    </row>
    <row r="21" spans="1:22" x14ac:dyDescent="0.25">
      <c r="A21" s="290">
        <f>'A) Base RI'!A22</f>
        <v>5421</v>
      </c>
      <c r="B21" s="32" t="str">
        <f>'A) Base RI'!B22</f>
        <v>Apples</v>
      </c>
      <c r="C21" s="288">
        <f>'B) D RI'!U22</f>
        <v>68531.648243243253</v>
      </c>
      <c r="D21" s="32">
        <f>'B) D RI'!AA22</f>
        <v>1469</v>
      </c>
      <c r="E21" s="199">
        <f t="shared" si="1"/>
        <v>46.651904862657084</v>
      </c>
      <c r="F21" s="357">
        <f t="shared" si="0"/>
        <v>0.96337699327432347</v>
      </c>
      <c r="G21" s="368">
        <f t="shared" si="2"/>
        <v>0</v>
      </c>
      <c r="H21" s="365">
        <f t="shared" si="3"/>
        <v>0</v>
      </c>
      <c r="I21" s="368">
        <f t="shared" si="4"/>
        <v>0</v>
      </c>
      <c r="J21" s="365">
        <f t="shared" si="5"/>
        <v>0</v>
      </c>
      <c r="K21" s="360">
        <f t="shared" si="6"/>
        <v>0</v>
      </c>
      <c r="L21" s="364">
        <f t="shared" si="7"/>
        <v>0</v>
      </c>
      <c r="M21" s="113">
        <f>L21*D21*'B) D RI'!S22</f>
        <v>0</v>
      </c>
      <c r="V21" s="15"/>
    </row>
    <row r="22" spans="1:22" x14ac:dyDescent="0.25">
      <c r="A22" s="290">
        <f>'A) Base RI'!A23</f>
        <v>5422</v>
      </c>
      <c r="B22" s="32" t="str">
        <f>'A) Base RI'!B23</f>
        <v>Aubonne</v>
      </c>
      <c r="C22" s="288">
        <f>'B) D RI'!U23</f>
        <v>364706.48499999999</v>
      </c>
      <c r="D22" s="32">
        <f>'B) D RI'!AA23</f>
        <v>3781</v>
      </c>
      <c r="E22" s="199">
        <f t="shared" si="1"/>
        <v>96.457679185400679</v>
      </c>
      <c r="F22" s="357">
        <f t="shared" si="0"/>
        <v>1.9918824156360075</v>
      </c>
      <c r="G22" s="368">
        <f t="shared" si="2"/>
        <v>48.032291005746629</v>
      </c>
      <c r="H22" s="365">
        <f t="shared" si="3"/>
        <v>38.347213369815819</v>
      </c>
      <c r="I22" s="368">
        <f t="shared" si="4"/>
        <v>23.819596915919604</v>
      </c>
      <c r="J22" s="365">
        <f t="shared" si="5"/>
        <v>0</v>
      </c>
      <c r="K22" s="360">
        <f t="shared" si="6"/>
        <v>0</v>
      </c>
      <c r="L22" s="364">
        <f t="shared" si="7"/>
        <v>15.823139229722868</v>
      </c>
      <c r="M22" s="113">
        <f>L22*D22*'B) D RI'!S23</f>
        <v>4187910.2599307513</v>
      </c>
      <c r="V22" s="15"/>
    </row>
    <row r="23" spans="1:22" x14ac:dyDescent="0.25">
      <c r="A23" s="290">
        <f>'A) Base RI'!A24</f>
        <v>5423</v>
      </c>
      <c r="B23" s="32" t="str">
        <f>'A) Base RI'!B24</f>
        <v>Ballens</v>
      </c>
      <c r="C23" s="288">
        <f>'B) D RI'!U24</f>
        <v>16194.440273972601</v>
      </c>
      <c r="D23" s="32">
        <f>'B) D RI'!AA24</f>
        <v>567</v>
      </c>
      <c r="E23" s="199">
        <f t="shared" si="1"/>
        <v>28.561623058152737</v>
      </c>
      <c r="F23" s="357">
        <f t="shared" si="0"/>
        <v>0.58980679622415333</v>
      </c>
      <c r="G23" s="368">
        <f t="shared" si="2"/>
        <v>0</v>
      </c>
      <c r="H23" s="365">
        <f t="shared" si="3"/>
        <v>0</v>
      </c>
      <c r="I23" s="368">
        <f t="shared" si="4"/>
        <v>0</v>
      </c>
      <c r="J23" s="365">
        <f t="shared" si="5"/>
        <v>0</v>
      </c>
      <c r="K23" s="360">
        <f t="shared" si="6"/>
        <v>0</v>
      </c>
      <c r="L23" s="364">
        <f t="shared" si="7"/>
        <v>0</v>
      </c>
      <c r="M23" s="113">
        <f>L23*D23*'B) D RI'!S24</f>
        <v>0</v>
      </c>
    </row>
    <row r="24" spans="1:22" x14ac:dyDescent="0.25">
      <c r="A24" s="290">
        <f>'A) Base RI'!A25</f>
        <v>5424</v>
      </c>
      <c r="B24" s="32" t="str">
        <f>'A) Base RI'!B25</f>
        <v>Berolle</v>
      </c>
      <c r="C24" s="288">
        <f>'B) D RI'!U25</f>
        <v>8301.8684768211915</v>
      </c>
      <c r="D24" s="32">
        <f>'B) D RI'!AA25</f>
        <v>308</v>
      </c>
      <c r="E24" s="199">
        <f t="shared" si="1"/>
        <v>26.954118431237635</v>
      </c>
      <c r="F24" s="357">
        <f t="shared" si="0"/>
        <v>0.55661130337747966</v>
      </c>
      <c r="G24" s="368">
        <f t="shared" si="2"/>
        <v>0</v>
      </c>
      <c r="H24" s="365">
        <f t="shared" si="3"/>
        <v>0</v>
      </c>
      <c r="I24" s="368">
        <f t="shared" si="4"/>
        <v>0</v>
      </c>
      <c r="J24" s="365">
        <f t="shared" si="5"/>
        <v>0</v>
      </c>
      <c r="K24" s="360">
        <f t="shared" si="6"/>
        <v>0</v>
      </c>
      <c r="L24" s="364">
        <f t="shared" si="7"/>
        <v>0</v>
      </c>
      <c r="M24" s="113">
        <f>L24*D24*'B) D RI'!S25</f>
        <v>0</v>
      </c>
    </row>
    <row r="25" spans="1:22" x14ac:dyDescent="0.25">
      <c r="A25" s="290">
        <f>'A) Base RI'!A26</f>
        <v>5425</v>
      </c>
      <c r="B25" s="32" t="str">
        <f>'A) Base RI'!B26</f>
        <v>Bière</v>
      </c>
      <c r="C25" s="288">
        <f>'B) D RI'!U26</f>
        <v>44230.498130934531</v>
      </c>
      <c r="D25" s="32">
        <f>'B) D RI'!AA26</f>
        <v>1634</v>
      </c>
      <c r="E25" s="199">
        <f t="shared" si="1"/>
        <v>27.06884830534549</v>
      </c>
      <c r="F25" s="357">
        <f t="shared" si="0"/>
        <v>0.55898051255515757</v>
      </c>
      <c r="G25" s="368">
        <f t="shared" si="2"/>
        <v>0</v>
      </c>
      <c r="H25" s="365">
        <f t="shared" si="3"/>
        <v>0</v>
      </c>
      <c r="I25" s="368">
        <f t="shared" si="4"/>
        <v>0</v>
      </c>
      <c r="J25" s="365">
        <f t="shared" si="5"/>
        <v>0</v>
      </c>
      <c r="K25" s="360">
        <f t="shared" si="6"/>
        <v>0</v>
      </c>
      <c r="L25" s="364">
        <f t="shared" si="7"/>
        <v>0</v>
      </c>
      <c r="M25" s="113">
        <f>L25*D25*'B) D RI'!S26</f>
        <v>0</v>
      </c>
    </row>
    <row r="26" spans="1:22" x14ac:dyDescent="0.25">
      <c r="A26" s="290">
        <f>'A) Base RI'!A27</f>
        <v>5426</v>
      </c>
      <c r="B26" s="32" t="str">
        <f>'A) Base RI'!B27</f>
        <v>Bougy-Villars</v>
      </c>
      <c r="C26" s="288">
        <f>'B) D RI'!U27</f>
        <v>53043.718423772611</v>
      </c>
      <c r="D26" s="32">
        <f>'B) D RI'!AA27</f>
        <v>497</v>
      </c>
      <c r="E26" s="199">
        <f t="shared" si="1"/>
        <v>106.72780366956259</v>
      </c>
      <c r="F26" s="357">
        <f t="shared" si="0"/>
        <v>2.2039638231419345</v>
      </c>
      <c r="G26" s="368">
        <f t="shared" si="2"/>
        <v>58.30241548990854</v>
      </c>
      <c r="H26" s="365">
        <f t="shared" si="3"/>
        <v>48.61733785397773</v>
      </c>
      <c r="I26" s="368">
        <f t="shared" si="4"/>
        <v>34.089721400081515</v>
      </c>
      <c r="J26" s="365">
        <f t="shared" si="5"/>
        <v>9.8770273102544905</v>
      </c>
      <c r="K26" s="360">
        <f t="shared" si="6"/>
        <v>0</v>
      </c>
      <c r="L26" s="364">
        <f t="shared" si="7"/>
        <v>20.918891754413082</v>
      </c>
      <c r="M26" s="113">
        <f>L26*D26*'B) D RI'!S27</f>
        <v>670586.45352534298</v>
      </c>
    </row>
    <row r="27" spans="1:22" x14ac:dyDescent="0.25">
      <c r="A27" s="290">
        <f>'A) Base RI'!A28</f>
        <v>5427</v>
      </c>
      <c r="B27" s="32" t="str">
        <f>'A) Base RI'!B28</f>
        <v>Féchy</v>
      </c>
      <c r="C27" s="288">
        <f>'B) D RI'!U28</f>
        <v>88218.508882211536</v>
      </c>
      <c r="D27" s="32">
        <f>'B) D RI'!AA28</f>
        <v>893</v>
      </c>
      <c r="E27" s="199">
        <f t="shared" si="1"/>
        <v>98.788923720281673</v>
      </c>
      <c r="F27" s="357">
        <f t="shared" si="0"/>
        <v>2.0400233727354586</v>
      </c>
      <c r="G27" s="368">
        <f t="shared" si="2"/>
        <v>50.363535540627623</v>
      </c>
      <c r="H27" s="365">
        <f t="shared" si="3"/>
        <v>40.678457904696813</v>
      </c>
      <c r="I27" s="368">
        <f t="shared" si="4"/>
        <v>26.150841450800598</v>
      </c>
      <c r="J27" s="365">
        <f t="shared" si="5"/>
        <v>1.9381473609735735</v>
      </c>
      <c r="K27" s="360">
        <f t="shared" si="6"/>
        <v>0</v>
      </c>
      <c r="L27" s="364">
        <f t="shared" si="7"/>
        <v>16.949451779772623</v>
      </c>
      <c r="M27" s="113">
        <f>L27*D27*'B) D RI'!S28</f>
        <v>968695.06811756501</v>
      </c>
    </row>
    <row r="28" spans="1:22" x14ac:dyDescent="0.25">
      <c r="A28" s="290">
        <f>'A) Base RI'!A29</f>
        <v>5428</v>
      </c>
      <c r="B28" s="32" t="str">
        <f>'A) Base RI'!B29</f>
        <v>Gimel</v>
      </c>
      <c r="C28" s="288">
        <f>'B) D RI'!U29</f>
        <v>70558.698881431759</v>
      </c>
      <c r="D28" s="32">
        <f>'B) D RI'!AA29</f>
        <v>2402</v>
      </c>
      <c r="E28" s="199">
        <f t="shared" si="1"/>
        <v>29.374978718331292</v>
      </c>
      <c r="F28" s="357">
        <f t="shared" si="0"/>
        <v>0.6066028548775414</v>
      </c>
      <c r="G28" s="368">
        <f t="shared" si="2"/>
        <v>0</v>
      </c>
      <c r="H28" s="365">
        <f t="shared" si="3"/>
        <v>0</v>
      </c>
      <c r="I28" s="368">
        <f t="shared" si="4"/>
        <v>0</v>
      </c>
      <c r="J28" s="365">
        <f t="shared" si="5"/>
        <v>0</v>
      </c>
      <c r="K28" s="360">
        <f t="shared" si="6"/>
        <v>0</v>
      </c>
      <c r="L28" s="364">
        <f t="shared" si="7"/>
        <v>0</v>
      </c>
      <c r="M28" s="113">
        <f>L28*D28*'B) D RI'!S29</f>
        <v>0</v>
      </c>
    </row>
    <row r="29" spans="1:22" x14ac:dyDescent="0.25">
      <c r="A29" s="290">
        <f>'A) Base RI'!A30</f>
        <v>5429</v>
      </c>
      <c r="B29" s="32" t="str">
        <f>'A) Base RI'!B30</f>
        <v>Longirod</v>
      </c>
      <c r="C29" s="288">
        <f>'B) D RI'!U30</f>
        <v>18574.452387096771</v>
      </c>
      <c r="D29" s="32">
        <f>'B) D RI'!AA30</f>
        <v>520</v>
      </c>
      <c r="E29" s="199">
        <f t="shared" si="1"/>
        <v>35.720100744416868</v>
      </c>
      <c r="F29" s="357">
        <f t="shared" si="0"/>
        <v>0.73763168633565412</v>
      </c>
      <c r="G29" s="368">
        <f t="shared" si="2"/>
        <v>0</v>
      </c>
      <c r="H29" s="365">
        <f t="shared" si="3"/>
        <v>0</v>
      </c>
      <c r="I29" s="368">
        <f t="shared" si="4"/>
        <v>0</v>
      </c>
      <c r="J29" s="365">
        <f t="shared" si="5"/>
        <v>0</v>
      </c>
      <c r="K29" s="360">
        <f t="shared" si="6"/>
        <v>0</v>
      </c>
      <c r="L29" s="364">
        <f t="shared" si="7"/>
        <v>0</v>
      </c>
      <c r="M29" s="113">
        <f>L29*D29*'B) D RI'!S30</f>
        <v>0</v>
      </c>
    </row>
    <row r="30" spans="1:22" x14ac:dyDescent="0.25">
      <c r="A30" s="290">
        <f>'A) Base RI'!A31</f>
        <v>5430</v>
      </c>
      <c r="B30" s="32" t="str">
        <f>'A) Base RI'!B31</f>
        <v>Marchissy</v>
      </c>
      <c r="C30" s="288">
        <f>'B) D RI'!U31</f>
        <v>15580.981548387101</v>
      </c>
      <c r="D30" s="32">
        <f>'B) D RI'!AA31</f>
        <v>485</v>
      </c>
      <c r="E30" s="199">
        <f t="shared" si="1"/>
        <v>32.125735151313613</v>
      </c>
      <c r="F30" s="357">
        <f t="shared" si="0"/>
        <v>0.66340686897810464</v>
      </c>
      <c r="G30" s="368">
        <f t="shared" si="2"/>
        <v>0</v>
      </c>
      <c r="H30" s="365">
        <f t="shared" si="3"/>
        <v>0</v>
      </c>
      <c r="I30" s="368">
        <f t="shared" si="4"/>
        <v>0</v>
      </c>
      <c r="J30" s="365">
        <f t="shared" si="5"/>
        <v>0</v>
      </c>
      <c r="K30" s="360">
        <f t="shared" si="6"/>
        <v>0</v>
      </c>
      <c r="L30" s="364">
        <f t="shared" si="7"/>
        <v>0</v>
      </c>
      <c r="M30" s="113">
        <f>L30*D30*'B) D RI'!S31</f>
        <v>0</v>
      </c>
    </row>
    <row r="31" spans="1:22" x14ac:dyDescent="0.25">
      <c r="A31" s="290">
        <f>'A) Base RI'!A32</f>
        <v>5431</v>
      </c>
      <c r="B31" s="32" t="str">
        <f>'A) Base RI'!B32</f>
        <v>Mollens</v>
      </c>
      <c r="C31" s="288">
        <f>'B) D RI'!U32</f>
        <v>10464.972567567567</v>
      </c>
      <c r="D31" s="32">
        <f>'B) D RI'!AA32</f>
        <v>319</v>
      </c>
      <c r="E31" s="199">
        <f t="shared" si="1"/>
        <v>32.805556638142846</v>
      </c>
      <c r="F31" s="357">
        <f t="shared" si="0"/>
        <v>0.67744540356469707</v>
      </c>
      <c r="G31" s="368">
        <f t="shared" si="2"/>
        <v>0</v>
      </c>
      <c r="H31" s="365">
        <f t="shared" si="3"/>
        <v>0</v>
      </c>
      <c r="I31" s="368">
        <f t="shared" si="4"/>
        <v>0</v>
      </c>
      <c r="J31" s="365">
        <f t="shared" si="5"/>
        <v>0</v>
      </c>
      <c r="K31" s="360">
        <f t="shared" si="6"/>
        <v>0</v>
      </c>
      <c r="L31" s="364">
        <f t="shared" si="7"/>
        <v>0</v>
      </c>
      <c r="M31" s="113">
        <f>L31*D31*'B) D RI'!S32</f>
        <v>0</v>
      </c>
    </row>
    <row r="32" spans="1:22" x14ac:dyDescent="0.25">
      <c r="A32" s="290">
        <f>'A) Base RI'!A33</f>
        <v>5434</v>
      </c>
      <c r="B32" s="32" t="str">
        <f>'A) Base RI'!B33</f>
        <v>Saint-George</v>
      </c>
      <c r="C32" s="288">
        <f>'B) D RI'!U33</f>
        <v>43544.748513189443</v>
      </c>
      <c r="D32" s="32">
        <f>'B) D RI'!AA33</f>
        <v>1072</v>
      </c>
      <c r="E32" s="199">
        <f t="shared" si="1"/>
        <v>40.620101224990151</v>
      </c>
      <c r="F32" s="357">
        <f t="shared" si="0"/>
        <v>0.83881828833860972</v>
      </c>
      <c r="G32" s="368">
        <f t="shared" si="2"/>
        <v>0</v>
      </c>
      <c r="H32" s="365">
        <f t="shared" si="3"/>
        <v>0</v>
      </c>
      <c r="I32" s="368">
        <f t="shared" si="4"/>
        <v>0</v>
      </c>
      <c r="J32" s="365">
        <f t="shared" si="5"/>
        <v>0</v>
      </c>
      <c r="K32" s="360">
        <f t="shared" si="6"/>
        <v>0</v>
      </c>
      <c r="L32" s="364">
        <f t="shared" si="7"/>
        <v>0</v>
      </c>
      <c r="M32" s="113">
        <f>L32*D32*'B) D RI'!S33</f>
        <v>0</v>
      </c>
    </row>
    <row r="33" spans="1:13" x14ac:dyDescent="0.25">
      <c r="A33" s="290">
        <f>'A) Base RI'!A34</f>
        <v>5435</v>
      </c>
      <c r="B33" s="32" t="str">
        <f>'A) Base RI'!B34</f>
        <v>Saint-Livres</v>
      </c>
      <c r="C33" s="288">
        <f>'B) D RI'!U34</f>
        <v>25854.309855072468</v>
      </c>
      <c r="D33" s="32">
        <f>'B) D RI'!AA34</f>
        <v>674</v>
      </c>
      <c r="E33" s="199">
        <f t="shared" si="1"/>
        <v>38.359510170730665</v>
      </c>
      <c r="F33" s="357">
        <f t="shared" si="0"/>
        <v>0.79213634857030291</v>
      </c>
      <c r="G33" s="368">
        <f t="shared" si="2"/>
        <v>0</v>
      </c>
      <c r="H33" s="365">
        <f t="shared" si="3"/>
        <v>0</v>
      </c>
      <c r="I33" s="368">
        <f t="shared" si="4"/>
        <v>0</v>
      </c>
      <c r="J33" s="365">
        <f t="shared" si="5"/>
        <v>0</v>
      </c>
      <c r="K33" s="360">
        <f t="shared" si="6"/>
        <v>0</v>
      </c>
      <c r="L33" s="364">
        <f t="shared" si="7"/>
        <v>0</v>
      </c>
      <c r="M33" s="113">
        <f>L33*D33*'B) D RI'!S34</f>
        <v>0</v>
      </c>
    </row>
    <row r="34" spans="1:13" x14ac:dyDescent="0.25">
      <c r="A34" s="290">
        <f>'A) Base RI'!A35</f>
        <v>5436</v>
      </c>
      <c r="B34" s="32" t="str">
        <f>'A) Base RI'!B35</f>
        <v>Saint-Oyens</v>
      </c>
      <c r="C34" s="288">
        <f>'B) D RI'!U35</f>
        <v>16868.339629629631</v>
      </c>
      <c r="D34" s="32">
        <f>'B) D RI'!AA35</f>
        <v>458</v>
      </c>
      <c r="E34" s="199">
        <f t="shared" si="1"/>
        <v>36.830435872553778</v>
      </c>
      <c r="F34" s="357">
        <f t="shared" si="0"/>
        <v>0.76056046749519091</v>
      </c>
      <c r="G34" s="368">
        <f t="shared" si="2"/>
        <v>0</v>
      </c>
      <c r="H34" s="365">
        <f t="shared" si="3"/>
        <v>0</v>
      </c>
      <c r="I34" s="368">
        <f t="shared" si="4"/>
        <v>0</v>
      </c>
      <c r="J34" s="365">
        <f t="shared" si="5"/>
        <v>0</v>
      </c>
      <c r="K34" s="360">
        <f t="shared" si="6"/>
        <v>0</v>
      </c>
      <c r="L34" s="364">
        <f t="shared" si="7"/>
        <v>0</v>
      </c>
      <c r="M34" s="113">
        <f>L34*D34*'B) D RI'!S35</f>
        <v>0</v>
      </c>
    </row>
    <row r="35" spans="1:13" x14ac:dyDescent="0.25">
      <c r="A35" s="290">
        <f>'A) Base RI'!A36</f>
        <v>5437</v>
      </c>
      <c r="B35" s="32" t="str">
        <f>'A) Base RI'!B36</f>
        <v>Saubraz</v>
      </c>
      <c r="C35" s="288">
        <f>'B) D RI'!U36</f>
        <v>13551.757374999997</v>
      </c>
      <c r="D35" s="32">
        <f>'B) D RI'!AA36</f>
        <v>444</v>
      </c>
      <c r="E35" s="199">
        <f t="shared" si="1"/>
        <v>30.521976069819814</v>
      </c>
      <c r="F35" s="357">
        <f t="shared" si="0"/>
        <v>0.63028872286136128</v>
      </c>
      <c r="G35" s="368">
        <f t="shared" si="2"/>
        <v>0</v>
      </c>
      <c r="H35" s="365">
        <f t="shared" si="3"/>
        <v>0</v>
      </c>
      <c r="I35" s="368">
        <f t="shared" si="4"/>
        <v>0</v>
      </c>
      <c r="J35" s="365">
        <f t="shared" si="5"/>
        <v>0</v>
      </c>
      <c r="K35" s="360">
        <f t="shared" si="6"/>
        <v>0</v>
      </c>
      <c r="L35" s="364">
        <f t="shared" si="7"/>
        <v>0</v>
      </c>
      <c r="M35" s="113">
        <f>L35*D35*'B) D RI'!S36</f>
        <v>0</v>
      </c>
    </row>
    <row r="36" spans="1:13" x14ac:dyDescent="0.25">
      <c r="A36" s="290">
        <f>'A) Base RI'!A37</f>
        <v>5451</v>
      </c>
      <c r="B36" s="32" t="str">
        <f>'A) Base RI'!B37</f>
        <v>Avenches</v>
      </c>
      <c r="C36" s="288">
        <f>'B) D RI'!U37</f>
        <v>137890.8513283208</v>
      </c>
      <c r="D36" s="32">
        <f>'B) D RI'!AA37</f>
        <v>4616</v>
      </c>
      <c r="E36" s="199">
        <f t="shared" si="1"/>
        <v>29.872368138717679</v>
      </c>
      <c r="F36" s="357">
        <f t="shared" si="0"/>
        <v>0.61687410801734299</v>
      </c>
      <c r="G36" s="368">
        <f t="shared" si="2"/>
        <v>0</v>
      </c>
      <c r="H36" s="365">
        <f t="shared" si="3"/>
        <v>0</v>
      </c>
      <c r="I36" s="368">
        <f t="shared" si="4"/>
        <v>0</v>
      </c>
      <c r="J36" s="365">
        <f t="shared" si="5"/>
        <v>0</v>
      </c>
      <c r="K36" s="360">
        <f t="shared" si="6"/>
        <v>0</v>
      </c>
      <c r="L36" s="364">
        <f t="shared" si="7"/>
        <v>0</v>
      </c>
      <c r="M36" s="113">
        <f>L36*D36*'B) D RI'!S37</f>
        <v>0</v>
      </c>
    </row>
    <row r="37" spans="1:13" x14ac:dyDescent="0.25">
      <c r="A37" s="290">
        <f>'A) Base RI'!A38</f>
        <v>5456</v>
      </c>
      <c r="B37" s="32" t="str">
        <f>'A) Base RI'!B38</f>
        <v>Cudrefin</v>
      </c>
      <c r="C37" s="288">
        <f>'B) D RI'!U38</f>
        <v>64144.951694915253</v>
      </c>
      <c r="D37" s="32">
        <f>'B) D RI'!AA38</f>
        <v>1836</v>
      </c>
      <c r="E37" s="199">
        <f t="shared" si="1"/>
        <v>34.937337524463643</v>
      </c>
      <c r="F37" s="357">
        <f t="shared" si="0"/>
        <v>0.72146737151283347</v>
      </c>
      <c r="G37" s="368">
        <f t="shared" si="2"/>
        <v>0</v>
      </c>
      <c r="H37" s="365">
        <f t="shared" si="3"/>
        <v>0</v>
      </c>
      <c r="I37" s="368">
        <f t="shared" si="4"/>
        <v>0</v>
      </c>
      <c r="J37" s="365">
        <f t="shared" si="5"/>
        <v>0</v>
      </c>
      <c r="K37" s="360">
        <f t="shared" si="6"/>
        <v>0</v>
      </c>
      <c r="L37" s="364">
        <f t="shared" si="7"/>
        <v>0</v>
      </c>
      <c r="M37" s="113">
        <f>L37*D37*'B) D RI'!S38</f>
        <v>0</v>
      </c>
    </row>
    <row r="38" spans="1:13" x14ac:dyDescent="0.25">
      <c r="A38" s="290">
        <f>'A) Base RI'!A39</f>
        <v>5458</v>
      </c>
      <c r="B38" s="32" t="str">
        <f>'A) Base RI'!B39</f>
        <v>Faoug</v>
      </c>
      <c r="C38" s="288">
        <f>'B) D RI'!U39</f>
        <v>34721.352769230762</v>
      </c>
      <c r="D38" s="32">
        <f>'B) D RI'!AA39</f>
        <v>866</v>
      </c>
      <c r="E38" s="199">
        <f t="shared" si="1"/>
        <v>40.093940842067852</v>
      </c>
      <c r="F38" s="357">
        <f t="shared" ref="F38:F69" si="8">E38/$E$314</f>
        <v>0.82795290547435074</v>
      </c>
      <c r="G38" s="368">
        <f t="shared" si="2"/>
        <v>0</v>
      </c>
      <c r="H38" s="365">
        <f t="shared" si="3"/>
        <v>0</v>
      </c>
      <c r="I38" s="368">
        <f t="shared" si="4"/>
        <v>0</v>
      </c>
      <c r="J38" s="365">
        <f t="shared" si="5"/>
        <v>0</v>
      </c>
      <c r="K38" s="360">
        <f t="shared" si="6"/>
        <v>0</v>
      </c>
      <c r="L38" s="364">
        <f t="shared" si="7"/>
        <v>0</v>
      </c>
      <c r="M38" s="113">
        <f>L38*D38*'B) D RI'!S39</f>
        <v>0</v>
      </c>
    </row>
    <row r="39" spans="1:13" x14ac:dyDescent="0.25">
      <c r="A39" s="290">
        <f>'A) Base RI'!A40</f>
        <v>5464</v>
      </c>
      <c r="B39" s="32" t="str">
        <f>'A) Base RI'!B40</f>
        <v>Vully-les-Lacs</v>
      </c>
      <c r="C39" s="288">
        <f>'B) D RI'!U40</f>
        <v>119169.3065671642</v>
      </c>
      <c r="D39" s="32">
        <f>'B) D RI'!AA40</f>
        <v>3465</v>
      </c>
      <c r="E39" s="199">
        <f t="shared" si="1"/>
        <v>34.392296267579852</v>
      </c>
      <c r="F39" s="357">
        <f t="shared" si="8"/>
        <v>0.7102120924666081</v>
      </c>
      <c r="G39" s="368">
        <f t="shared" si="2"/>
        <v>0</v>
      </c>
      <c r="H39" s="365">
        <f t="shared" si="3"/>
        <v>0</v>
      </c>
      <c r="I39" s="368">
        <f t="shared" si="4"/>
        <v>0</v>
      </c>
      <c r="J39" s="365">
        <f t="shared" si="5"/>
        <v>0</v>
      </c>
      <c r="K39" s="360">
        <f t="shared" si="6"/>
        <v>0</v>
      </c>
      <c r="L39" s="364">
        <f t="shared" si="7"/>
        <v>0</v>
      </c>
      <c r="M39" s="113">
        <f>L39*D39*'B) D RI'!S40</f>
        <v>0</v>
      </c>
    </row>
    <row r="40" spans="1:13" x14ac:dyDescent="0.25">
      <c r="A40" s="290">
        <f>'A) Base RI'!A41</f>
        <v>5471</v>
      </c>
      <c r="B40" s="32" t="str">
        <f>'A) Base RI'!B41</f>
        <v>Bettens</v>
      </c>
      <c r="C40" s="288">
        <f>'B) D RI'!U41</f>
        <v>22893.023698412693</v>
      </c>
      <c r="D40" s="32">
        <f>'B) D RI'!AA41</f>
        <v>626</v>
      </c>
      <c r="E40" s="199">
        <f t="shared" si="1"/>
        <v>36.570325396825389</v>
      </c>
      <c r="F40" s="357">
        <f t="shared" si="8"/>
        <v>0.75518910165784547</v>
      </c>
      <c r="G40" s="368">
        <f t="shared" si="2"/>
        <v>0</v>
      </c>
      <c r="H40" s="365">
        <f t="shared" si="3"/>
        <v>0</v>
      </c>
      <c r="I40" s="368">
        <f t="shared" si="4"/>
        <v>0</v>
      </c>
      <c r="J40" s="365">
        <f t="shared" si="5"/>
        <v>0</v>
      </c>
      <c r="K40" s="360">
        <f t="shared" si="6"/>
        <v>0</v>
      </c>
      <c r="L40" s="364">
        <f t="shared" si="7"/>
        <v>0</v>
      </c>
      <c r="M40" s="113">
        <f>L40*D40*'B) D RI'!S41</f>
        <v>0</v>
      </c>
    </row>
    <row r="41" spans="1:13" x14ac:dyDescent="0.25">
      <c r="A41" s="290">
        <f>'A) Base RI'!A42</f>
        <v>5472</v>
      </c>
      <c r="B41" s="32" t="str">
        <f>'A) Base RI'!B42</f>
        <v>Bournens</v>
      </c>
      <c r="C41" s="288">
        <f>'B) D RI'!U42</f>
        <v>22178.441944444447</v>
      </c>
      <c r="D41" s="32">
        <f>'B) D RI'!AA42</f>
        <v>507</v>
      </c>
      <c r="E41" s="199">
        <f t="shared" si="1"/>
        <v>43.744461428884513</v>
      </c>
      <c r="F41" s="357">
        <f t="shared" si="8"/>
        <v>0.9033373416976298</v>
      </c>
      <c r="G41" s="368">
        <f t="shared" si="2"/>
        <v>0</v>
      </c>
      <c r="H41" s="365">
        <f t="shared" si="3"/>
        <v>0</v>
      </c>
      <c r="I41" s="368">
        <f t="shared" si="4"/>
        <v>0</v>
      </c>
      <c r="J41" s="365">
        <f t="shared" si="5"/>
        <v>0</v>
      </c>
      <c r="K41" s="360">
        <f t="shared" si="6"/>
        <v>0</v>
      </c>
      <c r="L41" s="364">
        <f t="shared" si="7"/>
        <v>0</v>
      </c>
      <c r="M41" s="113">
        <f>L41*D41*'B) D RI'!S42</f>
        <v>0</v>
      </c>
    </row>
    <row r="42" spans="1:13" x14ac:dyDescent="0.25">
      <c r="A42" s="290">
        <f>'A) Base RI'!A43</f>
        <v>5473</v>
      </c>
      <c r="B42" s="32" t="str">
        <f>'A) Base RI'!B43</f>
        <v>Boussens</v>
      </c>
      <c r="C42" s="288">
        <f>'B) D RI'!U43</f>
        <v>37059.012888888894</v>
      </c>
      <c r="D42" s="32">
        <f>'B) D RI'!AA43</f>
        <v>1001</v>
      </c>
      <c r="E42" s="199">
        <f t="shared" si="1"/>
        <v>37.021990897990904</v>
      </c>
      <c r="F42" s="357">
        <f t="shared" si="8"/>
        <v>0.76451614100939125</v>
      </c>
      <c r="G42" s="368">
        <f t="shared" si="2"/>
        <v>0</v>
      </c>
      <c r="H42" s="365">
        <f t="shared" si="3"/>
        <v>0</v>
      </c>
      <c r="I42" s="368">
        <f t="shared" si="4"/>
        <v>0</v>
      </c>
      <c r="J42" s="365">
        <f t="shared" si="5"/>
        <v>0</v>
      </c>
      <c r="K42" s="360">
        <f t="shared" si="6"/>
        <v>0</v>
      </c>
      <c r="L42" s="364">
        <f t="shared" si="7"/>
        <v>0</v>
      </c>
      <c r="M42" s="113">
        <f>L42*D42*'B) D RI'!S43</f>
        <v>0</v>
      </c>
    </row>
    <row r="43" spans="1:13" x14ac:dyDescent="0.25">
      <c r="A43" s="290">
        <f>'A) Base RI'!A44</f>
        <v>5474</v>
      </c>
      <c r="B43" s="32" t="str">
        <f>'A) Base RI'!B44</f>
        <v>La Chaux (Cossonay)</v>
      </c>
      <c r="C43" s="288">
        <f>'B) D RI'!U44</f>
        <v>12905.016929824562</v>
      </c>
      <c r="D43" s="32">
        <f>'B) D RI'!AA44</f>
        <v>398</v>
      </c>
      <c r="E43" s="199">
        <f t="shared" si="1"/>
        <v>32.424665652825531</v>
      </c>
      <c r="F43" s="357">
        <f t="shared" si="8"/>
        <v>0.66957988096105281</v>
      </c>
      <c r="G43" s="368">
        <f t="shared" si="2"/>
        <v>0</v>
      </c>
      <c r="H43" s="365">
        <f t="shared" si="3"/>
        <v>0</v>
      </c>
      <c r="I43" s="368">
        <f t="shared" si="4"/>
        <v>0</v>
      </c>
      <c r="J43" s="365">
        <f t="shared" si="5"/>
        <v>0</v>
      </c>
      <c r="K43" s="360">
        <f t="shared" si="6"/>
        <v>0</v>
      </c>
      <c r="L43" s="364">
        <f t="shared" si="7"/>
        <v>0</v>
      </c>
      <c r="M43" s="113">
        <f>L43*D43*'B) D RI'!S44</f>
        <v>0</v>
      </c>
    </row>
    <row r="44" spans="1:13" x14ac:dyDescent="0.25">
      <c r="A44" s="290">
        <f>'A) Base RI'!A45</f>
        <v>5475</v>
      </c>
      <c r="B44" s="32" t="str">
        <f>'A) Base RI'!B45</f>
        <v>Chavannes-le-Veyron</v>
      </c>
      <c r="C44" s="288">
        <f>'B) D RI'!U45</f>
        <v>4277.2722666666668</v>
      </c>
      <c r="D44" s="32">
        <f>'B) D RI'!AA45</f>
        <v>155</v>
      </c>
      <c r="E44" s="199">
        <f t="shared" si="1"/>
        <v>27.59530494623656</v>
      </c>
      <c r="F44" s="357">
        <f t="shared" si="8"/>
        <v>0.56985201324272994</v>
      </c>
      <c r="G44" s="368">
        <f t="shared" si="2"/>
        <v>0</v>
      </c>
      <c r="H44" s="365">
        <f t="shared" si="3"/>
        <v>0</v>
      </c>
      <c r="I44" s="368">
        <f t="shared" si="4"/>
        <v>0</v>
      </c>
      <c r="J44" s="365">
        <f t="shared" si="5"/>
        <v>0</v>
      </c>
      <c r="K44" s="360">
        <f t="shared" si="6"/>
        <v>0</v>
      </c>
      <c r="L44" s="364">
        <f t="shared" si="7"/>
        <v>0</v>
      </c>
      <c r="M44" s="113">
        <f>L44*D44*'B) D RI'!S45</f>
        <v>0</v>
      </c>
    </row>
    <row r="45" spans="1:13" x14ac:dyDescent="0.25">
      <c r="A45" s="290">
        <f>'A) Base RI'!A46</f>
        <v>5476</v>
      </c>
      <c r="B45" s="32" t="str">
        <f>'A) Base RI'!B46</f>
        <v>Chevilly</v>
      </c>
      <c r="C45" s="288">
        <f>'B) D RI'!U46</f>
        <v>12075.307586206898</v>
      </c>
      <c r="D45" s="32">
        <f>'B) D RI'!AA46</f>
        <v>322</v>
      </c>
      <c r="E45" s="199">
        <f t="shared" si="1"/>
        <v>37.500955236667387</v>
      </c>
      <c r="F45" s="357">
        <f t="shared" si="8"/>
        <v>0.77440691022531505</v>
      </c>
      <c r="G45" s="368">
        <f t="shared" si="2"/>
        <v>0</v>
      </c>
      <c r="H45" s="365">
        <f t="shared" si="3"/>
        <v>0</v>
      </c>
      <c r="I45" s="368">
        <f t="shared" si="4"/>
        <v>0</v>
      </c>
      <c r="J45" s="365">
        <f t="shared" si="5"/>
        <v>0</v>
      </c>
      <c r="K45" s="360">
        <f t="shared" si="6"/>
        <v>0</v>
      </c>
      <c r="L45" s="364">
        <f t="shared" si="7"/>
        <v>0</v>
      </c>
      <c r="M45" s="113">
        <f>L45*D45*'B) D RI'!S46</f>
        <v>0</v>
      </c>
    </row>
    <row r="46" spans="1:13" x14ac:dyDescent="0.25">
      <c r="A46" s="290">
        <f>'A) Base RI'!A47</f>
        <v>5477</v>
      </c>
      <c r="B46" s="32" t="str">
        <f>'A) Base RI'!B47</f>
        <v>Cossonay</v>
      </c>
      <c r="C46" s="288">
        <f>'B) D RI'!U47</f>
        <v>142597.98359712231</v>
      </c>
      <c r="D46" s="32">
        <f>'B) D RI'!AA47</f>
        <v>4326</v>
      </c>
      <c r="E46" s="199">
        <f t="shared" si="1"/>
        <v>32.963010540250188</v>
      </c>
      <c r="F46" s="357">
        <f t="shared" si="8"/>
        <v>0.68069687780220234</v>
      </c>
      <c r="G46" s="368">
        <f t="shared" si="2"/>
        <v>0</v>
      </c>
      <c r="H46" s="365">
        <f t="shared" si="3"/>
        <v>0</v>
      </c>
      <c r="I46" s="368">
        <f t="shared" si="4"/>
        <v>0</v>
      </c>
      <c r="J46" s="365">
        <f t="shared" si="5"/>
        <v>0</v>
      </c>
      <c r="K46" s="360">
        <f t="shared" si="6"/>
        <v>0</v>
      </c>
      <c r="L46" s="364">
        <f t="shared" si="7"/>
        <v>0</v>
      </c>
      <c r="M46" s="113">
        <f>L46*D46*'B) D RI'!S47</f>
        <v>0</v>
      </c>
    </row>
    <row r="47" spans="1:13" x14ac:dyDescent="0.25">
      <c r="A47" s="290">
        <f>'A) Base RI'!A48</f>
        <v>5478</v>
      </c>
      <c r="B47" s="32" t="str">
        <f>'A) Base RI'!B48</f>
        <v>Cottens</v>
      </c>
      <c r="C47" s="288">
        <f>'B) D RI'!U48</f>
        <v>15741.229189189189</v>
      </c>
      <c r="D47" s="32">
        <f>'B) D RI'!AA48</f>
        <v>484</v>
      </c>
      <c r="E47" s="199">
        <f t="shared" si="1"/>
        <v>32.523200804109898</v>
      </c>
      <c r="F47" s="357">
        <f t="shared" si="8"/>
        <v>0.67161466385053237</v>
      </c>
      <c r="G47" s="368">
        <f t="shared" si="2"/>
        <v>0</v>
      </c>
      <c r="H47" s="365">
        <f t="shared" si="3"/>
        <v>0</v>
      </c>
      <c r="I47" s="368">
        <f t="shared" si="4"/>
        <v>0</v>
      </c>
      <c r="J47" s="365">
        <f t="shared" si="5"/>
        <v>0</v>
      </c>
      <c r="K47" s="360">
        <f t="shared" si="6"/>
        <v>0</v>
      </c>
      <c r="L47" s="364">
        <f t="shared" si="7"/>
        <v>0</v>
      </c>
      <c r="M47" s="113">
        <f>L47*D47*'B) D RI'!S48</f>
        <v>0</v>
      </c>
    </row>
    <row r="48" spans="1:13" x14ac:dyDescent="0.25">
      <c r="A48" s="290">
        <f>'A) Base RI'!A49</f>
        <v>5479</v>
      </c>
      <c r="B48" s="32" t="str">
        <f>'A) Base RI'!B49</f>
        <v>Cuarnens</v>
      </c>
      <c r="C48" s="288">
        <f>'B) D RI'!U49</f>
        <v>17984.87649350649</v>
      </c>
      <c r="D48" s="32">
        <f>'B) D RI'!AA49</f>
        <v>531</v>
      </c>
      <c r="E48" s="199">
        <f t="shared" si="1"/>
        <v>33.869823904908642</v>
      </c>
      <c r="F48" s="357">
        <f t="shared" si="8"/>
        <v>0.69942286841882384</v>
      </c>
      <c r="G48" s="368">
        <f t="shared" si="2"/>
        <v>0</v>
      </c>
      <c r="H48" s="365">
        <f t="shared" si="3"/>
        <v>0</v>
      </c>
      <c r="I48" s="368">
        <f t="shared" si="4"/>
        <v>0</v>
      </c>
      <c r="J48" s="365">
        <f t="shared" si="5"/>
        <v>0</v>
      </c>
      <c r="K48" s="360">
        <f t="shared" si="6"/>
        <v>0</v>
      </c>
      <c r="L48" s="364">
        <f t="shared" si="7"/>
        <v>0</v>
      </c>
      <c r="M48" s="113">
        <f>L48*D48*'B) D RI'!S49</f>
        <v>0</v>
      </c>
    </row>
    <row r="49" spans="1:13" x14ac:dyDescent="0.25">
      <c r="A49" s="290">
        <f>'A) Base RI'!A50</f>
        <v>5480</v>
      </c>
      <c r="B49" s="32" t="str">
        <f>'A) Base RI'!B50</f>
        <v>Daillens</v>
      </c>
      <c r="C49" s="288">
        <f>'B) D RI'!U50</f>
        <v>41284.66095959596</v>
      </c>
      <c r="D49" s="32">
        <f>'B) D RI'!AA50</f>
        <v>1051</v>
      </c>
      <c r="E49" s="199">
        <f t="shared" si="1"/>
        <v>39.281313948235926</v>
      </c>
      <c r="F49" s="357">
        <f t="shared" si="8"/>
        <v>0.81117189608280704</v>
      </c>
      <c r="G49" s="368">
        <f t="shared" si="2"/>
        <v>0</v>
      </c>
      <c r="H49" s="365">
        <f t="shared" si="3"/>
        <v>0</v>
      </c>
      <c r="I49" s="368">
        <f t="shared" si="4"/>
        <v>0</v>
      </c>
      <c r="J49" s="365">
        <f t="shared" si="5"/>
        <v>0</v>
      </c>
      <c r="K49" s="360">
        <f t="shared" si="6"/>
        <v>0</v>
      </c>
      <c r="L49" s="364">
        <f t="shared" si="7"/>
        <v>0</v>
      </c>
      <c r="M49" s="113">
        <f>L49*D49*'B) D RI'!S50</f>
        <v>0</v>
      </c>
    </row>
    <row r="50" spans="1:13" x14ac:dyDescent="0.25">
      <c r="A50" s="290">
        <f>'A) Base RI'!A51</f>
        <v>5481</v>
      </c>
      <c r="B50" s="32" t="str">
        <f>'A) Base RI'!B51</f>
        <v>Dizy</v>
      </c>
      <c r="C50" s="288">
        <f>'B) D RI'!U51</f>
        <v>8120.887333333334</v>
      </c>
      <c r="D50" s="32">
        <f>'B) D RI'!AA51</f>
        <v>225</v>
      </c>
      <c r="E50" s="199">
        <f t="shared" si="1"/>
        <v>36.092832592592593</v>
      </c>
      <c r="F50" s="357">
        <f t="shared" si="8"/>
        <v>0.74532872010630602</v>
      </c>
      <c r="G50" s="368">
        <f t="shared" si="2"/>
        <v>0</v>
      </c>
      <c r="H50" s="365">
        <f t="shared" si="3"/>
        <v>0</v>
      </c>
      <c r="I50" s="368">
        <f t="shared" si="4"/>
        <v>0</v>
      </c>
      <c r="J50" s="365">
        <f t="shared" si="5"/>
        <v>0</v>
      </c>
      <c r="K50" s="360">
        <f t="shared" si="6"/>
        <v>0</v>
      </c>
      <c r="L50" s="364">
        <f t="shared" si="7"/>
        <v>0</v>
      </c>
      <c r="M50" s="113">
        <f>L50*D50*'B) D RI'!S51</f>
        <v>0</v>
      </c>
    </row>
    <row r="51" spans="1:13" x14ac:dyDescent="0.25">
      <c r="A51" s="290">
        <f>'A) Base RI'!A52</f>
        <v>5482</v>
      </c>
      <c r="B51" s="32" t="str">
        <f>'A) Base RI'!B52</f>
        <v>Eclépens</v>
      </c>
      <c r="C51" s="288">
        <f>'B) D RI'!U52</f>
        <v>54196.336086956522</v>
      </c>
      <c r="D51" s="32">
        <f>'B) D RI'!AA52</f>
        <v>1198</v>
      </c>
      <c r="E51" s="199">
        <f t="shared" si="1"/>
        <v>45.239011758728317</v>
      </c>
      <c r="F51" s="357">
        <f t="shared" si="8"/>
        <v>0.93420029160934037</v>
      </c>
      <c r="G51" s="368">
        <f t="shared" si="2"/>
        <v>0</v>
      </c>
      <c r="H51" s="365">
        <f t="shared" si="3"/>
        <v>0</v>
      </c>
      <c r="I51" s="368">
        <f t="shared" si="4"/>
        <v>0</v>
      </c>
      <c r="J51" s="365">
        <f t="shared" si="5"/>
        <v>0</v>
      </c>
      <c r="K51" s="360">
        <f t="shared" si="6"/>
        <v>0</v>
      </c>
      <c r="L51" s="364">
        <f t="shared" si="7"/>
        <v>0</v>
      </c>
      <c r="M51" s="113">
        <f>L51*D51*'B) D RI'!S52</f>
        <v>0</v>
      </c>
    </row>
    <row r="52" spans="1:13" x14ac:dyDescent="0.25">
      <c r="A52" s="290">
        <f>'A) Base RI'!A53</f>
        <v>5483</v>
      </c>
      <c r="B52" s="32" t="str">
        <f>'A) Base RI'!B53</f>
        <v>Ferreyres</v>
      </c>
      <c r="C52" s="288">
        <f>'B) D RI'!U53</f>
        <v>10537.122500000001</v>
      </c>
      <c r="D52" s="32">
        <f>'B) D RI'!AA53</f>
        <v>319</v>
      </c>
      <c r="E52" s="199">
        <f t="shared" si="1"/>
        <v>33.031731974921634</v>
      </c>
      <c r="F52" s="357">
        <f t="shared" si="8"/>
        <v>0.68211599775672904</v>
      </c>
      <c r="G52" s="368">
        <f t="shared" si="2"/>
        <v>0</v>
      </c>
      <c r="H52" s="365">
        <f t="shared" si="3"/>
        <v>0</v>
      </c>
      <c r="I52" s="368">
        <f t="shared" si="4"/>
        <v>0</v>
      </c>
      <c r="J52" s="365">
        <f t="shared" si="5"/>
        <v>0</v>
      </c>
      <c r="K52" s="360">
        <f t="shared" si="6"/>
        <v>0</v>
      </c>
      <c r="L52" s="364">
        <f t="shared" si="7"/>
        <v>0</v>
      </c>
      <c r="M52" s="113">
        <f>L52*D52*'B) D RI'!S53</f>
        <v>0</v>
      </c>
    </row>
    <row r="53" spans="1:13" x14ac:dyDescent="0.25">
      <c r="A53" s="290">
        <f>'A) Base RI'!A54</f>
        <v>5484</v>
      </c>
      <c r="B53" s="32" t="str">
        <f>'A) Base RI'!B54</f>
        <v>Gollion</v>
      </c>
      <c r="C53" s="288">
        <f>'B) D RI'!U54</f>
        <v>35950.666081081094</v>
      </c>
      <c r="D53" s="32">
        <f>'B) D RI'!AA54</f>
        <v>1018</v>
      </c>
      <c r="E53" s="199">
        <f t="shared" si="1"/>
        <v>35.314996150374355</v>
      </c>
      <c r="F53" s="357">
        <f t="shared" si="8"/>
        <v>0.72926614484449226</v>
      </c>
      <c r="G53" s="368">
        <f t="shared" si="2"/>
        <v>0</v>
      </c>
      <c r="H53" s="365">
        <f t="shared" si="3"/>
        <v>0</v>
      </c>
      <c r="I53" s="368">
        <f t="shared" si="4"/>
        <v>0</v>
      </c>
      <c r="J53" s="365">
        <f t="shared" si="5"/>
        <v>0</v>
      </c>
      <c r="K53" s="360">
        <f t="shared" si="6"/>
        <v>0</v>
      </c>
      <c r="L53" s="364">
        <f t="shared" si="7"/>
        <v>0</v>
      </c>
      <c r="M53" s="113">
        <f>L53*D53*'B) D RI'!S54</f>
        <v>0</v>
      </c>
    </row>
    <row r="54" spans="1:13" x14ac:dyDescent="0.25">
      <c r="A54" s="290">
        <f>'A) Base RI'!A55</f>
        <v>5485</v>
      </c>
      <c r="B54" s="32" t="str">
        <f>'A) Base RI'!B55</f>
        <v>Grancy</v>
      </c>
      <c r="C54" s="288">
        <f>'B) D RI'!U55</f>
        <v>24488.659571428572</v>
      </c>
      <c r="D54" s="32">
        <f>'B) D RI'!AA55</f>
        <v>445</v>
      </c>
      <c r="E54" s="199">
        <f t="shared" si="1"/>
        <v>55.030695666131621</v>
      </c>
      <c r="F54" s="357">
        <f t="shared" si="8"/>
        <v>1.1364017457531252</v>
      </c>
      <c r="G54" s="368">
        <f t="shared" si="2"/>
        <v>6.6053074864775709</v>
      </c>
      <c r="H54" s="365">
        <f t="shared" si="3"/>
        <v>0</v>
      </c>
      <c r="I54" s="368">
        <f t="shared" si="4"/>
        <v>0</v>
      </c>
      <c r="J54" s="365">
        <f t="shared" si="5"/>
        <v>0</v>
      </c>
      <c r="K54" s="360">
        <f t="shared" si="6"/>
        <v>0</v>
      </c>
      <c r="L54" s="364">
        <f t="shared" si="7"/>
        <v>1.3210614972955144</v>
      </c>
      <c r="M54" s="113">
        <f>L54*D54*'B) D RI'!S55</f>
        <v>41151.065640755267</v>
      </c>
    </row>
    <row r="55" spans="1:13" x14ac:dyDescent="0.25">
      <c r="A55" s="290">
        <f>'A) Base RI'!A56</f>
        <v>5486</v>
      </c>
      <c r="B55" s="32" t="str">
        <f>'A) Base RI'!B56</f>
        <v>L'Isle</v>
      </c>
      <c r="C55" s="288">
        <f>'B) D RI'!U56</f>
        <v>29230.387866666671</v>
      </c>
      <c r="D55" s="32">
        <f>'B) D RI'!AA56</f>
        <v>1079</v>
      </c>
      <c r="E55" s="199">
        <f t="shared" si="1"/>
        <v>27.090257522397287</v>
      </c>
      <c r="F55" s="357">
        <f t="shared" si="8"/>
        <v>0.55942261984343311</v>
      </c>
      <c r="G55" s="368">
        <f t="shared" si="2"/>
        <v>0</v>
      </c>
      <c r="H55" s="365">
        <f t="shared" si="3"/>
        <v>0</v>
      </c>
      <c r="I55" s="368">
        <f t="shared" si="4"/>
        <v>0</v>
      </c>
      <c r="J55" s="365">
        <f t="shared" si="5"/>
        <v>0</v>
      </c>
      <c r="K55" s="360">
        <f t="shared" si="6"/>
        <v>0</v>
      </c>
      <c r="L55" s="364">
        <f t="shared" si="7"/>
        <v>0</v>
      </c>
      <c r="M55" s="113">
        <f>L55*D55*'B) D RI'!S56</f>
        <v>0</v>
      </c>
    </row>
    <row r="56" spans="1:13" x14ac:dyDescent="0.25">
      <c r="A56" s="290">
        <f>'A) Base RI'!A57</f>
        <v>5487</v>
      </c>
      <c r="B56" s="32" t="str">
        <f>'A) Base RI'!B57</f>
        <v>Lussery-Villars</v>
      </c>
      <c r="C56" s="288">
        <f>'B) D RI'!U57</f>
        <v>16622.441866666668</v>
      </c>
      <c r="D56" s="32">
        <f>'B) D RI'!AA57</f>
        <v>475</v>
      </c>
      <c r="E56" s="199">
        <f t="shared" si="1"/>
        <v>34.994614456140354</v>
      </c>
      <c r="F56" s="357">
        <f t="shared" si="8"/>
        <v>0.72265015876203875</v>
      </c>
      <c r="G56" s="368">
        <f t="shared" si="2"/>
        <v>0</v>
      </c>
      <c r="H56" s="365">
        <f t="shared" si="3"/>
        <v>0</v>
      </c>
      <c r="I56" s="368">
        <f t="shared" si="4"/>
        <v>0</v>
      </c>
      <c r="J56" s="365">
        <f t="shared" si="5"/>
        <v>0</v>
      </c>
      <c r="K56" s="360">
        <f t="shared" si="6"/>
        <v>0</v>
      </c>
      <c r="L56" s="364">
        <f t="shared" si="7"/>
        <v>0</v>
      </c>
      <c r="M56" s="113">
        <f>L56*D56*'B) D RI'!S57</f>
        <v>0</v>
      </c>
    </row>
    <row r="57" spans="1:13" x14ac:dyDescent="0.25">
      <c r="A57" s="290">
        <f>'A) Base RI'!A58</f>
        <v>5488</v>
      </c>
      <c r="B57" s="32" t="str">
        <f>'A) Base RI'!B58</f>
        <v>Mauraz</v>
      </c>
      <c r="C57" s="288">
        <f>'B) D RI'!U58</f>
        <v>1729.1857142857141</v>
      </c>
      <c r="D57" s="32">
        <f>'B) D RI'!AA58</f>
        <v>60</v>
      </c>
      <c r="E57" s="199">
        <f t="shared" si="1"/>
        <v>28.819761904761901</v>
      </c>
      <c r="F57" s="357">
        <f t="shared" si="8"/>
        <v>0.59513744727957674</v>
      </c>
      <c r="G57" s="368">
        <f t="shared" si="2"/>
        <v>0</v>
      </c>
      <c r="H57" s="365">
        <f t="shared" si="3"/>
        <v>0</v>
      </c>
      <c r="I57" s="368">
        <f t="shared" si="4"/>
        <v>0</v>
      </c>
      <c r="J57" s="365">
        <f t="shared" si="5"/>
        <v>0</v>
      </c>
      <c r="K57" s="360">
        <f t="shared" si="6"/>
        <v>0</v>
      </c>
      <c r="L57" s="364">
        <f t="shared" si="7"/>
        <v>0</v>
      </c>
      <c r="M57" s="113">
        <f>L57*D57*'B) D RI'!S58</f>
        <v>0</v>
      </c>
    </row>
    <row r="58" spans="1:13" x14ac:dyDescent="0.25">
      <c r="A58" s="290">
        <f>'A) Base RI'!A59</f>
        <v>5489</v>
      </c>
      <c r="B58" s="32" t="str">
        <f>'A) Base RI'!B59</f>
        <v>Mex</v>
      </c>
      <c r="C58" s="288">
        <f>'B) D RI'!U59</f>
        <v>50879.929915966379</v>
      </c>
      <c r="D58" s="32">
        <f>'B) D RI'!AA59</f>
        <v>795</v>
      </c>
      <c r="E58" s="199">
        <f t="shared" si="1"/>
        <v>63.999911843982865</v>
      </c>
      <c r="F58" s="357">
        <f t="shared" si="8"/>
        <v>1.3216189740503197</v>
      </c>
      <c r="G58" s="368">
        <f t="shared" si="2"/>
        <v>15.574523664328815</v>
      </c>
      <c r="H58" s="365">
        <f t="shared" si="3"/>
        <v>5.8894460283980052</v>
      </c>
      <c r="I58" s="368">
        <f t="shared" si="4"/>
        <v>0</v>
      </c>
      <c r="J58" s="365">
        <f t="shared" si="5"/>
        <v>0</v>
      </c>
      <c r="K58" s="360">
        <f t="shared" si="6"/>
        <v>0</v>
      </c>
      <c r="L58" s="364">
        <f t="shared" si="7"/>
        <v>3.7038493357055637</v>
      </c>
      <c r="M58" s="113">
        <f>L58*D58*'B) D RI'!S59</f>
        <v>175201.33320221241</v>
      </c>
    </row>
    <row r="59" spans="1:13" x14ac:dyDescent="0.25">
      <c r="A59" s="290">
        <f>'A) Base RI'!A60</f>
        <v>5490</v>
      </c>
      <c r="B59" s="32" t="str">
        <f>'A) Base RI'!B60</f>
        <v>Moiry</v>
      </c>
      <c r="C59" s="288">
        <f>'B) D RI'!U60</f>
        <v>9056.9</v>
      </c>
      <c r="D59" s="32">
        <f>'B) D RI'!AA60</f>
        <v>301</v>
      </c>
      <c r="E59" s="199">
        <f t="shared" si="1"/>
        <v>30.089368770764118</v>
      </c>
      <c r="F59" s="357">
        <f t="shared" si="8"/>
        <v>0.62135524157566135</v>
      </c>
      <c r="G59" s="368">
        <f t="shared" si="2"/>
        <v>0</v>
      </c>
      <c r="H59" s="365">
        <f t="shared" si="3"/>
        <v>0</v>
      </c>
      <c r="I59" s="368">
        <f t="shared" si="4"/>
        <v>0</v>
      </c>
      <c r="J59" s="365">
        <f t="shared" si="5"/>
        <v>0</v>
      </c>
      <c r="K59" s="360">
        <f t="shared" si="6"/>
        <v>0</v>
      </c>
      <c r="L59" s="364">
        <f t="shared" si="7"/>
        <v>0</v>
      </c>
      <c r="M59" s="113">
        <f>L59*D59*'B) D RI'!S60</f>
        <v>0</v>
      </c>
    </row>
    <row r="60" spans="1:13" x14ac:dyDescent="0.25">
      <c r="A60" s="290">
        <f>'A) Base RI'!A61</f>
        <v>5491</v>
      </c>
      <c r="B60" s="32" t="str">
        <f>'A) Base RI'!B61</f>
        <v>Mont-la-Ville</v>
      </c>
      <c r="C60" s="288">
        <f>'B) D RI'!U61</f>
        <v>13648.930789473685</v>
      </c>
      <c r="D60" s="32">
        <f>'B) D RI'!AA61</f>
        <v>508</v>
      </c>
      <c r="E60" s="199">
        <f t="shared" si="1"/>
        <v>26.86797399502694</v>
      </c>
      <c r="F60" s="357">
        <f t="shared" si="8"/>
        <v>0.55483239278018903</v>
      </c>
      <c r="G60" s="368">
        <f t="shared" si="2"/>
        <v>0</v>
      </c>
      <c r="H60" s="365">
        <f t="shared" si="3"/>
        <v>0</v>
      </c>
      <c r="I60" s="368">
        <f t="shared" si="4"/>
        <v>0</v>
      </c>
      <c r="J60" s="365">
        <f t="shared" si="5"/>
        <v>0</v>
      </c>
      <c r="K60" s="360">
        <f t="shared" si="6"/>
        <v>0</v>
      </c>
      <c r="L60" s="364">
        <f t="shared" si="7"/>
        <v>0</v>
      </c>
      <c r="M60" s="113">
        <f>L60*D60*'B) D RI'!S61</f>
        <v>0</v>
      </c>
    </row>
    <row r="61" spans="1:13" x14ac:dyDescent="0.25">
      <c r="A61" s="290">
        <f>'A) Base RI'!A62</f>
        <v>5492</v>
      </c>
      <c r="B61" s="32" t="str">
        <f>'A) Base RI'!B62</f>
        <v>Montricher</v>
      </c>
      <c r="C61" s="288">
        <f>'B) D RI'!U62</f>
        <v>175268.45531250001</v>
      </c>
      <c r="D61" s="32">
        <f>'B) D RI'!AA62</f>
        <v>981</v>
      </c>
      <c r="E61" s="199">
        <f t="shared" si="1"/>
        <v>178.66305332568808</v>
      </c>
      <c r="F61" s="357">
        <f t="shared" si="8"/>
        <v>3.6894501013159342</v>
      </c>
      <c r="G61" s="368">
        <f t="shared" si="2"/>
        <v>130.23766514603403</v>
      </c>
      <c r="H61" s="365">
        <f t="shared" si="3"/>
        <v>120.55258751010322</v>
      </c>
      <c r="I61" s="368">
        <f t="shared" si="4"/>
        <v>106.02497105620701</v>
      </c>
      <c r="J61" s="365">
        <f t="shared" si="5"/>
        <v>81.812276966379983</v>
      </c>
      <c r="K61" s="360">
        <f t="shared" si="6"/>
        <v>33.386888786725933</v>
      </c>
      <c r="L61" s="364">
        <f t="shared" si="7"/>
        <v>60.22520546114842</v>
      </c>
      <c r="M61" s="113">
        <f>L61*D61*'B) D RI'!S62</f>
        <v>3781179.2996727424</v>
      </c>
    </row>
    <row r="62" spans="1:13" x14ac:dyDescent="0.25">
      <c r="A62" s="290">
        <f>'A) Base RI'!A63</f>
        <v>5493</v>
      </c>
      <c r="B62" s="32" t="str">
        <f>'A) Base RI'!B63</f>
        <v>Orny</v>
      </c>
      <c r="C62" s="288">
        <f>'B) D RI'!U63</f>
        <v>13489.946448893574</v>
      </c>
      <c r="D62" s="32">
        <f>'B) D RI'!AA63</f>
        <v>480</v>
      </c>
      <c r="E62" s="199">
        <f t="shared" si="1"/>
        <v>28.104055101861611</v>
      </c>
      <c r="F62" s="357">
        <f t="shared" si="8"/>
        <v>0.58035786925647281</v>
      </c>
      <c r="G62" s="368">
        <f t="shared" si="2"/>
        <v>0</v>
      </c>
      <c r="H62" s="365">
        <f t="shared" si="3"/>
        <v>0</v>
      </c>
      <c r="I62" s="368">
        <f t="shared" si="4"/>
        <v>0</v>
      </c>
      <c r="J62" s="365">
        <f t="shared" si="5"/>
        <v>0</v>
      </c>
      <c r="K62" s="360">
        <f t="shared" si="6"/>
        <v>0</v>
      </c>
      <c r="L62" s="364">
        <f t="shared" si="7"/>
        <v>0</v>
      </c>
      <c r="M62" s="113">
        <f>L62*D62*'B) D RI'!S63</f>
        <v>0</v>
      </c>
    </row>
    <row r="63" spans="1:13" x14ac:dyDescent="0.25">
      <c r="A63" s="290">
        <f>'A) Base RI'!A64</f>
        <v>5494</v>
      </c>
      <c r="B63" s="32" t="str">
        <f>'A) Base RI'!B64</f>
        <v>Pampigny</v>
      </c>
      <c r="C63" s="288">
        <f>'B) D RI'!U64</f>
        <v>43210.558962818002</v>
      </c>
      <c r="D63" s="32">
        <f>'B) D RI'!AA64</f>
        <v>1185</v>
      </c>
      <c r="E63" s="199">
        <f t="shared" si="1"/>
        <v>36.46460671967764</v>
      </c>
      <c r="F63" s="357">
        <f t="shared" si="8"/>
        <v>0.75300597662525837</v>
      </c>
      <c r="G63" s="368">
        <f t="shared" si="2"/>
        <v>0</v>
      </c>
      <c r="H63" s="365">
        <f t="shared" si="3"/>
        <v>0</v>
      </c>
      <c r="I63" s="368">
        <f t="shared" si="4"/>
        <v>0</v>
      </c>
      <c r="J63" s="365">
        <f t="shared" si="5"/>
        <v>0</v>
      </c>
      <c r="K63" s="360">
        <f t="shared" si="6"/>
        <v>0</v>
      </c>
      <c r="L63" s="364">
        <f t="shared" si="7"/>
        <v>0</v>
      </c>
      <c r="M63" s="113">
        <f>L63*D63*'B) D RI'!S64</f>
        <v>0</v>
      </c>
    </row>
    <row r="64" spans="1:13" x14ac:dyDescent="0.25">
      <c r="A64" s="290">
        <f>'A) Base RI'!A65</f>
        <v>5495</v>
      </c>
      <c r="B64" s="32" t="str">
        <f>'A) Base RI'!B65</f>
        <v>Penthalaz</v>
      </c>
      <c r="C64" s="288">
        <f>'B) D RI'!U65</f>
        <v>95314.520135135113</v>
      </c>
      <c r="D64" s="32">
        <f>'B) D RI'!AA65</f>
        <v>3210</v>
      </c>
      <c r="E64" s="199">
        <f t="shared" si="1"/>
        <v>29.69299692683337</v>
      </c>
      <c r="F64" s="357">
        <f t="shared" si="8"/>
        <v>0.61317003421170091</v>
      </c>
      <c r="G64" s="368">
        <f t="shared" si="2"/>
        <v>0</v>
      </c>
      <c r="H64" s="365">
        <f t="shared" si="3"/>
        <v>0</v>
      </c>
      <c r="I64" s="368">
        <f t="shared" si="4"/>
        <v>0</v>
      </c>
      <c r="J64" s="365">
        <f t="shared" si="5"/>
        <v>0</v>
      </c>
      <c r="K64" s="360">
        <f t="shared" si="6"/>
        <v>0</v>
      </c>
      <c r="L64" s="364">
        <f t="shared" si="7"/>
        <v>0</v>
      </c>
      <c r="M64" s="113">
        <f>L64*D64*'B) D RI'!S65</f>
        <v>0</v>
      </c>
    </row>
    <row r="65" spans="1:13" x14ac:dyDescent="0.25">
      <c r="A65" s="290">
        <f>'A) Base RI'!A66</f>
        <v>5496</v>
      </c>
      <c r="B65" s="32" t="str">
        <f>'A) Base RI'!B66</f>
        <v>Penthaz</v>
      </c>
      <c r="C65" s="288">
        <f>'B) D RI'!U66</f>
        <v>56267.911654676267</v>
      </c>
      <c r="D65" s="32">
        <f>'B) D RI'!AA66</f>
        <v>1890</v>
      </c>
      <c r="E65" s="199">
        <f t="shared" si="1"/>
        <v>29.771381827871039</v>
      </c>
      <c r="F65" s="357">
        <f t="shared" si="8"/>
        <v>0.61478870788648632</v>
      </c>
      <c r="G65" s="368">
        <f t="shared" si="2"/>
        <v>0</v>
      </c>
      <c r="H65" s="365">
        <f t="shared" si="3"/>
        <v>0</v>
      </c>
      <c r="I65" s="368">
        <f t="shared" si="4"/>
        <v>0</v>
      </c>
      <c r="J65" s="365">
        <f t="shared" si="5"/>
        <v>0</v>
      </c>
      <c r="K65" s="360">
        <f t="shared" si="6"/>
        <v>0</v>
      </c>
      <c r="L65" s="364">
        <f t="shared" si="7"/>
        <v>0</v>
      </c>
      <c r="M65" s="113">
        <f>L65*D65*'B) D RI'!S66</f>
        <v>0</v>
      </c>
    </row>
    <row r="66" spans="1:13" x14ac:dyDescent="0.25">
      <c r="A66" s="290">
        <f>'A) Base RI'!A67</f>
        <v>5497</v>
      </c>
      <c r="B66" s="32" t="str">
        <f>'A) Base RI'!B67</f>
        <v>Pompaples</v>
      </c>
      <c r="C66" s="288">
        <f>'B) D RI'!U67</f>
        <v>22253.499393939397</v>
      </c>
      <c r="D66" s="32">
        <f>'B) D RI'!AA67</f>
        <v>849</v>
      </c>
      <c r="E66" s="199">
        <f t="shared" si="1"/>
        <v>26.211424492272553</v>
      </c>
      <c r="F66" s="357">
        <f t="shared" si="8"/>
        <v>0.54127443222613747</v>
      </c>
      <c r="G66" s="368">
        <f t="shared" si="2"/>
        <v>0</v>
      </c>
      <c r="H66" s="365">
        <f t="shared" si="3"/>
        <v>0</v>
      </c>
      <c r="I66" s="368">
        <f t="shared" si="4"/>
        <v>0</v>
      </c>
      <c r="J66" s="365">
        <f t="shared" si="5"/>
        <v>0</v>
      </c>
      <c r="K66" s="360">
        <f t="shared" si="6"/>
        <v>0</v>
      </c>
      <c r="L66" s="364">
        <f t="shared" si="7"/>
        <v>0</v>
      </c>
      <c r="M66" s="113">
        <f>L66*D66*'B) D RI'!S67</f>
        <v>0</v>
      </c>
    </row>
    <row r="67" spans="1:13" x14ac:dyDescent="0.25">
      <c r="A67" s="290">
        <f>'A) Base RI'!A68</f>
        <v>5498</v>
      </c>
      <c r="B67" s="32" t="str">
        <f>'A) Base RI'!B68</f>
        <v>La Sarraz</v>
      </c>
      <c r="C67" s="288">
        <f>'B) D RI'!U68</f>
        <v>74682.149090909108</v>
      </c>
      <c r="D67" s="32">
        <f>'B) D RI'!AA68</f>
        <v>2620</v>
      </c>
      <c r="E67" s="199">
        <f t="shared" si="1"/>
        <v>28.504637057598895</v>
      </c>
      <c r="F67" s="357">
        <f t="shared" si="8"/>
        <v>0.58863001679716287</v>
      </c>
      <c r="G67" s="368">
        <f t="shared" si="2"/>
        <v>0</v>
      </c>
      <c r="H67" s="365">
        <f t="shared" si="3"/>
        <v>0</v>
      </c>
      <c r="I67" s="368">
        <f t="shared" si="4"/>
        <v>0</v>
      </c>
      <c r="J67" s="365">
        <f t="shared" si="5"/>
        <v>0</v>
      </c>
      <c r="K67" s="360">
        <f t="shared" si="6"/>
        <v>0</v>
      </c>
      <c r="L67" s="364">
        <f t="shared" si="7"/>
        <v>0</v>
      </c>
      <c r="M67" s="113">
        <f>L67*D67*'B) D RI'!S68</f>
        <v>0</v>
      </c>
    </row>
    <row r="68" spans="1:13" x14ac:dyDescent="0.25">
      <c r="A68" s="290">
        <f>'A) Base RI'!A69</f>
        <v>5499</v>
      </c>
      <c r="B68" s="32" t="str">
        <f>'A) Base RI'!B69</f>
        <v>Senarclens</v>
      </c>
      <c r="C68" s="288">
        <f>'B) D RI'!U69</f>
        <v>18238.904233576643</v>
      </c>
      <c r="D68" s="32">
        <f>'B) D RI'!AA69</f>
        <v>491</v>
      </c>
      <c r="E68" s="199">
        <f t="shared" si="1"/>
        <v>37.146444467569538</v>
      </c>
      <c r="F68" s="357">
        <f t="shared" si="8"/>
        <v>0.76708614765790628</v>
      </c>
      <c r="G68" s="368">
        <f t="shared" si="2"/>
        <v>0</v>
      </c>
      <c r="H68" s="365">
        <f t="shared" si="3"/>
        <v>0</v>
      </c>
      <c r="I68" s="368">
        <f t="shared" si="4"/>
        <v>0</v>
      </c>
      <c r="J68" s="365">
        <f t="shared" si="5"/>
        <v>0</v>
      </c>
      <c r="K68" s="360">
        <f t="shared" si="6"/>
        <v>0</v>
      </c>
      <c r="L68" s="364">
        <f t="shared" si="7"/>
        <v>0</v>
      </c>
      <c r="M68" s="113">
        <f>L68*D68*'B) D RI'!S69</f>
        <v>0</v>
      </c>
    </row>
    <row r="69" spans="1:13" x14ac:dyDescent="0.25">
      <c r="A69" s="290">
        <f>'A) Base RI'!A70</f>
        <v>5500</v>
      </c>
      <c r="B69" s="32" t="str">
        <f>'A) Base RI'!B70</f>
        <v>Sévery</v>
      </c>
      <c r="C69" s="288">
        <f>'B) D RI'!U70</f>
        <v>7230.3632420091335</v>
      </c>
      <c r="D69" s="32">
        <f>'B) D RI'!AA70</f>
        <v>220</v>
      </c>
      <c r="E69" s="199">
        <f t="shared" si="1"/>
        <v>32.86528746367788</v>
      </c>
      <c r="F69" s="357">
        <f t="shared" si="8"/>
        <v>0.67867886451938131</v>
      </c>
      <c r="G69" s="368">
        <f t="shared" si="2"/>
        <v>0</v>
      </c>
      <c r="H69" s="365">
        <f t="shared" si="3"/>
        <v>0</v>
      </c>
      <c r="I69" s="368">
        <f t="shared" si="4"/>
        <v>0</v>
      </c>
      <c r="J69" s="365">
        <f t="shared" si="5"/>
        <v>0</v>
      </c>
      <c r="K69" s="360">
        <f t="shared" si="6"/>
        <v>0</v>
      </c>
      <c r="L69" s="364">
        <f t="shared" si="7"/>
        <v>0</v>
      </c>
      <c r="M69" s="113">
        <f>L69*D69*'B) D RI'!S70</f>
        <v>0</v>
      </c>
    </row>
    <row r="70" spans="1:13" x14ac:dyDescent="0.25">
      <c r="A70" s="290">
        <f>'A) Base RI'!A71</f>
        <v>5501</v>
      </c>
      <c r="B70" s="32" t="str">
        <f>'A) Base RI'!B71</f>
        <v>Sullens</v>
      </c>
      <c r="C70" s="288">
        <f>'B) D RI'!U71</f>
        <v>43195.598978102193</v>
      </c>
      <c r="D70" s="32">
        <f>'B) D RI'!AA71</f>
        <v>1143</v>
      </c>
      <c r="E70" s="199">
        <f t="shared" ref="E70:E133" si="9">C70/D70</f>
        <v>37.791425177692204</v>
      </c>
      <c r="F70" s="357">
        <f t="shared" ref="F70:F133" si="10">E70/$E$314</f>
        <v>0.78040520888524934</v>
      </c>
      <c r="G70" s="368">
        <f t="shared" ref="G70:G133" si="11">IF(E70-$G$3&lt;0,0,E70-$G$3)</f>
        <v>0</v>
      </c>
      <c r="H70" s="365">
        <f t="shared" ref="H70:H133" si="12">IF(E70-$H$3&lt;0,0,E70-$H$3)</f>
        <v>0</v>
      </c>
      <c r="I70" s="368">
        <f t="shared" ref="I70:I133" si="13">IF(E70-$I$3&lt;0,0,E70-$I$3)</f>
        <v>0</v>
      </c>
      <c r="J70" s="365">
        <f t="shared" ref="J70:J133" si="14">IF(E70-$J$3&lt;0,0,E70-$J$3)</f>
        <v>0</v>
      </c>
      <c r="K70" s="360">
        <f t="shared" ref="K70:K133" si="15">IF(E70-$K$3&lt;0,0,E70-$K$3)</f>
        <v>0</v>
      </c>
      <c r="L70" s="364">
        <f t="shared" ref="L70:L133" si="16">(G70-H70)*$G$4+(H70-I70)*$H$4+(I70-J70)*$I$4+(J70-K70)*$J$4+(K70*$K$4)</f>
        <v>0</v>
      </c>
      <c r="M70" s="113">
        <f>L70*D70*'B) D RI'!S71</f>
        <v>0</v>
      </c>
    </row>
    <row r="71" spans="1:13" x14ac:dyDescent="0.25">
      <c r="A71" s="290">
        <f>'A) Base RI'!A72</f>
        <v>5503</v>
      </c>
      <c r="B71" s="32" t="str">
        <f>'A) Base RI'!B72</f>
        <v>Vufflens-la-Ville</v>
      </c>
      <c r="C71" s="288">
        <f>'B) D RI'!U72</f>
        <v>79029.714875621881</v>
      </c>
      <c r="D71" s="32">
        <f>'B) D RI'!AA72</f>
        <v>1346</v>
      </c>
      <c r="E71" s="199">
        <f t="shared" si="9"/>
        <v>58.714498421710161</v>
      </c>
      <c r="F71" s="357">
        <f t="shared" si="10"/>
        <v>1.2124734695751822</v>
      </c>
      <c r="G71" s="368">
        <f t="shared" si="11"/>
        <v>10.289110242056111</v>
      </c>
      <c r="H71" s="365">
        <f t="shared" si="12"/>
        <v>0.60403260612530119</v>
      </c>
      <c r="I71" s="368">
        <f t="shared" si="13"/>
        <v>0</v>
      </c>
      <c r="J71" s="365">
        <f t="shared" si="14"/>
        <v>0</v>
      </c>
      <c r="K71" s="360">
        <f t="shared" si="15"/>
        <v>0</v>
      </c>
      <c r="L71" s="364">
        <f t="shared" si="16"/>
        <v>2.1182253090237522</v>
      </c>
      <c r="M71" s="113">
        <f>L71*D71*'B) D RI'!S72</f>
        <v>191025.79481838003</v>
      </c>
    </row>
    <row r="72" spans="1:13" x14ac:dyDescent="0.25">
      <c r="A72" s="290">
        <f>'A) Base RI'!A73</f>
        <v>5511</v>
      </c>
      <c r="B72" s="32" t="str">
        <f>'A) Base RI'!B73</f>
        <v>Assens</v>
      </c>
      <c r="C72" s="288">
        <f>'B) D RI'!U73</f>
        <v>47333.455142857143</v>
      </c>
      <c r="D72" s="32">
        <f>'B) D RI'!AA73</f>
        <v>1151</v>
      </c>
      <c r="E72" s="199">
        <f t="shared" si="9"/>
        <v>41.123766414298125</v>
      </c>
      <c r="F72" s="357">
        <f t="shared" si="10"/>
        <v>0.8492191381457278</v>
      </c>
      <c r="G72" s="368">
        <f t="shared" si="11"/>
        <v>0</v>
      </c>
      <c r="H72" s="365">
        <f t="shared" si="12"/>
        <v>0</v>
      </c>
      <c r="I72" s="368">
        <f t="shared" si="13"/>
        <v>0</v>
      </c>
      <c r="J72" s="365">
        <f t="shared" si="14"/>
        <v>0</v>
      </c>
      <c r="K72" s="360">
        <f t="shared" si="15"/>
        <v>0</v>
      </c>
      <c r="L72" s="364">
        <f t="shared" si="16"/>
        <v>0</v>
      </c>
      <c r="M72" s="113">
        <f>L72*D72*'B) D RI'!S73</f>
        <v>0</v>
      </c>
    </row>
    <row r="73" spans="1:13" x14ac:dyDescent="0.25">
      <c r="A73" s="290">
        <f>'A) Base RI'!A74</f>
        <v>5512</v>
      </c>
      <c r="B73" s="32" t="str">
        <f>'A) Base RI'!B74</f>
        <v>Bercher</v>
      </c>
      <c r="C73" s="288">
        <f>'B) D RI'!U74</f>
        <v>40764.12544303797</v>
      </c>
      <c r="D73" s="32">
        <f>'B) D RI'!AA74</f>
        <v>1320</v>
      </c>
      <c r="E73" s="199">
        <f t="shared" si="9"/>
        <v>30.881913214422706</v>
      </c>
      <c r="F73" s="357">
        <f t="shared" si="10"/>
        <v>0.63772154184605501</v>
      </c>
      <c r="G73" s="368">
        <f t="shared" si="11"/>
        <v>0</v>
      </c>
      <c r="H73" s="365">
        <f t="shared" si="12"/>
        <v>0</v>
      </c>
      <c r="I73" s="368">
        <f t="shared" si="13"/>
        <v>0</v>
      </c>
      <c r="J73" s="365">
        <f t="shared" si="14"/>
        <v>0</v>
      </c>
      <c r="K73" s="360">
        <f t="shared" si="15"/>
        <v>0</v>
      </c>
      <c r="L73" s="364">
        <f t="shared" si="16"/>
        <v>0</v>
      </c>
      <c r="M73" s="113">
        <f>L73*D73*'B) D RI'!S74</f>
        <v>0</v>
      </c>
    </row>
    <row r="74" spans="1:13" x14ac:dyDescent="0.25">
      <c r="A74" s="290">
        <f>'A) Base RI'!A75</f>
        <v>5513</v>
      </c>
      <c r="B74" s="32" t="str">
        <f>'A) Base RI'!B75</f>
        <v>Bioley-Orjulaz</v>
      </c>
      <c r="C74" s="288">
        <f>'B) D RI'!U75</f>
        <v>22739.022647058824</v>
      </c>
      <c r="D74" s="32">
        <f>'B) D RI'!AA75</f>
        <v>518</v>
      </c>
      <c r="E74" s="199">
        <f t="shared" si="9"/>
        <v>43.897727117874176</v>
      </c>
      <c r="F74" s="357">
        <f t="shared" si="10"/>
        <v>0.90650232797344565</v>
      </c>
      <c r="G74" s="368">
        <f t="shared" si="11"/>
        <v>0</v>
      </c>
      <c r="H74" s="365">
        <f t="shared" si="12"/>
        <v>0</v>
      </c>
      <c r="I74" s="368">
        <f t="shared" si="13"/>
        <v>0</v>
      </c>
      <c r="J74" s="365">
        <f t="shared" si="14"/>
        <v>0</v>
      </c>
      <c r="K74" s="360">
        <f t="shared" si="15"/>
        <v>0</v>
      </c>
      <c r="L74" s="364">
        <f t="shared" si="16"/>
        <v>0</v>
      </c>
      <c r="M74" s="113">
        <f>L74*D74*'B) D RI'!S75</f>
        <v>0</v>
      </c>
    </row>
    <row r="75" spans="1:13" x14ac:dyDescent="0.25">
      <c r="A75" s="290">
        <f>'A) Base RI'!A76</f>
        <v>5514</v>
      </c>
      <c r="B75" s="32" t="str">
        <f>'A) Base RI'!B76</f>
        <v>Bottens</v>
      </c>
      <c r="C75" s="288">
        <f>'B) D RI'!U76</f>
        <v>44223.41544827586</v>
      </c>
      <c r="D75" s="32">
        <f>'B) D RI'!AA76</f>
        <v>1357</v>
      </c>
      <c r="E75" s="199">
        <f t="shared" si="9"/>
        <v>32.589104972937257</v>
      </c>
      <c r="F75" s="357">
        <f t="shared" si="10"/>
        <v>0.6729756063500093</v>
      </c>
      <c r="G75" s="368">
        <f t="shared" si="11"/>
        <v>0</v>
      </c>
      <c r="H75" s="365">
        <f t="shared" si="12"/>
        <v>0</v>
      </c>
      <c r="I75" s="368">
        <f t="shared" si="13"/>
        <v>0</v>
      </c>
      <c r="J75" s="365">
        <f t="shared" si="14"/>
        <v>0</v>
      </c>
      <c r="K75" s="360">
        <f t="shared" si="15"/>
        <v>0</v>
      </c>
      <c r="L75" s="364">
        <f t="shared" si="16"/>
        <v>0</v>
      </c>
      <c r="M75" s="113">
        <f>L75*D75*'B) D RI'!S76</f>
        <v>0</v>
      </c>
    </row>
    <row r="76" spans="1:13" x14ac:dyDescent="0.25">
      <c r="A76" s="290">
        <f>'A) Base RI'!A77</f>
        <v>5515</v>
      </c>
      <c r="B76" s="32" t="str">
        <f>'A) Base RI'!B77</f>
        <v>Bretigny-sur-Morrens</v>
      </c>
      <c r="C76" s="288">
        <f>'B) D RI'!U77</f>
        <v>32348.775256410252</v>
      </c>
      <c r="D76" s="32">
        <f>'B) D RI'!AA77</f>
        <v>882</v>
      </c>
      <c r="E76" s="199">
        <f t="shared" si="9"/>
        <v>36.676615936973072</v>
      </c>
      <c r="F76" s="357">
        <f t="shared" si="10"/>
        <v>0.7573840358471875</v>
      </c>
      <c r="G76" s="368">
        <f t="shared" si="11"/>
        <v>0</v>
      </c>
      <c r="H76" s="365">
        <f t="shared" si="12"/>
        <v>0</v>
      </c>
      <c r="I76" s="368">
        <f t="shared" si="13"/>
        <v>0</v>
      </c>
      <c r="J76" s="365">
        <f t="shared" si="14"/>
        <v>0</v>
      </c>
      <c r="K76" s="360">
        <f t="shared" si="15"/>
        <v>0</v>
      </c>
      <c r="L76" s="364">
        <f t="shared" si="16"/>
        <v>0</v>
      </c>
      <c r="M76" s="113">
        <f>L76*D76*'B) D RI'!S77</f>
        <v>0</v>
      </c>
    </row>
    <row r="77" spans="1:13" x14ac:dyDescent="0.25">
      <c r="A77" s="290">
        <f>'A) Base RI'!A78</f>
        <v>5516</v>
      </c>
      <c r="B77" s="32" t="str">
        <f>'A) Base RI'!B78</f>
        <v>Cugy</v>
      </c>
      <c r="C77" s="288">
        <f>'B) D RI'!U78</f>
        <v>111604.91621794872</v>
      </c>
      <c r="D77" s="32">
        <f>'B) D RI'!AA78</f>
        <v>2733</v>
      </c>
      <c r="E77" s="199">
        <f t="shared" si="9"/>
        <v>40.836046914726936</v>
      </c>
      <c r="F77" s="357">
        <f t="shared" si="10"/>
        <v>0.84327763699546798</v>
      </c>
      <c r="G77" s="368">
        <f t="shared" si="11"/>
        <v>0</v>
      </c>
      <c r="H77" s="365">
        <f t="shared" si="12"/>
        <v>0</v>
      </c>
      <c r="I77" s="368">
        <f t="shared" si="13"/>
        <v>0</v>
      </c>
      <c r="J77" s="365">
        <f t="shared" si="14"/>
        <v>0</v>
      </c>
      <c r="K77" s="360">
        <f t="shared" si="15"/>
        <v>0</v>
      </c>
      <c r="L77" s="364">
        <f t="shared" si="16"/>
        <v>0</v>
      </c>
      <c r="M77" s="113">
        <f>L77*D77*'B) D RI'!S78</f>
        <v>0</v>
      </c>
    </row>
    <row r="78" spans="1:13" x14ac:dyDescent="0.25">
      <c r="A78" s="290">
        <f>'A) Base RI'!A79</f>
        <v>5518</v>
      </c>
      <c r="B78" s="32" t="str">
        <f>'A) Base RI'!B79</f>
        <v>Echallens</v>
      </c>
      <c r="C78" s="288">
        <f>'B) D RI'!U79</f>
        <v>183030.51158620688</v>
      </c>
      <c r="D78" s="32">
        <f>'B) D RI'!AA79</f>
        <v>5739</v>
      </c>
      <c r="E78" s="199">
        <f t="shared" si="9"/>
        <v>31.892404876495362</v>
      </c>
      <c r="F78" s="357">
        <f t="shared" si="10"/>
        <v>0.65858852299081772</v>
      </c>
      <c r="G78" s="368">
        <f t="shared" si="11"/>
        <v>0</v>
      </c>
      <c r="H78" s="365">
        <f t="shared" si="12"/>
        <v>0</v>
      </c>
      <c r="I78" s="368">
        <f t="shared" si="13"/>
        <v>0</v>
      </c>
      <c r="J78" s="365">
        <f t="shared" si="14"/>
        <v>0</v>
      </c>
      <c r="K78" s="360">
        <f t="shared" si="15"/>
        <v>0</v>
      </c>
      <c r="L78" s="364">
        <f t="shared" si="16"/>
        <v>0</v>
      </c>
      <c r="M78" s="113">
        <f>L78*D78*'B) D RI'!S79</f>
        <v>0</v>
      </c>
    </row>
    <row r="79" spans="1:13" x14ac:dyDescent="0.25">
      <c r="A79" s="290">
        <f>'A) Base RI'!A80</f>
        <v>5520</v>
      </c>
      <c r="B79" s="32" t="str">
        <f>'A) Base RI'!B80</f>
        <v>Essertines-sur-Yverdon</v>
      </c>
      <c r="C79" s="288">
        <f>'B) D RI'!U80</f>
        <v>31696.699178082192</v>
      </c>
      <c r="D79" s="32">
        <f>'B) D RI'!AA80</f>
        <v>1059</v>
      </c>
      <c r="E79" s="199">
        <f t="shared" si="9"/>
        <v>29.930782982136158</v>
      </c>
      <c r="F79" s="357">
        <f t="shared" si="10"/>
        <v>0.61808039351373933</v>
      </c>
      <c r="G79" s="368">
        <f t="shared" si="11"/>
        <v>0</v>
      </c>
      <c r="H79" s="365">
        <f t="shared" si="12"/>
        <v>0</v>
      </c>
      <c r="I79" s="368">
        <f t="shared" si="13"/>
        <v>0</v>
      </c>
      <c r="J79" s="365">
        <f t="shared" si="14"/>
        <v>0</v>
      </c>
      <c r="K79" s="360">
        <f t="shared" si="15"/>
        <v>0</v>
      </c>
      <c r="L79" s="364">
        <f t="shared" si="16"/>
        <v>0</v>
      </c>
      <c r="M79" s="113">
        <f>L79*D79*'B) D RI'!S80</f>
        <v>0</v>
      </c>
    </row>
    <row r="80" spans="1:13" x14ac:dyDescent="0.25">
      <c r="A80" s="290">
        <f>'A) Base RI'!A81</f>
        <v>5521</v>
      </c>
      <c r="B80" s="32" t="str">
        <f>'A) Base RI'!B81</f>
        <v>Etagnières</v>
      </c>
      <c r="C80" s="288">
        <f>'B) D RI'!U81</f>
        <v>42645.35479452055</v>
      </c>
      <c r="D80" s="32">
        <f>'B) D RI'!AA81</f>
        <v>1148</v>
      </c>
      <c r="E80" s="199">
        <f t="shared" si="9"/>
        <v>37.147521598014414</v>
      </c>
      <c r="F80" s="357">
        <f t="shared" si="10"/>
        <v>0.76710839075156789</v>
      </c>
      <c r="G80" s="368">
        <f t="shared" si="11"/>
        <v>0</v>
      </c>
      <c r="H80" s="365">
        <f t="shared" si="12"/>
        <v>0</v>
      </c>
      <c r="I80" s="368">
        <f t="shared" si="13"/>
        <v>0</v>
      </c>
      <c r="J80" s="365">
        <f t="shared" si="14"/>
        <v>0</v>
      </c>
      <c r="K80" s="360">
        <f t="shared" si="15"/>
        <v>0</v>
      </c>
      <c r="L80" s="364">
        <f t="shared" si="16"/>
        <v>0</v>
      </c>
      <c r="M80" s="113">
        <f>L80*D80*'B) D RI'!S81</f>
        <v>0</v>
      </c>
    </row>
    <row r="81" spans="1:13" x14ac:dyDescent="0.25">
      <c r="A81" s="290">
        <f>'A) Base RI'!A82</f>
        <v>5522</v>
      </c>
      <c r="B81" s="32" t="str">
        <f>'A) Base RI'!B82</f>
        <v>Fey</v>
      </c>
      <c r="C81" s="288">
        <f>'B) D RI'!U82</f>
        <v>23924.3328</v>
      </c>
      <c r="D81" s="32">
        <f>'B) D RI'!AA82</f>
        <v>754</v>
      </c>
      <c r="E81" s="199">
        <f t="shared" si="9"/>
        <v>31.729884350132625</v>
      </c>
      <c r="F81" s="357">
        <f t="shared" si="10"/>
        <v>0.65523242131622084</v>
      </c>
      <c r="G81" s="368">
        <f t="shared" si="11"/>
        <v>0</v>
      </c>
      <c r="H81" s="365">
        <f t="shared" si="12"/>
        <v>0</v>
      </c>
      <c r="I81" s="368">
        <f t="shared" si="13"/>
        <v>0</v>
      </c>
      <c r="J81" s="365">
        <f t="shared" si="14"/>
        <v>0</v>
      </c>
      <c r="K81" s="360">
        <f t="shared" si="15"/>
        <v>0</v>
      </c>
      <c r="L81" s="364">
        <f t="shared" si="16"/>
        <v>0</v>
      </c>
      <c r="M81" s="113">
        <f>L81*D81*'B) D RI'!S82</f>
        <v>0</v>
      </c>
    </row>
    <row r="82" spans="1:13" x14ac:dyDescent="0.25">
      <c r="A82" s="290">
        <f>'A) Base RI'!A83</f>
        <v>5523</v>
      </c>
      <c r="B82" s="32" t="str">
        <f>'A) Base RI'!B83</f>
        <v>Froideville</v>
      </c>
      <c r="C82" s="288">
        <f>'B) D RI'!U83</f>
        <v>93523.863333333327</v>
      </c>
      <c r="D82" s="32">
        <f>'B) D RI'!AA83</f>
        <v>2673</v>
      </c>
      <c r="E82" s="199">
        <f t="shared" si="9"/>
        <v>34.988351415388451</v>
      </c>
      <c r="F82" s="357">
        <f t="shared" si="10"/>
        <v>0.72252082493556191</v>
      </c>
      <c r="G82" s="368">
        <f t="shared" si="11"/>
        <v>0</v>
      </c>
      <c r="H82" s="365">
        <f t="shared" si="12"/>
        <v>0</v>
      </c>
      <c r="I82" s="368">
        <f t="shared" si="13"/>
        <v>0</v>
      </c>
      <c r="J82" s="365">
        <f t="shared" si="14"/>
        <v>0</v>
      </c>
      <c r="K82" s="360">
        <f t="shared" si="15"/>
        <v>0</v>
      </c>
      <c r="L82" s="364">
        <f t="shared" si="16"/>
        <v>0</v>
      </c>
      <c r="M82" s="113">
        <f>L82*D82*'B) D RI'!S83</f>
        <v>0</v>
      </c>
    </row>
    <row r="83" spans="1:13" x14ac:dyDescent="0.25">
      <c r="A83" s="290">
        <f>'A) Base RI'!A84</f>
        <v>5527</v>
      </c>
      <c r="B83" s="32" t="str">
        <f>'A) Base RI'!B84</f>
        <v>Morrens</v>
      </c>
      <c r="C83" s="288">
        <f>'B) D RI'!U84</f>
        <v>39310.302027027028</v>
      </c>
      <c r="D83" s="32">
        <f>'B) D RI'!AA84</f>
        <v>1156</v>
      </c>
      <c r="E83" s="199">
        <f t="shared" si="9"/>
        <v>34.005451580473206</v>
      </c>
      <c r="F83" s="357">
        <f t="shared" si="10"/>
        <v>0.70222362398657268</v>
      </c>
      <c r="G83" s="368">
        <f t="shared" si="11"/>
        <v>0</v>
      </c>
      <c r="H83" s="365">
        <f t="shared" si="12"/>
        <v>0</v>
      </c>
      <c r="I83" s="368">
        <f t="shared" si="13"/>
        <v>0</v>
      </c>
      <c r="J83" s="365">
        <f t="shared" si="14"/>
        <v>0</v>
      </c>
      <c r="K83" s="360">
        <f t="shared" si="15"/>
        <v>0</v>
      </c>
      <c r="L83" s="364">
        <f t="shared" si="16"/>
        <v>0</v>
      </c>
      <c r="M83" s="113">
        <f>L83*D83*'B) D RI'!S84</f>
        <v>0</v>
      </c>
    </row>
    <row r="84" spans="1:13" x14ac:dyDescent="0.25">
      <c r="A84" s="290">
        <f>'A) Base RI'!A85</f>
        <v>5529</v>
      </c>
      <c r="B84" s="32" t="str">
        <f>'A) Base RI'!B85</f>
        <v>Oulens-sous-Echallens</v>
      </c>
      <c r="C84" s="288">
        <f>'B) D RI'!U85</f>
        <v>21162.231857142859</v>
      </c>
      <c r="D84" s="32">
        <f>'B) D RI'!AA85</f>
        <v>619</v>
      </c>
      <c r="E84" s="199">
        <f t="shared" si="9"/>
        <v>34.187773597969077</v>
      </c>
      <c r="F84" s="357">
        <f t="shared" si="10"/>
        <v>0.70598863288685187</v>
      </c>
      <c r="G84" s="368">
        <f t="shared" si="11"/>
        <v>0</v>
      </c>
      <c r="H84" s="365">
        <f t="shared" si="12"/>
        <v>0</v>
      </c>
      <c r="I84" s="368">
        <f t="shared" si="13"/>
        <v>0</v>
      </c>
      <c r="J84" s="365">
        <f t="shared" si="14"/>
        <v>0</v>
      </c>
      <c r="K84" s="360">
        <f t="shared" si="15"/>
        <v>0</v>
      </c>
      <c r="L84" s="364">
        <f t="shared" si="16"/>
        <v>0</v>
      </c>
      <c r="M84" s="113">
        <f>L84*D84*'B) D RI'!S85</f>
        <v>0</v>
      </c>
    </row>
    <row r="85" spans="1:13" x14ac:dyDescent="0.25">
      <c r="A85" s="290">
        <f>'A) Base RI'!A86</f>
        <v>5530</v>
      </c>
      <c r="B85" s="32" t="str">
        <f>'A) Base RI'!B86</f>
        <v>Pailly</v>
      </c>
      <c r="C85" s="288">
        <f>'B) D RI'!U86</f>
        <v>19062.750131578941</v>
      </c>
      <c r="D85" s="32">
        <f>'B) D RI'!AA86</f>
        <v>575</v>
      </c>
      <c r="E85" s="199">
        <f t="shared" si="9"/>
        <v>33.152608924485115</v>
      </c>
      <c r="F85" s="357">
        <f t="shared" si="10"/>
        <v>0.684612146039837</v>
      </c>
      <c r="G85" s="368">
        <f t="shared" si="11"/>
        <v>0</v>
      </c>
      <c r="H85" s="365">
        <f t="shared" si="12"/>
        <v>0</v>
      </c>
      <c r="I85" s="368">
        <f t="shared" si="13"/>
        <v>0</v>
      </c>
      <c r="J85" s="365">
        <f t="shared" si="14"/>
        <v>0</v>
      </c>
      <c r="K85" s="360">
        <f t="shared" si="15"/>
        <v>0</v>
      </c>
      <c r="L85" s="364">
        <f t="shared" si="16"/>
        <v>0</v>
      </c>
      <c r="M85" s="113">
        <f>L85*D85*'B) D RI'!S86</f>
        <v>0</v>
      </c>
    </row>
    <row r="86" spans="1:13" x14ac:dyDescent="0.25">
      <c r="A86" s="290">
        <f>'A) Base RI'!A87</f>
        <v>5531</v>
      </c>
      <c r="B86" s="32" t="str">
        <f>'A) Base RI'!B87</f>
        <v>Penthéréaz</v>
      </c>
      <c r="C86" s="288">
        <f>'B) D RI'!U87</f>
        <v>14300.817432432432</v>
      </c>
      <c r="D86" s="32">
        <f>'B) D RI'!AA87</f>
        <v>417</v>
      </c>
      <c r="E86" s="199">
        <f t="shared" si="9"/>
        <v>34.294526216864348</v>
      </c>
      <c r="F86" s="357">
        <f t="shared" si="10"/>
        <v>0.70819310915246747</v>
      </c>
      <c r="G86" s="368">
        <f t="shared" si="11"/>
        <v>0</v>
      </c>
      <c r="H86" s="365">
        <f t="shared" si="12"/>
        <v>0</v>
      </c>
      <c r="I86" s="368">
        <f t="shared" si="13"/>
        <v>0</v>
      </c>
      <c r="J86" s="365">
        <f t="shared" si="14"/>
        <v>0</v>
      </c>
      <c r="K86" s="360">
        <f t="shared" si="15"/>
        <v>0</v>
      </c>
      <c r="L86" s="364">
        <f t="shared" si="16"/>
        <v>0</v>
      </c>
      <c r="M86" s="113">
        <f>L86*D86*'B) D RI'!S87</f>
        <v>0</v>
      </c>
    </row>
    <row r="87" spans="1:13" x14ac:dyDescent="0.25">
      <c r="A87" s="290">
        <f>'A) Base RI'!A88</f>
        <v>5533</v>
      </c>
      <c r="B87" s="32" t="str">
        <f>'A) Base RI'!B88</f>
        <v>Poliez-Pittet</v>
      </c>
      <c r="C87" s="288">
        <f>'B) D RI'!U88</f>
        <v>27502.031917808214</v>
      </c>
      <c r="D87" s="32">
        <f>'B) D RI'!AA88</f>
        <v>833</v>
      </c>
      <c r="E87" s="199">
        <f t="shared" si="9"/>
        <v>33.015644559193532</v>
      </c>
      <c r="F87" s="357">
        <f t="shared" si="10"/>
        <v>0.68178378739491596</v>
      </c>
      <c r="G87" s="368">
        <f t="shared" si="11"/>
        <v>0</v>
      </c>
      <c r="H87" s="365">
        <f t="shared" si="12"/>
        <v>0</v>
      </c>
      <c r="I87" s="368">
        <f t="shared" si="13"/>
        <v>0</v>
      </c>
      <c r="J87" s="365">
        <f t="shared" si="14"/>
        <v>0</v>
      </c>
      <c r="K87" s="360">
        <f t="shared" si="15"/>
        <v>0</v>
      </c>
      <c r="L87" s="364">
        <f t="shared" si="16"/>
        <v>0</v>
      </c>
      <c r="M87" s="113">
        <f>L87*D87*'B) D RI'!S88</f>
        <v>0</v>
      </c>
    </row>
    <row r="88" spans="1:13" x14ac:dyDescent="0.25">
      <c r="A88" s="290">
        <f>'A) Base RI'!A89</f>
        <v>5534</v>
      </c>
      <c r="B88" s="32" t="str">
        <f>'A) Base RI'!B89</f>
        <v>Rueyres</v>
      </c>
      <c r="C88" s="288">
        <f>'B) D RI'!U89</f>
        <v>13106.991872146118</v>
      </c>
      <c r="D88" s="32">
        <f>'B) D RI'!AA89</f>
        <v>304</v>
      </c>
      <c r="E88" s="199">
        <f t="shared" si="9"/>
        <v>43.115104842585914</v>
      </c>
      <c r="F88" s="357">
        <f t="shared" si="10"/>
        <v>0.89034092370375151</v>
      </c>
      <c r="G88" s="368">
        <f t="shared" si="11"/>
        <v>0</v>
      </c>
      <c r="H88" s="365">
        <f t="shared" si="12"/>
        <v>0</v>
      </c>
      <c r="I88" s="368">
        <f t="shared" si="13"/>
        <v>0</v>
      </c>
      <c r="J88" s="365">
        <f t="shared" si="14"/>
        <v>0</v>
      </c>
      <c r="K88" s="360">
        <f t="shared" si="15"/>
        <v>0</v>
      </c>
      <c r="L88" s="364">
        <f t="shared" si="16"/>
        <v>0</v>
      </c>
      <c r="M88" s="113">
        <f>L88*D88*'B) D RI'!S89</f>
        <v>0</v>
      </c>
    </row>
    <row r="89" spans="1:13" x14ac:dyDescent="0.25">
      <c r="A89" s="290">
        <f>'A) Base RI'!A90</f>
        <v>5535</v>
      </c>
      <c r="B89" s="32" t="str">
        <f>'A) Base RI'!B90</f>
        <v>Saint-Barthélemy</v>
      </c>
      <c r="C89" s="288">
        <f>'B) D RI'!U90</f>
        <v>25080.318533333328</v>
      </c>
      <c r="D89" s="32">
        <f>'B) D RI'!AA90</f>
        <v>809</v>
      </c>
      <c r="E89" s="199">
        <f t="shared" si="9"/>
        <v>31.001629831067152</v>
      </c>
      <c r="F89" s="357">
        <f t="shared" si="10"/>
        <v>0.64019372887737636</v>
      </c>
      <c r="G89" s="368">
        <f t="shared" si="11"/>
        <v>0</v>
      </c>
      <c r="H89" s="365">
        <f t="shared" si="12"/>
        <v>0</v>
      </c>
      <c r="I89" s="368">
        <f t="shared" si="13"/>
        <v>0</v>
      </c>
      <c r="J89" s="365">
        <f t="shared" si="14"/>
        <v>0</v>
      </c>
      <c r="K89" s="360">
        <f t="shared" si="15"/>
        <v>0</v>
      </c>
      <c r="L89" s="364">
        <f t="shared" si="16"/>
        <v>0</v>
      </c>
      <c r="M89" s="113">
        <f>L89*D89*'B) D RI'!S90</f>
        <v>0</v>
      </c>
    </row>
    <row r="90" spans="1:13" x14ac:dyDescent="0.25">
      <c r="A90" s="290">
        <f>'A) Base RI'!A91</f>
        <v>5537</v>
      </c>
      <c r="B90" s="32" t="str">
        <f>'A) Base RI'!B91</f>
        <v>Villars-le-Terroir</v>
      </c>
      <c r="C90" s="288">
        <f>'B) D RI'!U91</f>
        <v>42917.816052631584</v>
      </c>
      <c r="D90" s="32">
        <f>'B) D RI'!AA91</f>
        <v>1316</v>
      </c>
      <c r="E90" s="199">
        <f t="shared" si="9"/>
        <v>32.612322228443453</v>
      </c>
      <c r="F90" s="357">
        <f t="shared" si="10"/>
        <v>0.67345505021982532</v>
      </c>
      <c r="G90" s="368">
        <f t="shared" si="11"/>
        <v>0</v>
      </c>
      <c r="H90" s="365">
        <f t="shared" si="12"/>
        <v>0</v>
      </c>
      <c r="I90" s="368">
        <f t="shared" si="13"/>
        <v>0</v>
      </c>
      <c r="J90" s="365">
        <f t="shared" si="14"/>
        <v>0</v>
      </c>
      <c r="K90" s="360">
        <f t="shared" si="15"/>
        <v>0</v>
      </c>
      <c r="L90" s="364">
        <f t="shared" si="16"/>
        <v>0</v>
      </c>
      <c r="M90" s="113">
        <f>L90*D90*'B) D RI'!S91</f>
        <v>0</v>
      </c>
    </row>
    <row r="91" spans="1:13" x14ac:dyDescent="0.25">
      <c r="A91" s="290">
        <f>'A) Base RI'!A92</f>
        <v>5539</v>
      </c>
      <c r="B91" s="32" t="str">
        <f>'A) Base RI'!B92</f>
        <v>Vuarrens</v>
      </c>
      <c r="C91" s="288">
        <f>'B) D RI'!U92</f>
        <v>34558.047482993185</v>
      </c>
      <c r="D91" s="32">
        <f>'B) D RI'!AA92</f>
        <v>1097</v>
      </c>
      <c r="E91" s="199">
        <f t="shared" si="9"/>
        <v>31.502322226976467</v>
      </c>
      <c r="F91" s="357">
        <f t="shared" si="10"/>
        <v>0.65053318953490979</v>
      </c>
      <c r="G91" s="368">
        <f t="shared" si="11"/>
        <v>0</v>
      </c>
      <c r="H91" s="365">
        <f t="shared" si="12"/>
        <v>0</v>
      </c>
      <c r="I91" s="368">
        <f t="shared" si="13"/>
        <v>0</v>
      </c>
      <c r="J91" s="365">
        <f t="shared" si="14"/>
        <v>0</v>
      </c>
      <c r="K91" s="360">
        <f t="shared" si="15"/>
        <v>0</v>
      </c>
      <c r="L91" s="364">
        <f t="shared" si="16"/>
        <v>0</v>
      </c>
      <c r="M91" s="113">
        <f>L91*D91*'B) D RI'!S92</f>
        <v>0</v>
      </c>
    </row>
    <row r="92" spans="1:13" x14ac:dyDescent="0.25">
      <c r="A92" s="290">
        <f>'A) Base RI'!A93</f>
        <v>5540</v>
      </c>
      <c r="B92" s="32" t="str">
        <f>'A) Base RI'!B93</f>
        <v>Montilliez</v>
      </c>
      <c r="C92" s="288">
        <f>'B) D RI'!U93</f>
        <v>63315.990655172413</v>
      </c>
      <c r="D92" s="32">
        <f>'B) D RI'!AA93</f>
        <v>1883</v>
      </c>
      <c r="E92" s="199">
        <f t="shared" si="9"/>
        <v>33.62506142069698</v>
      </c>
      <c r="F92" s="357">
        <f t="shared" si="10"/>
        <v>0.69436844359307714</v>
      </c>
      <c r="G92" s="368">
        <f t="shared" si="11"/>
        <v>0</v>
      </c>
      <c r="H92" s="365">
        <f t="shared" si="12"/>
        <v>0</v>
      </c>
      <c r="I92" s="368">
        <f t="shared" si="13"/>
        <v>0</v>
      </c>
      <c r="J92" s="365">
        <f t="shared" si="14"/>
        <v>0</v>
      </c>
      <c r="K92" s="360">
        <f t="shared" si="15"/>
        <v>0</v>
      </c>
      <c r="L92" s="364">
        <f t="shared" si="16"/>
        <v>0</v>
      </c>
      <c r="M92" s="113">
        <f>L92*D92*'B) D RI'!S93</f>
        <v>0</v>
      </c>
    </row>
    <row r="93" spans="1:13" x14ac:dyDescent="0.25">
      <c r="A93" s="290">
        <f>'A) Base RI'!A94</f>
        <v>5541</v>
      </c>
      <c r="B93" s="32" t="str">
        <f>'A) Base RI'!B94</f>
        <v>Goumoëns</v>
      </c>
      <c r="C93" s="288">
        <f>'B) D RI'!U94</f>
        <v>41279.032715231784</v>
      </c>
      <c r="D93" s="32">
        <f>'B) D RI'!AA94</f>
        <v>1166</v>
      </c>
      <c r="E93" s="199">
        <f t="shared" si="9"/>
        <v>35.402257903286262</v>
      </c>
      <c r="F93" s="357">
        <f t="shared" si="10"/>
        <v>0.73106812839469482</v>
      </c>
      <c r="G93" s="368">
        <f t="shared" si="11"/>
        <v>0</v>
      </c>
      <c r="H93" s="365">
        <f t="shared" si="12"/>
        <v>0</v>
      </c>
      <c r="I93" s="368">
        <f t="shared" si="13"/>
        <v>0</v>
      </c>
      <c r="J93" s="365">
        <f t="shared" si="14"/>
        <v>0</v>
      </c>
      <c r="K93" s="360">
        <f t="shared" si="15"/>
        <v>0</v>
      </c>
      <c r="L93" s="364">
        <f t="shared" si="16"/>
        <v>0</v>
      </c>
      <c r="M93" s="113">
        <f>L93*D93*'B) D RI'!S94</f>
        <v>0</v>
      </c>
    </row>
    <row r="94" spans="1:13" x14ac:dyDescent="0.25">
      <c r="A94" s="290">
        <f>'A) Base RI'!A95</f>
        <v>5551</v>
      </c>
      <c r="B94" s="32" t="str">
        <f>'A) Base RI'!B95</f>
        <v>Bonvillars</v>
      </c>
      <c r="C94" s="288">
        <f>'B) D RI'!U95</f>
        <v>18707.412</v>
      </c>
      <c r="D94" s="32">
        <f>'B) D RI'!AA95</f>
        <v>481</v>
      </c>
      <c r="E94" s="199">
        <f t="shared" si="9"/>
        <v>38.892748440748441</v>
      </c>
      <c r="F94" s="357">
        <f t="shared" si="10"/>
        <v>0.80314789210278847</v>
      </c>
      <c r="G94" s="368">
        <f t="shared" si="11"/>
        <v>0</v>
      </c>
      <c r="H94" s="365">
        <f t="shared" si="12"/>
        <v>0</v>
      </c>
      <c r="I94" s="368">
        <f t="shared" si="13"/>
        <v>0</v>
      </c>
      <c r="J94" s="365">
        <f t="shared" si="14"/>
        <v>0</v>
      </c>
      <c r="K94" s="360">
        <f t="shared" si="15"/>
        <v>0</v>
      </c>
      <c r="L94" s="364">
        <f t="shared" si="16"/>
        <v>0</v>
      </c>
      <c r="M94" s="113">
        <f>L94*D94*'B) D RI'!S95</f>
        <v>0</v>
      </c>
    </row>
    <row r="95" spans="1:13" x14ac:dyDescent="0.25">
      <c r="A95" s="290">
        <f>'A) Base RI'!A96</f>
        <v>5552</v>
      </c>
      <c r="B95" s="32" t="str">
        <f>'A) Base RI'!B96</f>
        <v>Bullet</v>
      </c>
      <c r="C95" s="288">
        <f>'B) D RI'!U96</f>
        <v>19599.59230769231</v>
      </c>
      <c r="D95" s="32">
        <f>'B) D RI'!AA96</f>
        <v>657</v>
      </c>
      <c r="E95" s="199">
        <f t="shared" si="9"/>
        <v>29.831951762088753</v>
      </c>
      <c r="F95" s="357">
        <f t="shared" si="10"/>
        <v>0.61603949670810609</v>
      </c>
      <c r="G95" s="368">
        <f t="shared" si="11"/>
        <v>0</v>
      </c>
      <c r="H95" s="365">
        <f t="shared" si="12"/>
        <v>0</v>
      </c>
      <c r="I95" s="368">
        <f t="shared" si="13"/>
        <v>0</v>
      </c>
      <c r="J95" s="365">
        <f t="shared" si="14"/>
        <v>0</v>
      </c>
      <c r="K95" s="360">
        <f t="shared" si="15"/>
        <v>0</v>
      </c>
      <c r="L95" s="364">
        <f t="shared" si="16"/>
        <v>0</v>
      </c>
      <c r="M95" s="113">
        <f>L95*D95*'B) D RI'!S96</f>
        <v>0</v>
      </c>
    </row>
    <row r="96" spans="1:13" x14ac:dyDescent="0.25">
      <c r="A96" s="290">
        <f>'A) Base RI'!A97</f>
        <v>5553</v>
      </c>
      <c r="B96" s="32" t="str">
        <f>'A) Base RI'!B97</f>
        <v>Champagne</v>
      </c>
      <c r="C96" s="288">
        <f>'B) D RI'!U97</f>
        <v>40087.525538461538</v>
      </c>
      <c r="D96" s="32">
        <f>'B) D RI'!AA97</f>
        <v>1085</v>
      </c>
      <c r="E96" s="199">
        <f t="shared" si="9"/>
        <v>36.947028146047501</v>
      </c>
      <c r="F96" s="357">
        <f t="shared" si="10"/>
        <v>0.76296813582530687</v>
      </c>
      <c r="G96" s="368">
        <f t="shared" si="11"/>
        <v>0</v>
      </c>
      <c r="H96" s="365">
        <f t="shared" si="12"/>
        <v>0</v>
      </c>
      <c r="I96" s="368">
        <f t="shared" si="13"/>
        <v>0</v>
      </c>
      <c r="J96" s="365">
        <f t="shared" si="14"/>
        <v>0</v>
      </c>
      <c r="K96" s="360">
        <f t="shared" si="15"/>
        <v>0</v>
      </c>
      <c r="L96" s="364">
        <f t="shared" si="16"/>
        <v>0</v>
      </c>
      <c r="M96" s="113">
        <f>L96*D96*'B) D RI'!S97</f>
        <v>0</v>
      </c>
    </row>
    <row r="97" spans="1:13" x14ac:dyDescent="0.25">
      <c r="A97" s="290">
        <f>'A) Base RI'!A98</f>
        <v>5554</v>
      </c>
      <c r="B97" s="32" t="str">
        <f>'A) Base RI'!B98</f>
        <v>Concise</v>
      </c>
      <c r="C97" s="288">
        <f>'B) D RI'!U98</f>
        <v>31501.78373333333</v>
      </c>
      <c r="D97" s="32">
        <f>'B) D RI'!AA98</f>
        <v>1004</v>
      </c>
      <c r="E97" s="199">
        <f t="shared" si="9"/>
        <v>31.376278618857899</v>
      </c>
      <c r="F97" s="357">
        <f t="shared" si="10"/>
        <v>0.64793034807391914</v>
      </c>
      <c r="G97" s="368">
        <f t="shared" si="11"/>
        <v>0</v>
      </c>
      <c r="H97" s="365">
        <f t="shared" si="12"/>
        <v>0</v>
      </c>
      <c r="I97" s="368">
        <f t="shared" si="13"/>
        <v>0</v>
      </c>
      <c r="J97" s="365">
        <f t="shared" si="14"/>
        <v>0</v>
      </c>
      <c r="K97" s="360">
        <f t="shared" si="15"/>
        <v>0</v>
      </c>
      <c r="L97" s="364">
        <f t="shared" si="16"/>
        <v>0</v>
      </c>
      <c r="M97" s="113">
        <f>L97*D97*'B) D RI'!S98</f>
        <v>0</v>
      </c>
    </row>
    <row r="98" spans="1:13" x14ac:dyDescent="0.25">
      <c r="A98" s="290">
        <f>'A) Base RI'!A99</f>
        <v>5555</v>
      </c>
      <c r="B98" s="32" t="str">
        <f>'A) Base RI'!B99</f>
        <v>Corcelles-près-Concise</v>
      </c>
      <c r="C98" s="288">
        <f>'B) D RI'!U99</f>
        <v>13878.246956521738</v>
      </c>
      <c r="D98" s="32">
        <f>'B) D RI'!AA99</f>
        <v>417</v>
      </c>
      <c r="E98" s="199">
        <f t="shared" si="9"/>
        <v>33.281167761443015</v>
      </c>
      <c r="F98" s="357">
        <f t="shared" si="10"/>
        <v>0.68726692779359311</v>
      </c>
      <c r="G98" s="368">
        <f t="shared" si="11"/>
        <v>0</v>
      </c>
      <c r="H98" s="365">
        <f t="shared" si="12"/>
        <v>0</v>
      </c>
      <c r="I98" s="368">
        <f t="shared" si="13"/>
        <v>0</v>
      </c>
      <c r="J98" s="365">
        <f t="shared" si="14"/>
        <v>0</v>
      </c>
      <c r="K98" s="360">
        <f t="shared" si="15"/>
        <v>0</v>
      </c>
      <c r="L98" s="364">
        <f t="shared" si="16"/>
        <v>0</v>
      </c>
      <c r="M98" s="113">
        <f>L98*D98*'B) D RI'!S99</f>
        <v>0</v>
      </c>
    </row>
    <row r="99" spans="1:13" x14ac:dyDescent="0.25">
      <c r="A99" s="290">
        <f>'A) Base RI'!A100</f>
        <v>5556</v>
      </c>
      <c r="B99" s="32" t="str">
        <f>'A) Base RI'!B100</f>
        <v>Fiez</v>
      </c>
      <c r="C99" s="288">
        <f>'B) D RI'!U100</f>
        <v>14577.66780193237</v>
      </c>
      <c r="D99" s="32">
        <f>'B) D RI'!AA100</f>
        <v>442</v>
      </c>
      <c r="E99" s="199">
        <f t="shared" si="9"/>
        <v>32.981148873150161</v>
      </c>
      <c r="F99" s="357">
        <f t="shared" si="10"/>
        <v>0.68107144026998645</v>
      </c>
      <c r="G99" s="368">
        <f t="shared" si="11"/>
        <v>0</v>
      </c>
      <c r="H99" s="365">
        <f t="shared" si="12"/>
        <v>0</v>
      </c>
      <c r="I99" s="368">
        <f t="shared" si="13"/>
        <v>0</v>
      </c>
      <c r="J99" s="365">
        <f t="shared" si="14"/>
        <v>0</v>
      </c>
      <c r="K99" s="360">
        <f t="shared" si="15"/>
        <v>0</v>
      </c>
      <c r="L99" s="364">
        <f t="shared" si="16"/>
        <v>0</v>
      </c>
      <c r="M99" s="113">
        <f>L99*D99*'B) D RI'!S100</f>
        <v>0</v>
      </c>
    </row>
    <row r="100" spans="1:13" x14ac:dyDescent="0.25">
      <c r="A100" s="290">
        <f>'A) Base RI'!A101</f>
        <v>5557</v>
      </c>
      <c r="B100" s="32" t="str">
        <f>'A) Base RI'!B101</f>
        <v>Fontaines-sur-Grandson</v>
      </c>
      <c r="C100" s="288">
        <f>'B) D RI'!U101</f>
        <v>4232.7450724637674</v>
      </c>
      <c r="D100" s="32">
        <f>'B) D RI'!AA101</f>
        <v>220</v>
      </c>
      <c r="E100" s="199">
        <f t="shared" si="9"/>
        <v>19.239750329380762</v>
      </c>
      <c r="F100" s="357">
        <f t="shared" si="10"/>
        <v>0.39730709556736921</v>
      </c>
      <c r="G100" s="368">
        <f t="shared" si="11"/>
        <v>0</v>
      </c>
      <c r="H100" s="365">
        <f t="shared" si="12"/>
        <v>0</v>
      </c>
      <c r="I100" s="368">
        <f t="shared" si="13"/>
        <v>0</v>
      </c>
      <c r="J100" s="365">
        <f t="shared" si="14"/>
        <v>0</v>
      </c>
      <c r="K100" s="360">
        <f t="shared" si="15"/>
        <v>0</v>
      </c>
      <c r="L100" s="364">
        <f t="shared" si="16"/>
        <v>0</v>
      </c>
      <c r="M100" s="113">
        <f>L100*D100*'B) D RI'!S101</f>
        <v>0</v>
      </c>
    </row>
    <row r="101" spans="1:13" x14ac:dyDescent="0.25">
      <c r="A101" s="290">
        <f>'A) Base RI'!A102</f>
        <v>5559</v>
      </c>
      <c r="B101" s="32" t="str">
        <f>'A) Base RI'!B102</f>
        <v>Giez</v>
      </c>
      <c r="C101" s="288">
        <f>'B) D RI'!U102</f>
        <v>23436.990303030303</v>
      </c>
      <c r="D101" s="32">
        <f>'B) D RI'!AA102</f>
        <v>443</v>
      </c>
      <c r="E101" s="199">
        <f t="shared" si="9"/>
        <v>52.905169984267047</v>
      </c>
      <c r="F101" s="357">
        <f t="shared" si="10"/>
        <v>1.0925089498094138</v>
      </c>
      <c r="G101" s="368">
        <f t="shared" si="11"/>
        <v>4.4797818046129976</v>
      </c>
      <c r="H101" s="365">
        <f t="shared" si="12"/>
        <v>0</v>
      </c>
      <c r="I101" s="368">
        <f t="shared" si="13"/>
        <v>0</v>
      </c>
      <c r="J101" s="365">
        <f t="shared" si="14"/>
        <v>0</v>
      </c>
      <c r="K101" s="360">
        <f t="shared" si="15"/>
        <v>0</v>
      </c>
      <c r="L101" s="364">
        <f t="shared" si="16"/>
        <v>0.89595636092259956</v>
      </c>
      <c r="M101" s="113">
        <f>L101*D101*'B) D RI'!S102</f>
        <v>26195.972080654967</v>
      </c>
    </row>
    <row r="102" spans="1:13" x14ac:dyDescent="0.25">
      <c r="A102" s="290">
        <f>'A) Base RI'!A103</f>
        <v>5560</v>
      </c>
      <c r="B102" s="32" t="str">
        <f>'A) Base RI'!B103</f>
        <v>Grandevent</v>
      </c>
      <c r="C102" s="288">
        <f>'B) D RI'!U103</f>
        <v>7003.7466176470589</v>
      </c>
      <c r="D102" s="32">
        <f>'B) D RI'!AA103</f>
        <v>238</v>
      </c>
      <c r="E102" s="199">
        <f t="shared" si="9"/>
        <v>29.427506796836383</v>
      </c>
      <c r="F102" s="357">
        <f t="shared" si="10"/>
        <v>0.60768757676578344</v>
      </c>
      <c r="G102" s="368">
        <f t="shared" si="11"/>
        <v>0</v>
      </c>
      <c r="H102" s="365">
        <f t="shared" si="12"/>
        <v>0</v>
      </c>
      <c r="I102" s="368">
        <f t="shared" si="13"/>
        <v>0</v>
      </c>
      <c r="J102" s="365">
        <f t="shared" si="14"/>
        <v>0</v>
      </c>
      <c r="K102" s="360">
        <f t="shared" si="15"/>
        <v>0</v>
      </c>
      <c r="L102" s="364">
        <f t="shared" si="16"/>
        <v>0</v>
      </c>
      <c r="M102" s="113">
        <f>L102*D102*'B) D RI'!S103</f>
        <v>0</v>
      </c>
    </row>
    <row r="103" spans="1:13" x14ac:dyDescent="0.25">
      <c r="A103" s="290">
        <f>'A) Base RI'!A104</f>
        <v>5561</v>
      </c>
      <c r="B103" s="32" t="str">
        <f>'A) Base RI'!B104</f>
        <v>Grandson</v>
      </c>
      <c r="C103" s="288">
        <f>'B) D RI'!U104</f>
        <v>114506.05043478261</v>
      </c>
      <c r="D103" s="32">
        <f>'B) D RI'!AA104</f>
        <v>3366</v>
      </c>
      <c r="E103" s="199">
        <f t="shared" si="9"/>
        <v>34.018434472603268</v>
      </c>
      <c r="F103" s="357">
        <f t="shared" si="10"/>
        <v>0.70249172492738277</v>
      </c>
      <c r="G103" s="368">
        <f t="shared" si="11"/>
        <v>0</v>
      </c>
      <c r="H103" s="365">
        <f t="shared" si="12"/>
        <v>0</v>
      </c>
      <c r="I103" s="368">
        <f t="shared" si="13"/>
        <v>0</v>
      </c>
      <c r="J103" s="365">
        <f t="shared" si="14"/>
        <v>0</v>
      </c>
      <c r="K103" s="360">
        <f t="shared" si="15"/>
        <v>0</v>
      </c>
      <c r="L103" s="364">
        <f t="shared" si="16"/>
        <v>0</v>
      </c>
      <c r="M103" s="113">
        <f>L103*D103*'B) D RI'!S104</f>
        <v>0</v>
      </c>
    </row>
    <row r="104" spans="1:13" x14ac:dyDescent="0.25">
      <c r="A104" s="290">
        <f>'A) Base RI'!A105</f>
        <v>5562</v>
      </c>
      <c r="B104" s="32" t="str">
        <f>'A) Base RI'!B105</f>
        <v>Mauborget</v>
      </c>
      <c r="C104" s="288">
        <f>'B) D RI'!U105</f>
        <v>6099.4916904761894</v>
      </c>
      <c r="D104" s="32">
        <f>'B) D RI'!AA105</f>
        <v>137</v>
      </c>
      <c r="E104" s="199">
        <f t="shared" si="9"/>
        <v>44.521837156760505</v>
      </c>
      <c r="F104" s="357">
        <f t="shared" si="10"/>
        <v>0.91939040305858355</v>
      </c>
      <c r="G104" s="368">
        <f t="shared" si="11"/>
        <v>0</v>
      </c>
      <c r="H104" s="365">
        <f t="shared" si="12"/>
        <v>0</v>
      </c>
      <c r="I104" s="368">
        <f t="shared" si="13"/>
        <v>0</v>
      </c>
      <c r="J104" s="365">
        <f t="shared" si="14"/>
        <v>0</v>
      </c>
      <c r="K104" s="360">
        <f t="shared" si="15"/>
        <v>0</v>
      </c>
      <c r="L104" s="364">
        <f t="shared" si="16"/>
        <v>0</v>
      </c>
      <c r="M104" s="113">
        <f>L104*D104*'B) D RI'!S105</f>
        <v>0</v>
      </c>
    </row>
    <row r="105" spans="1:13" x14ac:dyDescent="0.25">
      <c r="A105" s="290">
        <f>'A) Base RI'!A106</f>
        <v>5563</v>
      </c>
      <c r="B105" s="32" t="str">
        <f>'A) Base RI'!B106</f>
        <v>Mutrux</v>
      </c>
      <c r="C105" s="288">
        <f>'B) D RI'!U106</f>
        <v>4282.2314999999999</v>
      </c>
      <c r="D105" s="32">
        <f>'B) D RI'!AA106</f>
        <v>151</v>
      </c>
      <c r="E105" s="199">
        <f t="shared" si="9"/>
        <v>28.359149006622516</v>
      </c>
      <c r="F105" s="357">
        <f t="shared" si="10"/>
        <v>0.58562564127338534</v>
      </c>
      <c r="G105" s="368">
        <f t="shared" si="11"/>
        <v>0</v>
      </c>
      <c r="H105" s="365">
        <f t="shared" si="12"/>
        <v>0</v>
      </c>
      <c r="I105" s="368">
        <f t="shared" si="13"/>
        <v>0</v>
      </c>
      <c r="J105" s="365">
        <f t="shared" si="14"/>
        <v>0</v>
      </c>
      <c r="K105" s="360">
        <f t="shared" si="15"/>
        <v>0</v>
      </c>
      <c r="L105" s="364">
        <f t="shared" si="16"/>
        <v>0</v>
      </c>
      <c r="M105" s="113">
        <f>L105*D105*'B) D RI'!S106</f>
        <v>0</v>
      </c>
    </row>
    <row r="106" spans="1:13" x14ac:dyDescent="0.25">
      <c r="A106" s="290">
        <f>'A) Base RI'!A107</f>
        <v>5564</v>
      </c>
      <c r="B106" s="32" t="str">
        <f>'A) Base RI'!B107</f>
        <v>Novalles</v>
      </c>
      <c r="C106" s="288">
        <f>'B) D RI'!U107</f>
        <v>2099.5480592105264</v>
      </c>
      <c r="D106" s="32">
        <f>'B) D RI'!AA107</f>
        <v>103</v>
      </c>
      <c r="E106" s="199">
        <f t="shared" si="9"/>
        <v>20.383961739908024</v>
      </c>
      <c r="F106" s="357">
        <f t="shared" si="10"/>
        <v>0.42093543296514774</v>
      </c>
      <c r="G106" s="368">
        <f t="shared" si="11"/>
        <v>0</v>
      </c>
      <c r="H106" s="365">
        <f t="shared" si="12"/>
        <v>0</v>
      </c>
      <c r="I106" s="368">
        <f t="shared" si="13"/>
        <v>0</v>
      </c>
      <c r="J106" s="365">
        <f t="shared" si="14"/>
        <v>0</v>
      </c>
      <c r="K106" s="360">
        <f t="shared" si="15"/>
        <v>0</v>
      </c>
      <c r="L106" s="364">
        <f t="shared" si="16"/>
        <v>0</v>
      </c>
      <c r="M106" s="113">
        <f>L106*D106*'B) D RI'!S107</f>
        <v>0</v>
      </c>
    </row>
    <row r="107" spans="1:13" x14ac:dyDescent="0.25">
      <c r="A107" s="290">
        <f>'A) Base RI'!A108</f>
        <v>5565</v>
      </c>
      <c r="B107" s="32" t="str">
        <f>'A) Base RI'!B108</f>
        <v>Onnens</v>
      </c>
      <c r="C107" s="288">
        <f>'B) D RI'!U108</f>
        <v>22703.427716535429</v>
      </c>
      <c r="D107" s="32">
        <f>'B) D RI'!AA108</f>
        <v>495</v>
      </c>
      <c r="E107" s="199">
        <f t="shared" si="9"/>
        <v>45.86551053845541</v>
      </c>
      <c r="F107" s="357">
        <f t="shared" si="10"/>
        <v>0.94713769496897549</v>
      </c>
      <c r="G107" s="368">
        <f t="shared" si="11"/>
        <v>0</v>
      </c>
      <c r="H107" s="365">
        <f t="shared" si="12"/>
        <v>0</v>
      </c>
      <c r="I107" s="368">
        <f t="shared" si="13"/>
        <v>0</v>
      </c>
      <c r="J107" s="365">
        <f t="shared" si="14"/>
        <v>0</v>
      </c>
      <c r="K107" s="360">
        <f t="shared" si="15"/>
        <v>0</v>
      </c>
      <c r="L107" s="364">
        <f t="shared" si="16"/>
        <v>0</v>
      </c>
      <c r="M107" s="113">
        <f>L107*D107*'B) D RI'!S108</f>
        <v>0</v>
      </c>
    </row>
    <row r="108" spans="1:13" x14ac:dyDescent="0.25">
      <c r="A108" s="290">
        <f>'A) Base RI'!A109</f>
        <v>5566</v>
      </c>
      <c r="B108" s="32" t="str">
        <f>'A) Base RI'!B109</f>
        <v>Provence</v>
      </c>
      <c r="C108" s="288">
        <f>'B) D RI'!U109</f>
        <v>9377.8413580246925</v>
      </c>
      <c r="D108" s="32">
        <f>'B) D RI'!AA109</f>
        <v>403</v>
      </c>
      <c r="E108" s="199">
        <f t="shared" si="9"/>
        <v>23.270077811475662</v>
      </c>
      <c r="F108" s="357">
        <f t="shared" si="10"/>
        <v>0.48053466758274943</v>
      </c>
      <c r="G108" s="368">
        <f t="shared" si="11"/>
        <v>0</v>
      </c>
      <c r="H108" s="365">
        <f t="shared" si="12"/>
        <v>0</v>
      </c>
      <c r="I108" s="368">
        <f t="shared" si="13"/>
        <v>0</v>
      </c>
      <c r="J108" s="365">
        <f t="shared" si="14"/>
        <v>0</v>
      </c>
      <c r="K108" s="360">
        <f t="shared" si="15"/>
        <v>0</v>
      </c>
      <c r="L108" s="364">
        <f t="shared" si="16"/>
        <v>0</v>
      </c>
      <c r="M108" s="113">
        <f>L108*D108*'B) D RI'!S109</f>
        <v>0</v>
      </c>
    </row>
    <row r="109" spans="1:13" x14ac:dyDescent="0.25">
      <c r="A109" s="290">
        <f>'A) Base RI'!A110</f>
        <v>5568</v>
      </c>
      <c r="B109" s="32" t="str">
        <f>'A) Base RI'!B110</f>
        <v>Sainte-Croix</v>
      </c>
      <c r="C109" s="288">
        <f>'B) D RI'!U110</f>
        <v>109171.87199999999</v>
      </c>
      <c r="D109" s="32">
        <f>'B) D RI'!AA110</f>
        <v>4948</v>
      </c>
      <c r="E109" s="199">
        <f t="shared" si="9"/>
        <v>22.063838318512527</v>
      </c>
      <c r="F109" s="357">
        <f t="shared" si="10"/>
        <v>0.45562543012887319</v>
      </c>
      <c r="G109" s="368">
        <f t="shared" si="11"/>
        <v>0</v>
      </c>
      <c r="H109" s="365">
        <f t="shared" si="12"/>
        <v>0</v>
      </c>
      <c r="I109" s="368">
        <f t="shared" si="13"/>
        <v>0</v>
      </c>
      <c r="J109" s="365">
        <f t="shared" si="14"/>
        <v>0</v>
      </c>
      <c r="K109" s="360">
        <f t="shared" si="15"/>
        <v>0</v>
      </c>
      <c r="L109" s="364">
        <f t="shared" si="16"/>
        <v>0</v>
      </c>
      <c r="M109" s="113">
        <f>L109*D109*'B) D RI'!S110</f>
        <v>0</v>
      </c>
    </row>
    <row r="110" spans="1:13" x14ac:dyDescent="0.25">
      <c r="A110" s="290">
        <f>'A) Base RI'!A111</f>
        <v>5571</v>
      </c>
      <c r="B110" s="32" t="str">
        <f>'A) Base RI'!B111</f>
        <v>Tévenon</v>
      </c>
      <c r="C110" s="288">
        <f>'B) D RI'!U111</f>
        <v>25325.239790209791</v>
      </c>
      <c r="D110" s="32">
        <f>'B) D RI'!AA111</f>
        <v>883</v>
      </c>
      <c r="E110" s="199">
        <f t="shared" si="9"/>
        <v>28.680905764677</v>
      </c>
      <c r="F110" s="357">
        <f t="shared" si="10"/>
        <v>0.59227002287050945</v>
      </c>
      <c r="G110" s="368">
        <f t="shared" si="11"/>
        <v>0</v>
      </c>
      <c r="H110" s="365">
        <f t="shared" si="12"/>
        <v>0</v>
      </c>
      <c r="I110" s="368">
        <f t="shared" si="13"/>
        <v>0</v>
      </c>
      <c r="J110" s="365">
        <f t="shared" si="14"/>
        <v>0</v>
      </c>
      <c r="K110" s="360">
        <f t="shared" si="15"/>
        <v>0</v>
      </c>
      <c r="L110" s="364">
        <f t="shared" si="16"/>
        <v>0</v>
      </c>
      <c r="M110" s="113">
        <f>L110*D110*'B) D RI'!S111</f>
        <v>0</v>
      </c>
    </row>
    <row r="111" spans="1:13" x14ac:dyDescent="0.25">
      <c r="A111" s="290">
        <f>'A) Base RI'!A112</f>
        <v>5581</v>
      </c>
      <c r="B111" s="32" t="str">
        <f>'A) Base RI'!B112</f>
        <v>Belmont-sur-Lausanne</v>
      </c>
      <c r="C111" s="288">
        <f>'B) D RI'!U112</f>
        <v>215435.94296296299</v>
      </c>
      <c r="D111" s="32">
        <f>'B) D RI'!AA112</f>
        <v>3871</v>
      </c>
      <c r="E111" s="199">
        <f t="shared" si="9"/>
        <v>55.653821483586405</v>
      </c>
      <c r="F111" s="357">
        <f t="shared" si="10"/>
        <v>1.1492694963459145</v>
      </c>
      <c r="G111" s="368">
        <f t="shared" si="11"/>
        <v>7.2284333039323556</v>
      </c>
      <c r="H111" s="365">
        <f t="shared" si="12"/>
        <v>0</v>
      </c>
      <c r="I111" s="368">
        <f t="shared" si="13"/>
        <v>0</v>
      </c>
      <c r="J111" s="365">
        <f t="shared" si="14"/>
        <v>0</v>
      </c>
      <c r="K111" s="360">
        <f t="shared" si="15"/>
        <v>0</v>
      </c>
      <c r="L111" s="364">
        <f t="shared" si="16"/>
        <v>1.4456866607864711</v>
      </c>
      <c r="M111" s="113">
        <f>L111*D111*'B) D RI'!S112</f>
        <v>402930.22060111893</v>
      </c>
    </row>
    <row r="112" spans="1:13" x14ac:dyDescent="0.25">
      <c r="A112" s="290">
        <f>'A) Base RI'!A113</f>
        <v>5582</v>
      </c>
      <c r="B112" s="32" t="str">
        <f>'A) Base RI'!B113</f>
        <v>Cheseaux-sur-Lausanne</v>
      </c>
      <c r="C112" s="288">
        <f>'B) D RI'!U113</f>
        <v>167506.84698630136</v>
      </c>
      <c r="D112" s="32">
        <f>'B) D RI'!AA113</f>
        <v>4449</v>
      </c>
      <c r="E112" s="199">
        <f t="shared" si="9"/>
        <v>37.650448861834427</v>
      </c>
      <c r="F112" s="357">
        <f t="shared" si="10"/>
        <v>0.77749400215759723</v>
      </c>
      <c r="G112" s="368">
        <f t="shared" si="11"/>
        <v>0</v>
      </c>
      <c r="H112" s="365">
        <f t="shared" si="12"/>
        <v>0</v>
      </c>
      <c r="I112" s="368">
        <f t="shared" si="13"/>
        <v>0</v>
      </c>
      <c r="J112" s="365">
        <f t="shared" si="14"/>
        <v>0</v>
      </c>
      <c r="K112" s="360">
        <f t="shared" si="15"/>
        <v>0</v>
      </c>
      <c r="L112" s="364">
        <f t="shared" si="16"/>
        <v>0</v>
      </c>
      <c r="M112" s="113">
        <f>L112*D112*'B) D RI'!S113</f>
        <v>0</v>
      </c>
    </row>
    <row r="113" spans="1:13" x14ac:dyDescent="0.25">
      <c r="A113" s="290">
        <f>'A) Base RI'!A114</f>
        <v>5583</v>
      </c>
      <c r="B113" s="32" t="str">
        <f>'A) Base RI'!B114</f>
        <v>Crissier</v>
      </c>
      <c r="C113" s="288">
        <f>'B) D RI'!U114</f>
        <v>337550.36173228343</v>
      </c>
      <c r="D113" s="32">
        <f>'B) D RI'!AA114</f>
        <v>8974</v>
      </c>
      <c r="E113" s="199">
        <f t="shared" si="9"/>
        <v>37.614259163392404</v>
      </c>
      <c r="F113" s="357">
        <f t="shared" si="10"/>
        <v>0.77674667312622703</v>
      </c>
      <c r="G113" s="368">
        <f t="shared" si="11"/>
        <v>0</v>
      </c>
      <c r="H113" s="365">
        <f t="shared" si="12"/>
        <v>0</v>
      </c>
      <c r="I113" s="368">
        <f t="shared" si="13"/>
        <v>0</v>
      </c>
      <c r="J113" s="365">
        <f t="shared" si="14"/>
        <v>0</v>
      </c>
      <c r="K113" s="360">
        <f t="shared" si="15"/>
        <v>0</v>
      </c>
      <c r="L113" s="364">
        <f t="shared" si="16"/>
        <v>0</v>
      </c>
      <c r="M113" s="113">
        <f>L113*D113*'B) D RI'!S114</f>
        <v>0</v>
      </c>
    </row>
    <row r="114" spans="1:13" x14ac:dyDescent="0.25">
      <c r="A114" s="290">
        <f>'A) Base RI'!A115</f>
        <v>5584</v>
      </c>
      <c r="B114" s="32" t="str">
        <f>'A) Base RI'!B115</f>
        <v>Epalinges</v>
      </c>
      <c r="C114" s="288">
        <f>'B) D RI'!U115</f>
        <v>516766.84201550385</v>
      </c>
      <c r="D114" s="32">
        <f>'B) D RI'!AA115</f>
        <v>9813</v>
      </c>
      <c r="E114" s="199">
        <f t="shared" si="9"/>
        <v>52.661453379751741</v>
      </c>
      <c r="F114" s="357">
        <f t="shared" si="10"/>
        <v>1.087476122739218</v>
      </c>
      <c r="G114" s="368">
        <f t="shared" si="11"/>
        <v>4.2360652000976913</v>
      </c>
      <c r="H114" s="365">
        <f t="shared" si="12"/>
        <v>0</v>
      </c>
      <c r="I114" s="368">
        <f t="shared" si="13"/>
        <v>0</v>
      </c>
      <c r="J114" s="365">
        <f t="shared" si="14"/>
        <v>0</v>
      </c>
      <c r="K114" s="360">
        <f t="shared" si="15"/>
        <v>0</v>
      </c>
      <c r="L114" s="364">
        <f t="shared" si="16"/>
        <v>0.84721304001953834</v>
      </c>
      <c r="M114" s="113">
        <f>L114*D114*'B) D RI'!S115</f>
        <v>536233.75073040661</v>
      </c>
    </row>
    <row r="115" spans="1:13" x14ac:dyDescent="0.25">
      <c r="A115" s="290">
        <f>'A) Base RI'!A116</f>
        <v>5585</v>
      </c>
      <c r="B115" s="32" t="str">
        <f>'A) Base RI'!B116</f>
        <v>Jouxtens-Mézery</v>
      </c>
      <c r="C115" s="288">
        <f>'B) D RI'!U116</f>
        <v>191744.87050847456</v>
      </c>
      <c r="D115" s="32">
        <f>'B) D RI'!AA116</f>
        <v>1460</v>
      </c>
      <c r="E115" s="199">
        <f t="shared" si="9"/>
        <v>131.33210308799627</v>
      </c>
      <c r="F115" s="357">
        <f t="shared" si="10"/>
        <v>2.7120506004157447</v>
      </c>
      <c r="G115" s="368">
        <f t="shared" si="11"/>
        <v>82.906714908342224</v>
      </c>
      <c r="H115" s="365">
        <f t="shared" si="12"/>
        <v>73.221637272411414</v>
      </c>
      <c r="I115" s="368">
        <f t="shared" si="13"/>
        <v>58.694020818515199</v>
      </c>
      <c r="J115" s="365">
        <f t="shared" si="14"/>
        <v>34.481326728688174</v>
      </c>
      <c r="K115" s="360">
        <f t="shared" si="15"/>
        <v>0</v>
      </c>
      <c r="L115" s="364">
        <f t="shared" si="16"/>
        <v>33.221041463629923</v>
      </c>
      <c r="M115" s="113">
        <f>L115*D115*'B) D RI'!S116</f>
        <v>2861660.5116770817</v>
      </c>
    </row>
    <row r="116" spans="1:13" x14ac:dyDescent="0.25">
      <c r="A116" s="290">
        <f>'A) Base RI'!A117</f>
        <v>5586</v>
      </c>
      <c r="B116" s="32" t="str">
        <f>'A) Base RI'!B117</f>
        <v>Lausanne</v>
      </c>
      <c r="C116" s="288">
        <f>'B) D RI'!U117</f>
        <v>6461491.7137154993</v>
      </c>
      <c r="D116" s="32">
        <f>'B) D RI'!AA117</f>
        <v>140824</v>
      </c>
      <c r="E116" s="199">
        <f t="shared" si="9"/>
        <v>45.883455332297757</v>
      </c>
      <c r="F116" s="357">
        <f t="shared" si="10"/>
        <v>0.94750826079233608</v>
      </c>
      <c r="G116" s="368">
        <f t="shared" si="11"/>
        <v>0</v>
      </c>
      <c r="H116" s="365">
        <f t="shared" si="12"/>
        <v>0</v>
      </c>
      <c r="I116" s="368">
        <f t="shared" si="13"/>
        <v>0</v>
      </c>
      <c r="J116" s="365">
        <f t="shared" si="14"/>
        <v>0</v>
      </c>
      <c r="K116" s="360">
        <f t="shared" si="15"/>
        <v>0</v>
      </c>
      <c r="L116" s="364">
        <f t="shared" si="16"/>
        <v>0</v>
      </c>
      <c r="M116" s="113">
        <f>L116*D116*'B) D RI'!S117</f>
        <v>0</v>
      </c>
    </row>
    <row r="117" spans="1:13" x14ac:dyDescent="0.25">
      <c r="A117" s="290">
        <f>'A) Base RI'!A118</f>
        <v>5587</v>
      </c>
      <c r="B117" s="32" t="str">
        <f>'A) Base RI'!B118</f>
        <v>Le Mont-sur-Lausanne</v>
      </c>
      <c r="C117" s="288">
        <f>'B) D RI'!U118</f>
        <v>495058.05378684809</v>
      </c>
      <c r="D117" s="32">
        <f>'B) D RI'!AA118</f>
        <v>9217</v>
      </c>
      <c r="E117" s="199">
        <f t="shared" si="9"/>
        <v>53.711408678186835</v>
      </c>
      <c r="F117" s="357">
        <f t="shared" si="10"/>
        <v>1.1091580407971557</v>
      </c>
      <c r="G117" s="368">
        <f t="shared" si="11"/>
        <v>5.2860204985327854</v>
      </c>
      <c r="H117" s="365">
        <f t="shared" si="12"/>
        <v>0</v>
      </c>
      <c r="I117" s="368">
        <f t="shared" si="13"/>
        <v>0</v>
      </c>
      <c r="J117" s="365">
        <f t="shared" si="14"/>
        <v>0</v>
      </c>
      <c r="K117" s="360">
        <f t="shared" si="15"/>
        <v>0</v>
      </c>
      <c r="L117" s="364">
        <f t="shared" si="16"/>
        <v>1.057204099706557</v>
      </c>
      <c r="M117" s="113">
        <f>L117*D117*'B) D RI'!S118</f>
        <v>716202.38874415716</v>
      </c>
    </row>
    <row r="118" spans="1:13" x14ac:dyDescent="0.25">
      <c r="A118" s="290">
        <f>'A) Base RI'!A119</f>
        <v>5588</v>
      </c>
      <c r="B118" s="32" t="str">
        <f>'A) Base RI'!B119</f>
        <v>Paudex</v>
      </c>
      <c r="C118" s="288">
        <f>'B) D RI'!U119</f>
        <v>215756.29785177234</v>
      </c>
      <c r="D118" s="32">
        <f>'B) D RI'!AA119</f>
        <v>1545</v>
      </c>
      <c r="E118" s="199">
        <f t="shared" si="9"/>
        <v>139.64808922444811</v>
      </c>
      <c r="F118" s="357">
        <f t="shared" si="10"/>
        <v>2.8837784161144078</v>
      </c>
      <c r="G118" s="368">
        <f t="shared" si="11"/>
        <v>91.222701044794064</v>
      </c>
      <c r="H118" s="365">
        <f t="shared" si="12"/>
        <v>81.537623408863254</v>
      </c>
      <c r="I118" s="368">
        <f t="shared" si="13"/>
        <v>67.010006954967039</v>
      </c>
      <c r="J118" s="365">
        <f t="shared" si="14"/>
        <v>42.797312865140015</v>
      </c>
      <c r="K118" s="360">
        <f t="shared" si="15"/>
        <v>0</v>
      </c>
      <c r="L118" s="364">
        <f t="shared" si="16"/>
        <v>37.379034531855844</v>
      </c>
      <c r="M118" s="113">
        <f>L118*D118*'B) D RI'!S119</f>
        <v>3840415.4553891993</v>
      </c>
    </row>
    <row r="119" spans="1:13" x14ac:dyDescent="0.25">
      <c r="A119" s="290">
        <f>'A) Base RI'!A120</f>
        <v>5589</v>
      </c>
      <c r="B119" s="32" t="str">
        <f>'A) Base RI'!B120</f>
        <v>Prilly</v>
      </c>
      <c r="C119" s="288">
        <f>'B) D RI'!U120</f>
        <v>419549.81642440322</v>
      </c>
      <c r="D119" s="32">
        <f>'B) D RI'!AA120</f>
        <v>12341</v>
      </c>
      <c r="E119" s="199">
        <f t="shared" si="9"/>
        <v>33.996419773470805</v>
      </c>
      <c r="F119" s="357">
        <f t="shared" si="10"/>
        <v>0.70203711423741189</v>
      </c>
      <c r="G119" s="368">
        <f t="shared" si="11"/>
        <v>0</v>
      </c>
      <c r="H119" s="365">
        <f t="shared" si="12"/>
        <v>0</v>
      </c>
      <c r="I119" s="368">
        <f t="shared" si="13"/>
        <v>0</v>
      </c>
      <c r="J119" s="365">
        <f t="shared" si="14"/>
        <v>0</v>
      </c>
      <c r="K119" s="360">
        <f t="shared" si="15"/>
        <v>0</v>
      </c>
      <c r="L119" s="364">
        <f t="shared" si="16"/>
        <v>0</v>
      </c>
      <c r="M119" s="113">
        <f>L119*D119*'B) D RI'!S120</f>
        <v>0</v>
      </c>
    </row>
    <row r="120" spans="1:13" x14ac:dyDescent="0.25">
      <c r="A120" s="290">
        <f>'A) Base RI'!A121</f>
        <v>5590</v>
      </c>
      <c r="B120" s="32" t="str">
        <f>'A) Base RI'!B121</f>
        <v>Pully</v>
      </c>
      <c r="C120" s="288">
        <f>'B) D RI'!U121</f>
        <v>1603030.9692740045</v>
      </c>
      <c r="D120" s="32">
        <f>'B) D RI'!AA121</f>
        <v>18946</v>
      </c>
      <c r="E120" s="199">
        <f t="shared" si="9"/>
        <v>84.61052302723553</v>
      </c>
      <c r="F120" s="357">
        <f t="shared" si="10"/>
        <v>1.7472347916621283</v>
      </c>
      <c r="G120" s="368">
        <f t="shared" si="11"/>
        <v>36.18513484758148</v>
      </c>
      <c r="H120" s="365">
        <f t="shared" si="12"/>
        <v>26.50005721165067</v>
      </c>
      <c r="I120" s="368">
        <f t="shared" si="13"/>
        <v>11.972440757754455</v>
      </c>
      <c r="J120" s="365">
        <f t="shared" si="14"/>
        <v>0</v>
      </c>
      <c r="K120" s="360">
        <f t="shared" si="15"/>
        <v>0</v>
      </c>
      <c r="L120" s="364">
        <f t="shared" si="16"/>
        <v>11.08427676645681</v>
      </c>
      <c r="M120" s="113">
        <f>L120*D120*'B) D RI'!S121</f>
        <v>12810165.164654734</v>
      </c>
    </row>
    <row r="121" spans="1:13" x14ac:dyDescent="0.25">
      <c r="A121" s="290">
        <f>'A) Base RI'!A122</f>
        <v>5591</v>
      </c>
      <c r="B121" s="32" t="str">
        <f>'A) Base RI'!B122</f>
        <v>Renens</v>
      </c>
      <c r="C121" s="288">
        <f>'B) D RI'!U122</f>
        <v>569784.47115027823</v>
      </c>
      <c r="D121" s="32">
        <f>'B) D RI'!AA122</f>
        <v>20917</v>
      </c>
      <c r="E121" s="199">
        <f t="shared" si="9"/>
        <v>27.240257740128996</v>
      </c>
      <c r="F121" s="357">
        <f t="shared" si="10"/>
        <v>0.56252017307677471</v>
      </c>
      <c r="G121" s="368">
        <f t="shared" si="11"/>
        <v>0</v>
      </c>
      <c r="H121" s="365">
        <f t="shared" si="12"/>
        <v>0</v>
      </c>
      <c r="I121" s="368">
        <f t="shared" si="13"/>
        <v>0</v>
      </c>
      <c r="J121" s="365">
        <f t="shared" si="14"/>
        <v>0</v>
      </c>
      <c r="K121" s="360">
        <f t="shared" si="15"/>
        <v>0</v>
      </c>
      <c r="L121" s="364">
        <f t="shared" si="16"/>
        <v>0</v>
      </c>
      <c r="M121" s="113">
        <f>L121*D121*'B) D RI'!S122</f>
        <v>0</v>
      </c>
    </row>
    <row r="122" spans="1:13" x14ac:dyDescent="0.25">
      <c r="A122" s="290">
        <f>'A) Base RI'!A123</f>
        <v>5592</v>
      </c>
      <c r="B122" s="32" t="str">
        <f>'A) Base RI'!B123</f>
        <v>Romanel-sur-Lausanne</v>
      </c>
      <c r="C122" s="288">
        <f>'B) D RI'!U123</f>
        <v>121086.56368794327</v>
      </c>
      <c r="D122" s="32">
        <f>'B) D RI'!AA123</f>
        <v>3482</v>
      </c>
      <c r="E122" s="199">
        <f t="shared" si="9"/>
        <v>34.775003931057803</v>
      </c>
      <c r="F122" s="357">
        <f t="shared" si="10"/>
        <v>0.71811513006453376</v>
      </c>
      <c r="G122" s="368">
        <f t="shared" si="11"/>
        <v>0</v>
      </c>
      <c r="H122" s="365">
        <f t="shared" si="12"/>
        <v>0</v>
      </c>
      <c r="I122" s="368">
        <f t="shared" si="13"/>
        <v>0</v>
      </c>
      <c r="J122" s="365">
        <f t="shared" si="14"/>
        <v>0</v>
      </c>
      <c r="K122" s="360">
        <f t="shared" si="15"/>
        <v>0</v>
      </c>
      <c r="L122" s="364">
        <f t="shared" si="16"/>
        <v>0</v>
      </c>
      <c r="M122" s="113">
        <f>L122*D122*'B) D RI'!S123</f>
        <v>0</v>
      </c>
    </row>
    <row r="123" spans="1:13" x14ac:dyDescent="0.25">
      <c r="A123" s="290">
        <f>'A) Base RI'!A124</f>
        <v>5601</v>
      </c>
      <c r="B123" s="32" t="str">
        <f>'A) Base RI'!B124</f>
        <v>Chexbres</v>
      </c>
      <c r="C123" s="288">
        <f>'B) D RI'!U124</f>
        <v>105973.06044444445</v>
      </c>
      <c r="D123" s="32">
        <f>'B) D RI'!AA124</f>
        <v>2229</v>
      </c>
      <c r="E123" s="199">
        <f t="shared" si="9"/>
        <v>47.542871442101593</v>
      </c>
      <c r="F123" s="357">
        <f t="shared" si="10"/>
        <v>0.9817757426274335</v>
      </c>
      <c r="G123" s="368">
        <f t="shared" si="11"/>
        <v>0</v>
      </c>
      <c r="H123" s="365">
        <f t="shared" si="12"/>
        <v>0</v>
      </c>
      <c r="I123" s="368">
        <f t="shared" si="13"/>
        <v>0</v>
      </c>
      <c r="J123" s="365">
        <f t="shared" si="14"/>
        <v>0</v>
      </c>
      <c r="K123" s="360">
        <f t="shared" si="15"/>
        <v>0</v>
      </c>
      <c r="L123" s="364">
        <f t="shared" si="16"/>
        <v>0</v>
      </c>
      <c r="M123" s="113">
        <f>L123*D123*'B) D RI'!S124</f>
        <v>0</v>
      </c>
    </row>
    <row r="124" spans="1:13" x14ac:dyDescent="0.25">
      <c r="A124" s="290">
        <f>'A) Base RI'!A125</f>
        <v>5604</v>
      </c>
      <c r="B124" s="32" t="str">
        <f>'A) Base RI'!B125</f>
        <v>Forel (Lavaux)</v>
      </c>
      <c r="C124" s="288">
        <f>'B) D RI'!U125</f>
        <v>75818.919130434777</v>
      </c>
      <c r="D124" s="32">
        <f>'B) D RI'!AA125</f>
        <v>2110</v>
      </c>
      <c r="E124" s="199">
        <f t="shared" si="9"/>
        <v>35.933137028642072</v>
      </c>
      <c r="F124" s="357">
        <f t="shared" si="10"/>
        <v>0.74203095482339154</v>
      </c>
      <c r="G124" s="368">
        <f t="shared" si="11"/>
        <v>0</v>
      </c>
      <c r="H124" s="365">
        <f t="shared" si="12"/>
        <v>0</v>
      </c>
      <c r="I124" s="368">
        <f t="shared" si="13"/>
        <v>0</v>
      </c>
      <c r="J124" s="365">
        <f t="shared" si="14"/>
        <v>0</v>
      </c>
      <c r="K124" s="360">
        <f t="shared" si="15"/>
        <v>0</v>
      </c>
      <c r="L124" s="364">
        <f t="shared" si="16"/>
        <v>0</v>
      </c>
      <c r="M124" s="113">
        <f>L124*D124*'B) D RI'!S125</f>
        <v>0</v>
      </c>
    </row>
    <row r="125" spans="1:13" x14ac:dyDescent="0.25">
      <c r="A125" s="290">
        <f>'A) Base RI'!A126</f>
        <v>5606</v>
      </c>
      <c r="B125" s="32" t="str">
        <f>'A) Base RI'!B126</f>
        <v>Lutry</v>
      </c>
      <c r="C125" s="288">
        <f>'B) D RI'!U126</f>
        <v>941137.19529100519</v>
      </c>
      <c r="D125" s="32">
        <f>'B) D RI'!AA126</f>
        <v>10704</v>
      </c>
      <c r="E125" s="199">
        <f t="shared" si="9"/>
        <v>87.923878483838308</v>
      </c>
      <c r="F125" s="357">
        <f t="shared" si="10"/>
        <v>1.8156566583967946</v>
      </c>
      <c r="G125" s="368">
        <f t="shared" si="11"/>
        <v>39.498490304184259</v>
      </c>
      <c r="H125" s="365">
        <f t="shared" si="12"/>
        <v>29.813412668253449</v>
      </c>
      <c r="I125" s="368">
        <f t="shared" si="13"/>
        <v>15.285796214357234</v>
      </c>
      <c r="J125" s="365">
        <f t="shared" si="14"/>
        <v>0</v>
      </c>
      <c r="K125" s="360">
        <f t="shared" si="15"/>
        <v>0</v>
      </c>
      <c r="L125" s="364">
        <f t="shared" si="16"/>
        <v>12.40961894909792</v>
      </c>
      <c r="M125" s="113">
        <f>L125*D125*'B) D RI'!S126</f>
        <v>7172958.3064817842</v>
      </c>
    </row>
    <row r="126" spans="1:13" x14ac:dyDescent="0.25">
      <c r="A126" s="290">
        <f>'A) Base RI'!A127</f>
        <v>5607</v>
      </c>
      <c r="B126" s="32" t="str">
        <f>'A) Base RI'!B127</f>
        <v>Puidoux</v>
      </c>
      <c r="C126" s="288">
        <f>'B) D RI'!U127</f>
        <v>111580.38136464616</v>
      </c>
      <c r="D126" s="32">
        <f>'B) D RI'!AA127</f>
        <v>2924</v>
      </c>
      <c r="E126" s="199">
        <f t="shared" si="9"/>
        <v>38.160185145227828</v>
      </c>
      <c r="F126" s="357">
        <f t="shared" si="10"/>
        <v>0.78802022203016331</v>
      </c>
      <c r="G126" s="368">
        <f t="shared" si="11"/>
        <v>0</v>
      </c>
      <c r="H126" s="365">
        <f t="shared" si="12"/>
        <v>0</v>
      </c>
      <c r="I126" s="368">
        <f t="shared" si="13"/>
        <v>0</v>
      </c>
      <c r="J126" s="365">
        <f t="shared" si="14"/>
        <v>0</v>
      </c>
      <c r="K126" s="360">
        <f t="shared" si="15"/>
        <v>0</v>
      </c>
      <c r="L126" s="364">
        <f t="shared" si="16"/>
        <v>0</v>
      </c>
      <c r="M126" s="113">
        <f>L126*D126*'B) D RI'!S127</f>
        <v>0</v>
      </c>
    </row>
    <row r="127" spans="1:13" x14ac:dyDescent="0.25">
      <c r="A127" s="290">
        <f>'A) Base RI'!A128</f>
        <v>5609</v>
      </c>
      <c r="B127" s="32" t="str">
        <f>'A) Base RI'!B128</f>
        <v>Rivaz</v>
      </c>
      <c r="C127" s="288">
        <f>'B) D RI'!U128</f>
        <v>14896.510161290325</v>
      </c>
      <c r="D127" s="32">
        <f>'B) D RI'!AA128</f>
        <v>331</v>
      </c>
      <c r="E127" s="199">
        <f t="shared" si="9"/>
        <v>45.00456242081669</v>
      </c>
      <c r="F127" s="357">
        <f t="shared" si="10"/>
        <v>0.92935883660557583</v>
      </c>
      <c r="G127" s="368">
        <f t="shared" si="11"/>
        <v>0</v>
      </c>
      <c r="H127" s="365">
        <f t="shared" si="12"/>
        <v>0</v>
      </c>
      <c r="I127" s="368">
        <f t="shared" si="13"/>
        <v>0</v>
      </c>
      <c r="J127" s="365">
        <f t="shared" si="14"/>
        <v>0</v>
      </c>
      <c r="K127" s="360">
        <f t="shared" si="15"/>
        <v>0</v>
      </c>
      <c r="L127" s="364">
        <f t="shared" si="16"/>
        <v>0</v>
      </c>
      <c r="M127" s="113">
        <f>L127*D127*'B) D RI'!S128</f>
        <v>0</v>
      </c>
    </row>
    <row r="128" spans="1:13" x14ac:dyDescent="0.25">
      <c r="A128" s="290">
        <f>'A) Base RI'!A129</f>
        <v>5610</v>
      </c>
      <c r="B128" s="32" t="str">
        <f>'A) Base RI'!B129</f>
        <v>St-Saphorin (Lavaux)</v>
      </c>
      <c r="C128" s="288">
        <f>'B) D RI'!U129</f>
        <v>23448.462152777778</v>
      </c>
      <c r="D128" s="32">
        <f>'B) D RI'!AA129</f>
        <v>396</v>
      </c>
      <c r="E128" s="199">
        <f t="shared" si="9"/>
        <v>59.213288264590346</v>
      </c>
      <c r="F128" s="357">
        <f t="shared" si="10"/>
        <v>1.2227736418944977</v>
      </c>
      <c r="G128" s="368">
        <f t="shared" si="11"/>
        <v>10.787900084936297</v>
      </c>
      <c r="H128" s="365">
        <f t="shared" si="12"/>
        <v>1.1028224490054868</v>
      </c>
      <c r="I128" s="368">
        <f t="shared" si="13"/>
        <v>0</v>
      </c>
      <c r="J128" s="365">
        <f t="shared" si="14"/>
        <v>0</v>
      </c>
      <c r="K128" s="360">
        <f t="shared" si="15"/>
        <v>0</v>
      </c>
      <c r="L128" s="364">
        <f t="shared" si="16"/>
        <v>2.2678622618878079</v>
      </c>
      <c r="M128" s="113">
        <f>L128*D128*'B) D RI'!S129</f>
        <v>64661.288810945181</v>
      </c>
    </row>
    <row r="129" spans="1:13" x14ac:dyDescent="0.25">
      <c r="A129" s="290">
        <f>'A) Base RI'!A130</f>
        <v>5611</v>
      </c>
      <c r="B129" s="32" t="str">
        <f>'A) Base RI'!B130</f>
        <v>Savigny</v>
      </c>
      <c r="C129" s="288">
        <f>'B) D RI'!U130</f>
        <v>140983.13330917869</v>
      </c>
      <c r="D129" s="32">
        <f>'B) D RI'!AA130</f>
        <v>3370</v>
      </c>
      <c r="E129" s="199">
        <f t="shared" si="9"/>
        <v>41.83475765851</v>
      </c>
      <c r="F129" s="357">
        <f t="shared" si="10"/>
        <v>0.86390133834976446</v>
      </c>
      <c r="G129" s="368">
        <f t="shared" si="11"/>
        <v>0</v>
      </c>
      <c r="H129" s="365">
        <f t="shared" si="12"/>
        <v>0</v>
      </c>
      <c r="I129" s="368">
        <f t="shared" si="13"/>
        <v>0</v>
      </c>
      <c r="J129" s="365">
        <f t="shared" si="14"/>
        <v>0</v>
      </c>
      <c r="K129" s="360">
        <f t="shared" si="15"/>
        <v>0</v>
      </c>
      <c r="L129" s="364">
        <f t="shared" si="16"/>
        <v>0</v>
      </c>
      <c r="M129" s="113">
        <f>L129*D129*'B) D RI'!S130</f>
        <v>0</v>
      </c>
    </row>
    <row r="130" spans="1:13" x14ac:dyDescent="0.25">
      <c r="A130" s="290">
        <f>'A) Base RI'!A131</f>
        <v>5613</v>
      </c>
      <c r="B130" s="32" t="str">
        <f>'A) Base RI'!B131</f>
        <v>Bourg-en-Lavaux</v>
      </c>
      <c r="C130" s="288">
        <f>'B) D RI'!U131</f>
        <v>357210.57141333341</v>
      </c>
      <c r="D130" s="32">
        <f>'B) D RI'!AA131</f>
        <v>5367</v>
      </c>
      <c r="E130" s="199">
        <f t="shared" si="9"/>
        <v>66.556842074405324</v>
      </c>
      <c r="F130" s="357">
        <f t="shared" si="10"/>
        <v>1.3744204140911609</v>
      </c>
      <c r="G130" s="368">
        <f t="shared" si="11"/>
        <v>18.131453894751274</v>
      </c>
      <c r="H130" s="365">
        <f t="shared" si="12"/>
        <v>8.4463762588204645</v>
      </c>
      <c r="I130" s="368">
        <f t="shared" si="13"/>
        <v>0</v>
      </c>
      <c r="J130" s="365">
        <f t="shared" si="14"/>
        <v>0</v>
      </c>
      <c r="K130" s="360">
        <f t="shared" si="15"/>
        <v>0</v>
      </c>
      <c r="L130" s="364">
        <f t="shared" si="16"/>
        <v>4.4709284048323017</v>
      </c>
      <c r="M130" s="113">
        <f>L130*D130*'B) D RI'!S131</f>
        <v>1499717.0467959351</v>
      </c>
    </row>
    <row r="131" spans="1:13" x14ac:dyDescent="0.25">
      <c r="A131" s="290">
        <f>'A) Base RI'!A132</f>
        <v>5621</v>
      </c>
      <c r="B131" s="32" t="str">
        <f>'A) Base RI'!B132</f>
        <v>Aclens</v>
      </c>
      <c r="C131" s="288">
        <f>'B) D RI'!U132</f>
        <v>32271.293782991204</v>
      </c>
      <c r="D131" s="32">
        <f>'B) D RI'!AA132</f>
        <v>517</v>
      </c>
      <c r="E131" s="199">
        <f t="shared" si="9"/>
        <v>62.420297452594205</v>
      </c>
      <c r="F131" s="357">
        <f t="shared" si="10"/>
        <v>1.2889994236291971</v>
      </c>
      <c r="G131" s="368">
        <f t="shared" si="11"/>
        <v>13.994909272940156</v>
      </c>
      <c r="H131" s="365">
        <f t="shared" si="12"/>
        <v>4.3098316370093457</v>
      </c>
      <c r="I131" s="368">
        <f t="shared" si="13"/>
        <v>0</v>
      </c>
      <c r="J131" s="365">
        <f t="shared" si="14"/>
        <v>0</v>
      </c>
      <c r="K131" s="360">
        <f t="shared" si="15"/>
        <v>0</v>
      </c>
      <c r="L131" s="364">
        <f t="shared" si="16"/>
        <v>3.2299650182889659</v>
      </c>
      <c r="M131" s="113">
        <f>L131*D131*'B) D RI'!S132</f>
        <v>103533.29869623452</v>
      </c>
    </row>
    <row r="132" spans="1:13" x14ac:dyDescent="0.25">
      <c r="A132" s="290">
        <f>'A) Base RI'!A133</f>
        <v>5622</v>
      </c>
      <c r="B132" s="32" t="str">
        <f>'A) Base RI'!B133</f>
        <v>Bremblens</v>
      </c>
      <c r="C132" s="288">
        <f>'B) D RI'!U133</f>
        <v>28643.938676470589</v>
      </c>
      <c r="D132" s="32">
        <f>'B) D RI'!AA133</f>
        <v>607</v>
      </c>
      <c r="E132" s="199">
        <f t="shared" si="9"/>
        <v>47.189355315437545</v>
      </c>
      <c r="F132" s="357">
        <f t="shared" si="10"/>
        <v>0.97447551974945601</v>
      </c>
      <c r="G132" s="368">
        <f t="shared" si="11"/>
        <v>0</v>
      </c>
      <c r="H132" s="365">
        <f t="shared" si="12"/>
        <v>0</v>
      </c>
      <c r="I132" s="368">
        <f t="shared" si="13"/>
        <v>0</v>
      </c>
      <c r="J132" s="365">
        <f t="shared" si="14"/>
        <v>0</v>
      </c>
      <c r="K132" s="360">
        <f t="shared" si="15"/>
        <v>0</v>
      </c>
      <c r="L132" s="364">
        <f t="shared" si="16"/>
        <v>0</v>
      </c>
      <c r="M132" s="113">
        <f>L132*D132*'B) D RI'!S133</f>
        <v>0</v>
      </c>
    </row>
    <row r="133" spans="1:13" x14ac:dyDescent="0.25">
      <c r="A133" s="290">
        <f>'A) Base RI'!A134</f>
        <v>5623</v>
      </c>
      <c r="B133" s="32" t="str">
        <f>'A) Base RI'!B134</f>
        <v>Buchillon</v>
      </c>
      <c r="C133" s="288">
        <f>'B) D RI'!U134</f>
        <v>89231.951153846152</v>
      </c>
      <c r="D133" s="32">
        <f>'B) D RI'!AA134</f>
        <v>669</v>
      </c>
      <c r="E133" s="199">
        <f t="shared" si="9"/>
        <v>133.38109290559962</v>
      </c>
      <c r="F133" s="357">
        <f t="shared" si="10"/>
        <v>2.7543629058948822</v>
      </c>
      <c r="G133" s="368">
        <f t="shared" si="11"/>
        <v>84.955704725945566</v>
      </c>
      <c r="H133" s="365">
        <f t="shared" si="12"/>
        <v>75.270627090014756</v>
      </c>
      <c r="I133" s="368">
        <f t="shared" si="13"/>
        <v>60.743010636118541</v>
      </c>
      <c r="J133" s="365">
        <f t="shared" si="14"/>
        <v>36.530316546291516</v>
      </c>
      <c r="K133" s="360">
        <f t="shared" si="15"/>
        <v>0</v>
      </c>
      <c r="L133" s="364">
        <f t="shared" si="16"/>
        <v>34.245536372431594</v>
      </c>
      <c r="M133" s="113">
        <f>L133*D133*'B) D RI'!S134</f>
        <v>1191333.7193241504</v>
      </c>
    </row>
    <row r="134" spans="1:13" x14ac:dyDescent="0.25">
      <c r="A134" s="290">
        <f>'A) Base RI'!A135</f>
        <v>5624</v>
      </c>
      <c r="B134" s="32" t="str">
        <f>'A) Base RI'!B135</f>
        <v>Bussigny</v>
      </c>
      <c r="C134" s="288">
        <f>'B) D RI'!U135</f>
        <v>441939.99008000002</v>
      </c>
      <c r="D134" s="32">
        <f>'B) D RI'!AA135</f>
        <v>10253</v>
      </c>
      <c r="E134" s="199">
        <f t="shared" ref="E134:E197" si="17">C134/D134</f>
        <v>43.10348094021262</v>
      </c>
      <c r="F134" s="357">
        <f t="shared" ref="F134:F197" si="18">E134/$E$314</f>
        <v>0.89010088634297346</v>
      </c>
      <c r="G134" s="368">
        <f t="shared" ref="G134:G197" si="19">IF(E134-$G$3&lt;0,0,E134-$G$3)</f>
        <v>0</v>
      </c>
      <c r="H134" s="365">
        <f t="shared" ref="H134:H197" si="20">IF(E134-$H$3&lt;0,0,E134-$H$3)</f>
        <v>0</v>
      </c>
      <c r="I134" s="368">
        <f t="shared" ref="I134:I197" si="21">IF(E134-$I$3&lt;0,0,E134-$I$3)</f>
        <v>0</v>
      </c>
      <c r="J134" s="365">
        <f t="shared" ref="J134:J197" si="22">IF(E134-$J$3&lt;0,0,E134-$J$3)</f>
        <v>0</v>
      </c>
      <c r="K134" s="360">
        <f t="shared" ref="K134:K197" si="23">IF(E134-$K$3&lt;0,0,E134-$K$3)</f>
        <v>0</v>
      </c>
      <c r="L134" s="364">
        <f t="shared" ref="L134:L197" si="24">(G134-H134)*$G$4+(H134-I134)*$H$4+(I134-J134)*$I$4+(J134-K134)*$J$4+(K134*$K$4)</f>
        <v>0</v>
      </c>
      <c r="M134" s="113">
        <f>L134*D134*'B) D RI'!S135</f>
        <v>0</v>
      </c>
    </row>
    <row r="135" spans="1:13" x14ac:dyDescent="0.25">
      <c r="A135" s="290">
        <f>'A) Base RI'!A136</f>
        <v>5625</v>
      </c>
      <c r="B135" s="32" t="str">
        <f>'A) Base RI'!B136</f>
        <v>Bussy-Chardonney</v>
      </c>
      <c r="C135" s="288">
        <f>'B) D RI'!U136</f>
        <v>21108.495740740738</v>
      </c>
      <c r="D135" s="32">
        <f>'B) D RI'!AA136</f>
        <v>412</v>
      </c>
      <c r="E135" s="199">
        <f t="shared" si="17"/>
        <v>51.234212962962957</v>
      </c>
      <c r="F135" s="357">
        <f t="shared" si="18"/>
        <v>1.0580031444020315</v>
      </c>
      <c r="G135" s="368">
        <f t="shared" si="19"/>
        <v>2.8088247833089071</v>
      </c>
      <c r="H135" s="365">
        <f t="shared" si="20"/>
        <v>0</v>
      </c>
      <c r="I135" s="368">
        <f t="shared" si="21"/>
        <v>0</v>
      </c>
      <c r="J135" s="365">
        <f t="shared" si="22"/>
        <v>0</v>
      </c>
      <c r="K135" s="360">
        <f t="shared" si="23"/>
        <v>0</v>
      </c>
      <c r="L135" s="364">
        <f t="shared" si="24"/>
        <v>0.56176495666178139</v>
      </c>
      <c r="M135" s="113">
        <f>L135*D135*'B) D RI'!S136</f>
        <v>16664.195674415081</v>
      </c>
    </row>
    <row r="136" spans="1:13" x14ac:dyDescent="0.25">
      <c r="A136" s="290">
        <f>'A) Base RI'!A137</f>
        <v>5627</v>
      </c>
      <c r="B136" s="32" t="str">
        <f>'A) Base RI'!B137</f>
        <v>Chavannes-près-Renens</v>
      </c>
      <c r="C136" s="288">
        <f>'B) D RI'!U137</f>
        <v>194072.91458064516</v>
      </c>
      <c r="D136" s="32">
        <f>'B) D RI'!AA137</f>
        <v>8767</v>
      </c>
      <c r="E136" s="199">
        <f t="shared" si="17"/>
        <v>22.136753117445551</v>
      </c>
      <c r="F136" s="357">
        <f t="shared" si="18"/>
        <v>0.45713114441788444</v>
      </c>
      <c r="G136" s="368">
        <f t="shared" si="19"/>
        <v>0</v>
      </c>
      <c r="H136" s="365">
        <f t="shared" si="20"/>
        <v>0</v>
      </c>
      <c r="I136" s="368">
        <f t="shared" si="21"/>
        <v>0</v>
      </c>
      <c r="J136" s="365">
        <f t="shared" si="22"/>
        <v>0</v>
      </c>
      <c r="K136" s="360">
        <f t="shared" si="23"/>
        <v>0</v>
      </c>
      <c r="L136" s="364">
        <f t="shared" si="24"/>
        <v>0</v>
      </c>
      <c r="M136" s="113">
        <f>L136*D136*'B) D RI'!S137</f>
        <v>0</v>
      </c>
    </row>
    <row r="137" spans="1:13" x14ac:dyDescent="0.25">
      <c r="A137" s="290">
        <f>'A) Base RI'!A138</f>
        <v>5628</v>
      </c>
      <c r="B137" s="32" t="str">
        <f>'A) Base RI'!B138</f>
        <v>Chigny</v>
      </c>
      <c r="C137" s="288">
        <f>'B) D RI'!U138</f>
        <v>25790.901129032256</v>
      </c>
      <c r="D137" s="32">
        <f>'B) D RI'!AA138</f>
        <v>405</v>
      </c>
      <c r="E137" s="199">
        <f t="shared" si="17"/>
        <v>63.681237355635197</v>
      </c>
      <c r="F137" s="357">
        <f t="shared" si="18"/>
        <v>1.3150382423241143</v>
      </c>
      <c r="G137" s="368">
        <f t="shared" si="19"/>
        <v>15.255849175981147</v>
      </c>
      <c r="H137" s="365">
        <f t="shared" si="20"/>
        <v>5.5707715400503375</v>
      </c>
      <c r="I137" s="368">
        <f t="shared" si="21"/>
        <v>0</v>
      </c>
      <c r="J137" s="365">
        <f t="shared" si="22"/>
        <v>0</v>
      </c>
      <c r="K137" s="360">
        <f t="shared" si="23"/>
        <v>0</v>
      </c>
      <c r="L137" s="364">
        <f t="shared" si="24"/>
        <v>3.6082469892012634</v>
      </c>
      <c r="M137" s="113">
        <f>L137*D137*'B) D RI'!S138</f>
        <v>90603.081898843724</v>
      </c>
    </row>
    <row r="138" spans="1:13" x14ac:dyDescent="0.25">
      <c r="A138" s="290">
        <f>'A) Base RI'!A139</f>
        <v>5629</v>
      </c>
      <c r="B138" s="32" t="str">
        <f>'A) Base RI'!B139</f>
        <v>Clarmont</v>
      </c>
      <c r="C138" s="288">
        <f>'B) D RI'!U139</f>
        <v>9948.0614965986406</v>
      </c>
      <c r="D138" s="32">
        <f>'B) D RI'!AA139</f>
        <v>211</v>
      </c>
      <c r="E138" s="199">
        <f t="shared" si="17"/>
        <v>47.147210884353747</v>
      </c>
      <c r="F138" s="357">
        <f t="shared" si="18"/>
        <v>0.97360522355425683</v>
      </c>
      <c r="G138" s="368">
        <f t="shared" si="19"/>
        <v>0</v>
      </c>
      <c r="H138" s="365">
        <f t="shared" si="20"/>
        <v>0</v>
      </c>
      <c r="I138" s="368">
        <f t="shared" si="21"/>
        <v>0</v>
      </c>
      <c r="J138" s="365">
        <f t="shared" si="22"/>
        <v>0</v>
      </c>
      <c r="K138" s="360">
        <f t="shared" si="23"/>
        <v>0</v>
      </c>
      <c r="L138" s="364">
        <f t="shared" si="24"/>
        <v>0</v>
      </c>
      <c r="M138" s="113">
        <f>L138*D138*'B) D RI'!S139</f>
        <v>0</v>
      </c>
    </row>
    <row r="139" spans="1:13" x14ac:dyDescent="0.25">
      <c r="A139" s="290">
        <f>'A) Base RI'!A140</f>
        <v>5631</v>
      </c>
      <c r="B139" s="32" t="str">
        <f>'A) Base RI'!B140</f>
        <v>Denens</v>
      </c>
      <c r="C139" s="288">
        <f>'B) D RI'!U140</f>
        <v>43290.229264705871</v>
      </c>
      <c r="D139" s="32">
        <f>'B) D RI'!AA140</f>
        <v>733</v>
      </c>
      <c r="E139" s="199">
        <f t="shared" si="17"/>
        <v>59.058975804510055</v>
      </c>
      <c r="F139" s="357">
        <f t="shared" si="18"/>
        <v>1.2195870394555497</v>
      </c>
      <c r="G139" s="368">
        <f t="shared" si="19"/>
        <v>10.633587624856006</v>
      </c>
      <c r="H139" s="365">
        <f t="shared" si="20"/>
        <v>0.94850998892519556</v>
      </c>
      <c r="I139" s="368">
        <f t="shared" si="21"/>
        <v>0</v>
      </c>
      <c r="J139" s="365">
        <f t="shared" si="22"/>
        <v>0</v>
      </c>
      <c r="K139" s="360">
        <f t="shared" si="23"/>
        <v>0</v>
      </c>
      <c r="L139" s="364">
        <f t="shared" si="24"/>
        <v>2.2215685238637208</v>
      </c>
      <c r="M139" s="113">
        <f>L139*D139*'B) D RI'!S140</f>
        <v>110731.8615034633</v>
      </c>
    </row>
    <row r="140" spans="1:13" x14ac:dyDescent="0.25">
      <c r="A140" s="290">
        <f>'A) Base RI'!A141</f>
        <v>5632</v>
      </c>
      <c r="B140" s="32" t="str">
        <f>'A) Base RI'!B141</f>
        <v>Denges</v>
      </c>
      <c r="C140" s="288">
        <f>'B) D RI'!U141</f>
        <v>80521.21435483871</v>
      </c>
      <c r="D140" s="32">
        <f>'B) D RI'!AA141</f>
        <v>1744</v>
      </c>
      <c r="E140" s="199">
        <f t="shared" si="17"/>
        <v>46.170421075022197</v>
      </c>
      <c r="F140" s="357">
        <f t="shared" si="18"/>
        <v>0.95343419661880424</v>
      </c>
      <c r="G140" s="368">
        <f t="shared" si="19"/>
        <v>0</v>
      </c>
      <c r="H140" s="365">
        <f t="shared" si="20"/>
        <v>0</v>
      </c>
      <c r="I140" s="368">
        <f t="shared" si="21"/>
        <v>0</v>
      </c>
      <c r="J140" s="365">
        <f t="shared" si="22"/>
        <v>0</v>
      </c>
      <c r="K140" s="360">
        <f t="shared" si="23"/>
        <v>0</v>
      </c>
      <c r="L140" s="364">
        <f t="shared" si="24"/>
        <v>0</v>
      </c>
      <c r="M140" s="113">
        <f>L140*D140*'B) D RI'!S141</f>
        <v>0</v>
      </c>
    </row>
    <row r="141" spans="1:13" x14ac:dyDescent="0.25">
      <c r="A141" s="290">
        <f>'A) Base RI'!A142</f>
        <v>5633</v>
      </c>
      <c r="B141" s="32" t="str">
        <f>'A) Base RI'!B142</f>
        <v>Echandens</v>
      </c>
      <c r="C141" s="288">
        <f>'B) D RI'!U142</f>
        <v>170287.16859504132</v>
      </c>
      <c r="D141" s="32">
        <f>'B) D RI'!AA142</f>
        <v>2775</v>
      </c>
      <c r="E141" s="199">
        <f t="shared" si="17"/>
        <v>61.364745439654534</v>
      </c>
      <c r="F141" s="357">
        <f t="shared" si="18"/>
        <v>1.2672019315982883</v>
      </c>
      <c r="G141" s="368">
        <f t="shared" si="19"/>
        <v>12.939357260000484</v>
      </c>
      <c r="H141" s="365">
        <f t="shared" si="20"/>
        <v>3.2542796240696745</v>
      </c>
      <c r="I141" s="368">
        <f t="shared" si="21"/>
        <v>0</v>
      </c>
      <c r="J141" s="365">
        <f t="shared" si="22"/>
        <v>0</v>
      </c>
      <c r="K141" s="360">
        <f t="shared" si="23"/>
        <v>0</v>
      </c>
      <c r="L141" s="364">
        <f t="shared" si="24"/>
        <v>2.9132994144070645</v>
      </c>
      <c r="M141" s="113">
        <f>L141*D141*'B) D RI'!S142</f>
        <v>489106.55543626606</v>
      </c>
    </row>
    <row r="142" spans="1:13" x14ac:dyDescent="0.25">
      <c r="A142" s="290">
        <f>'A) Base RI'!A143</f>
        <v>5634</v>
      </c>
      <c r="B142" s="32" t="str">
        <f>'A) Base RI'!B143</f>
        <v>Echichens</v>
      </c>
      <c r="C142" s="288">
        <f>'B) D RI'!U143</f>
        <v>152568.89227272727</v>
      </c>
      <c r="D142" s="32">
        <f>'B) D RI'!AA143</f>
        <v>3142</v>
      </c>
      <c r="E142" s="199">
        <f t="shared" si="17"/>
        <v>48.557890602395695</v>
      </c>
      <c r="F142" s="357">
        <f t="shared" si="18"/>
        <v>1.0027362180815169</v>
      </c>
      <c r="G142" s="368">
        <f t="shared" si="19"/>
        <v>0.13250242274164492</v>
      </c>
      <c r="H142" s="365">
        <f t="shared" si="20"/>
        <v>0</v>
      </c>
      <c r="I142" s="368">
        <f t="shared" si="21"/>
        <v>0</v>
      </c>
      <c r="J142" s="365">
        <f t="shared" si="22"/>
        <v>0</v>
      </c>
      <c r="K142" s="360">
        <f t="shared" si="23"/>
        <v>0</v>
      </c>
      <c r="L142" s="364">
        <f t="shared" si="24"/>
        <v>2.6500484548328984E-2</v>
      </c>
      <c r="M142" s="113">
        <f>L142*D142*'B) D RI'!S143</f>
        <v>5495.4584817560781</v>
      </c>
    </row>
    <row r="143" spans="1:13" x14ac:dyDescent="0.25">
      <c r="A143" s="290">
        <f>'A) Base RI'!A144</f>
        <v>5635</v>
      </c>
      <c r="B143" s="32" t="str">
        <f>'A) Base RI'!B144</f>
        <v>Ecublens</v>
      </c>
      <c r="C143" s="288">
        <f>'B) D RI'!U144</f>
        <v>872367.07997333352</v>
      </c>
      <c r="D143" s="32">
        <f>'B) D RI'!AA144</f>
        <v>13214</v>
      </c>
      <c r="E143" s="199">
        <f t="shared" si="17"/>
        <v>66.018395638968784</v>
      </c>
      <c r="F143" s="357">
        <f t="shared" si="18"/>
        <v>1.3633013202505715</v>
      </c>
      <c r="G143" s="368">
        <f t="shared" si="19"/>
        <v>17.593007459314734</v>
      </c>
      <c r="H143" s="365">
        <f t="shared" si="20"/>
        <v>7.9079298233839239</v>
      </c>
      <c r="I143" s="368">
        <f t="shared" si="21"/>
        <v>0</v>
      </c>
      <c r="J143" s="365">
        <f t="shared" si="22"/>
        <v>0</v>
      </c>
      <c r="K143" s="360">
        <f t="shared" si="23"/>
        <v>0</v>
      </c>
      <c r="L143" s="364">
        <f t="shared" si="24"/>
        <v>4.3093944742013388</v>
      </c>
      <c r="M143" s="113">
        <f>L143*D143*'B) D RI'!S144</f>
        <v>3559021.1613810305</v>
      </c>
    </row>
    <row r="144" spans="1:13" x14ac:dyDescent="0.25">
      <c r="A144" s="290">
        <f>'A) Base RI'!A145</f>
        <v>5636</v>
      </c>
      <c r="B144" s="32" t="str">
        <f>'A) Base RI'!B145</f>
        <v>Etoy</v>
      </c>
      <c r="C144" s="288">
        <f>'B) D RI'!U145</f>
        <v>187063.54000000004</v>
      </c>
      <c r="D144" s="32">
        <f>'B) D RI'!AA145</f>
        <v>2918</v>
      </c>
      <c r="E144" s="199">
        <f t="shared" si="17"/>
        <v>64.10676490747089</v>
      </c>
      <c r="F144" s="357">
        <f t="shared" si="18"/>
        <v>1.3238255245294115</v>
      </c>
      <c r="G144" s="368">
        <f t="shared" si="19"/>
        <v>15.68137672781684</v>
      </c>
      <c r="H144" s="365">
        <f t="shared" si="20"/>
        <v>5.9962990918860299</v>
      </c>
      <c r="I144" s="368">
        <f t="shared" si="21"/>
        <v>0</v>
      </c>
      <c r="J144" s="365">
        <f t="shared" si="22"/>
        <v>0</v>
      </c>
      <c r="K144" s="360">
        <f t="shared" si="23"/>
        <v>0</v>
      </c>
      <c r="L144" s="364">
        <f t="shared" si="24"/>
        <v>3.7359052547519709</v>
      </c>
      <c r="M144" s="113">
        <f>L144*D144*'B) D RI'!S145</f>
        <v>654082.29200197512</v>
      </c>
    </row>
    <row r="145" spans="1:13" x14ac:dyDescent="0.25">
      <c r="A145" s="290">
        <f>'A) Base RI'!A146</f>
        <v>5637</v>
      </c>
      <c r="B145" s="32" t="str">
        <f>'A) Base RI'!B146</f>
        <v>Lavigny</v>
      </c>
      <c r="C145" s="288">
        <f>'B) D RI'!U146</f>
        <v>37900.997397260275</v>
      </c>
      <c r="D145" s="32">
        <f>'B) D RI'!AA146</f>
        <v>1026</v>
      </c>
      <c r="E145" s="199">
        <f t="shared" si="17"/>
        <v>36.940543272183504</v>
      </c>
      <c r="F145" s="357">
        <f t="shared" si="18"/>
        <v>0.76283422107298859</v>
      </c>
      <c r="G145" s="368">
        <f t="shared" si="19"/>
        <v>0</v>
      </c>
      <c r="H145" s="365">
        <f t="shared" si="20"/>
        <v>0</v>
      </c>
      <c r="I145" s="368">
        <f t="shared" si="21"/>
        <v>0</v>
      </c>
      <c r="J145" s="365">
        <f t="shared" si="22"/>
        <v>0</v>
      </c>
      <c r="K145" s="360">
        <f t="shared" si="23"/>
        <v>0</v>
      </c>
      <c r="L145" s="364">
        <f t="shared" si="24"/>
        <v>0</v>
      </c>
      <c r="M145" s="113">
        <f>L145*D145*'B) D RI'!S146</f>
        <v>0</v>
      </c>
    </row>
    <row r="146" spans="1:13" x14ac:dyDescent="0.25">
      <c r="A146" s="290">
        <f>'A) Base RI'!A147</f>
        <v>5638</v>
      </c>
      <c r="B146" s="32" t="str">
        <f>'A) Base RI'!B147</f>
        <v>Lonay</v>
      </c>
      <c r="C146" s="288">
        <f>'B) D RI'!U147</f>
        <v>174154.93872727267</v>
      </c>
      <c r="D146" s="32">
        <f>'B) D RI'!AA147</f>
        <v>2751</v>
      </c>
      <c r="E146" s="199">
        <f t="shared" si="17"/>
        <v>63.306048246918458</v>
      </c>
      <c r="F146" s="357">
        <f t="shared" si="18"/>
        <v>1.3072904653248918</v>
      </c>
      <c r="G146" s="368">
        <f t="shared" si="19"/>
        <v>14.880660067264408</v>
      </c>
      <c r="H146" s="365">
        <f t="shared" si="20"/>
        <v>5.1955824313335981</v>
      </c>
      <c r="I146" s="368">
        <f t="shared" si="21"/>
        <v>0</v>
      </c>
      <c r="J146" s="365">
        <f t="shared" si="22"/>
        <v>0</v>
      </c>
      <c r="K146" s="360">
        <f t="shared" si="23"/>
        <v>0</v>
      </c>
      <c r="L146" s="364">
        <f t="shared" si="24"/>
        <v>3.4956902565862413</v>
      </c>
      <c r="M146" s="113">
        <f>L146*D146*'B) D RI'!S147</f>
        <v>528915.41427278123</v>
      </c>
    </row>
    <row r="147" spans="1:13" x14ac:dyDescent="0.25">
      <c r="A147" s="290">
        <f>'A) Base RI'!A148</f>
        <v>5639</v>
      </c>
      <c r="B147" s="32" t="str">
        <f>'A) Base RI'!B148</f>
        <v>Lully</v>
      </c>
      <c r="C147" s="288">
        <f>'B) D RI'!U148</f>
        <v>53711.269344262299</v>
      </c>
      <c r="D147" s="32">
        <f>'B) D RI'!AA148</f>
        <v>828</v>
      </c>
      <c r="E147" s="199">
        <f t="shared" si="17"/>
        <v>64.868682782925475</v>
      </c>
      <c r="F147" s="357">
        <f t="shared" si="18"/>
        <v>1.3395593762153895</v>
      </c>
      <c r="G147" s="368">
        <f t="shared" si="19"/>
        <v>16.443294603271426</v>
      </c>
      <c r="H147" s="365">
        <f t="shared" si="20"/>
        <v>6.7582169673406156</v>
      </c>
      <c r="I147" s="368">
        <f t="shared" si="21"/>
        <v>0</v>
      </c>
      <c r="J147" s="365">
        <f t="shared" si="22"/>
        <v>0</v>
      </c>
      <c r="K147" s="360">
        <f t="shared" si="23"/>
        <v>0</v>
      </c>
      <c r="L147" s="364">
        <f t="shared" si="24"/>
        <v>3.9644806173883467</v>
      </c>
      <c r="M147" s="113">
        <f>L147*D147*'B) D RI'!S148</f>
        <v>200237.98702305063</v>
      </c>
    </row>
    <row r="148" spans="1:13" x14ac:dyDescent="0.25">
      <c r="A148" s="290">
        <f>'A) Base RI'!A149</f>
        <v>5640</v>
      </c>
      <c r="B148" s="32" t="str">
        <f>'A) Base RI'!B149</f>
        <v>Lussy-sur-Morges</v>
      </c>
      <c r="C148" s="288">
        <f>'B) D RI'!U149</f>
        <v>70527.814108527149</v>
      </c>
      <c r="D148" s="32">
        <f>'B) D RI'!AA149</f>
        <v>740</v>
      </c>
      <c r="E148" s="199">
        <f t="shared" si="17"/>
        <v>95.307856903415072</v>
      </c>
      <c r="F148" s="357">
        <f t="shared" si="18"/>
        <v>1.9681382119195632</v>
      </c>
      <c r="G148" s="368">
        <f t="shared" si="19"/>
        <v>46.882468723761022</v>
      </c>
      <c r="H148" s="365">
        <f t="shared" si="20"/>
        <v>37.197391087830212</v>
      </c>
      <c r="I148" s="368">
        <f t="shared" si="21"/>
        <v>22.669774633933997</v>
      </c>
      <c r="J148" s="365">
        <f t="shared" si="22"/>
        <v>0</v>
      </c>
      <c r="K148" s="360">
        <f t="shared" si="23"/>
        <v>0</v>
      </c>
      <c r="L148" s="364">
        <f t="shared" si="24"/>
        <v>15.363210316928626</v>
      </c>
      <c r="M148" s="113">
        <f>L148*D148*'B) D RI'!S149</f>
        <v>733286.0284270033</v>
      </c>
    </row>
    <row r="149" spans="1:13" x14ac:dyDescent="0.25">
      <c r="A149" s="290">
        <f>'A) Base RI'!A150</f>
        <v>5642</v>
      </c>
      <c r="B149" s="32" t="str">
        <f>'A) Base RI'!B150</f>
        <v>Morges</v>
      </c>
      <c r="C149" s="288">
        <f>'B) D RI'!U150</f>
        <v>999726.82119402988</v>
      </c>
      <c r="D149" s="32">
        <f>'B) D RI'!AA150</f>
        <v>16885</v>
      </c>
      <c r="E149" s="199">
        <f t="shared" si="17"/>
        <v>59.207984672432922</v>
      </c>
      <c r="F149" s="357">
        <f t="shared" si="18"/>
        <v>1.2226641209932352</v>
      </c>
      <c r="G149" s="368">
        <f t="shared" si="19"/>
        <v>10.782596492778872</v>
      </c>
      <c r="H149" s="365">
        <f t="shared" si="20"/>
        <v>1.0975188568480618</v>
      </c>
      <c r="I149" s="368">
        <f t="shared" si="21"/>
        <v>0</v>
      </c>
      <c r="J149" s="365">
        <f t="shared" si="22"/>
        <v>0</v>
      </c>
      <c r="K149" s="360">
        <f t="shared" si="23"/>
        <v>0</v>
      </c>
      <c r="L149" s="364">
        <f t="shared" si="24"/>
        <v>2.2662711842405807</v>
      </c>
      <c r="M149" s="113">
        <f>L149*D149*'B) D RI'!S150</f>
        <v>2563821.2593754479</v>
      </c>
    </row>
    <row r="150" spans="1:13" x14ac:dyDescent="0.25">
      <c r="A150" s="290">
        <f>'A) Base RI'!A151</f>
        <v>5643</v>
      </c>
      <c r="B150" s="32" t="str">
        <f>'A) Base RI'!B151</f>
        <v>Préverenges</v>
      </c>
      <c r="C150" s="288">
        <f>'B) D RI'!U151</f>
        <v>257752.82112000001</v>
      </c>
      <c r="D150" s="32">
        <f>'B) D RI'!AA151</f>
        <v>5208</v>
      </c>
      <c r="E150" s="199">
        <f t="shared" si="17"/>
        <v>49.491709124423963</v>
      </c>
      <c r="F150" s="357">
        <f t="shared" si="18"/>
        <v>1.0220198739721806</v>
      </c>
      <c r="G150" s="368">
        <f t="shared" si="19"/>
        <v>1.0663209447699131</v>
      </c>
      <c r="H150" s="365">
        <f t="shared" si="20"/>
        <v>0</v>
      </c>
      <c r="I150" s="368">
        <f t="shared" si="21"/>
        <v>0</v>
      </c>
      <c r="J150" s="365">
        <f t="shared" si="22"/>
        <v>0</v>
      </c>
      <c r="K150" s="360">
        <f t="shared" si="23"/>
        <v>0</v>
      </c>
      <c r="L150" s="364">
        <f t="shared" si="24"/>
        <v>0.21326418895398264</v>
      </c>
      <c r="M150" s="113">
        <f>L150*D150*'B) D RI'!S151</f>
        <v>69417.49350452135</v>
      </c>
    </row>
    <row r="151" spans="1:13" x14ac:dyDescent="0.25">
      <c r="A151" s="290">
        <f>'A) Base RI'!A152</f>
        <v>5644</v>
      </c>
      <c r="B151" s="32" t="str">
        <f>'A) Base RI'!B152</f>
        <v>Reverolle</v>
      </c>
      <c r="C151" s="288">
        <f>'B) D RI'!U152</f>
        <v>16363.457972972968</v>
      </c>
      <c r="D151" s="32">
        <f>'B) D RI'!AA152</f>
        <v>403</v>
      </c>
      <c r="E151" s="199">
        <f t="shared" si="17"/>
        <v>40.604114076856</v>
      </c>
      <c r="F151" s="357">
        <f t="shared" si="18"/>
        <v>0.83848814853519005</v>
      </c>
      <c r="G151" s="368">
        <f t="shared" si="19"/>
        <v>0</v>
      </c>
      <c r="H151" s="365">
        <f t="shared" si="20"/>
        <v>0</v>
      </c>
      <c r="I151" s="368">
        <f t="shared" si="21"/>
        <v>0</v>
      </c>
      <c r="J151" s="365">
        <f t="shared" si="22"/>
        <v>0</v>
      </c>
      <c r="K151" s="360">
        <f t="shared" si="23"/>
        <v>0</v>
      </c>
      <c r="L151" s="364">
        <f t="shared" si="24"/>
        <v>0</v>
      </c>
      <c r="M151" s="113">
        <f>L151*D151*'B) D RI'!S152</f>
        <v>0</v>
      </c>
    </row>
    <row r="152" spans="1:13" x14ac:dyDescent="0.25">
      <c r="A152" s="290">
        <f>'A) Base RI'!A153</f>
        <v>5645</v>
      </c>
      <c r="B152" s="32" t="str">
        <f>'A) Base RI'!B153</f>
        <v>Romanel-sur-Morges</v>
      </c>
      <c r="C152" s="288">
        <f>'B) D RI'!U153</f>
        <v>26586.021785714285</v>
      </c>
      <c r="D152" s="32">
        <f>'B) D RI'!AA153</f>
        <v>466</v>
      </c>
      <c r="E152" s="199">
        <f t="shared" si="17"/>
        <v>57.051548896382585</v>
      </c>
      <c r="F152" s="357">
        <f t="shared" si="18"/>
        <v>1.1781330215614632</v>
      </c>
      <c r="G152" s="368">
        <f t="shared" si="19"/>
        <v>8.6261607167285348</v>
      </c>
      <c r="H152" s="365">
        <f t="shared" si="20"/>
        <v>0</v>
      </c>
      <c r="I152" s="368">
        <f t="shared" si="21"/>
        <v>0</v>
      </c>
      <c r="J152" s="365">
        <f t="shared" si="22"/>
        <v>0</v>
      </c>
      <c r="K152" s="360">
        <f t="shared" si="23"/>
        <v>0</v>
      </c>
      <c r="L152" s="364">
        <f t="shared" si="24"/>
        <v>1.725232143345707</v>
      </c>
      <c r="M152" s="113">
        <f>L152*D152*'B) D RI'!S153</f>
        <v>45021.658012749569</v>
      </c>
    </row>
    <row r="153" spans="1:13" x14ac:dyDescent="0.25">
      <c r="A153" s="290">
        <f>'A) Base RI'!A154</f>
        <v>5646</v>
      </c>
      <c r="B153" s="32" t="str">
        <f>'A) Base RI'!B154</f>
        <v>Saint-Prex</v>
      </c>
      <c r="C153" s="288">
        <f>'B) D RI'!U154</f>
        <v>527982.74983050849</v>
      </c>
      <c r="D153" s="32">
        <f>'B) D RI'!AA154</f>
        <v>5866</v>
      </c>
      <c r="E153" s="199">
        <f t="shared" si="17"/>
        <v>90.007287731078847</v>
      </c>
      <c r="F153" s="357">
        <f t="shared" si="18"/>
        <v>1.8586797362812975</v>
      </c>
      <c r="G153" s="368">
        <f t="shared" si="19"/>
        <v>41.581899551424797</v>
      </c>
      <c r="H153" s="365">
        <f t="shared" si="20"/>
        <v>31.896821915493987</v>
      </c>
      <c r="I153" s="368">
        <f t="shared" si="21"/>
        <v>17.369205461597772</v>
      </c>
      <c r="J153" s="365">
        <f t="shared" si="22"/>
        <v>0</v>
      </c>
      <c r="K153" s="360">
        <f t="shared" si="23"/>
        <v>0</v>
      </c>
      <c r="L153" s="364">
        <f t="shared" si="24"/>
        <v>13.242982647994136</v>
      </c>
      <c r="M153" s="113">
        <f>L153*D153*'B) D RI'!S154</f>
        <v>4583316.8365748823</v>
      </c>
    </row>
    <row r="154" spans="1:13" x14ac:dyDescent="0.25">
      <c r="A154" s="290">
        <f>'A) Base RI'!A155</f>
        <v>5648</v>
      </c>
      <c r="B154" s="32" t="str">
        <f>'A) Base RI'!B155</f>
        <v>Saint-Sulpice</v>
      </c>
      <c r="C154" s="288">
        <f>'B) D RI'!U155</f>
        <v>394426.68886363629</v>
      </c>
      <c r="D154" s="32">
        <f>'B) D RI'!AA155</f>
        <v>4932</v>
      </c>
      <c r="E154" s="199">
        <f t="shared" si="17"/>
        <v>79.972970166998437</v>
      </c>
      <c r="F154" s="357">
        <f t="shared" si="18"/>
        <v>1.6514678182920404</v>
      </c>
      <c r="G154" s="368">
        <f t="shared" si="19"/>
        <v>31.547581987344387</v>
      </c>
      <c r="H154" s="365">
        <f t="shared" si="20"/>
        <v>21.862504351413577</v>
      </c>
      <c r="I154" s="368">
        <f t="shared" si="21"/>
        <v>7.3348878975173619</v>
      </c>
      <c r="J154" s="365">
        <f t="shared" si="22"/>
        <v>0</v>
      </c>
      <c r="K154" s="360">
        <f t="shared" si="23"/>
        <v>0</v>
      </c>
      <c r="L154" s="364">
        <f t="shared" si="24"/>
        <v>9.2292556223619719</v>
      </c>
      <c r="M154" s="113">
        <f>L154*D154*'B) D RI'!S155</f>
        <v>2503527.8801219086</v>
      </c>
    </row>
    <row r="155" spans="1:13" x14ac:dyDescent="0.25">
      <c r="A155" s="290">
        <f>'A) Base RI'!A156</f>
        <v>5649</v>
      </c>
      <c r="B155" s="32" t="str">
        <f>'A) Base RI'!B156</f>
        <v>Tolochenaz</v>
      </c>
      <c r="C155" s="288">
        <f>'B) D RI'!U156</f>
        <v>155778.42171874997</v>
      </c>
      <c r="D155" s="32">
        <f>'B) D RI'!AA156</f>
        <v>1886</v>
      </c>
      <c r="E155" s="199">
        <f t="shared" si="17"/>
        <v>82.597254357767753</v>
      </c>
      <c r="F155" s="357">
        <f t="shared" si="18"/>
        <v>1.7056601394982938</v>
      </c>
      <c r="G155" s="368">
        <f t="shared" si="19"/>
        <v>34.171866178113703</v>
      </c>
      <c r="H155" s="365">
        <f t="shared" si="20"/>
        <v>24.486788542182893</v>
      </c>
      <c r="I155" s="368">
        <f t="shared" si="21"/>
        <v>9.9591720882866781</v>
      </c>
      <c r="J155" s="365">
        <f t="shared" si="22"/>
        <v>0</v>
      </c>
      <c r="K155" s="360">
        <f t="shared" si="23"/>
        <v>0</v>
      </c>
      <c r="L155" s="364">
        <f t="shared" si="24"/>
        <v>10.278969298669697</v>
      </c>
      <c r="M155" s="113">
        <f>L155*D155*'B) D RI'!S156</f>
        <v>1240712.7102266271</v>
      </c>
    </row>
    <row r="156" spans="1:13" x14ac:dyDescent="0.25">
      <c r="A156" s="290">
        <f>'A) Base RI'!A157</f>
        <v>5650</v>
      </c>
      <c r="B156" s="32" t="str">
        <f>'A) Base RI'!B157</f>
        <v>Vaux-sur-Morges</v>
      </c>
      <c r="C156" s="288">
        <f>'B) D RI'!U157</f>
        <v>83125.71642857141</v>
      </c>
      <c r="D156" s="32">
        <f>'B) D RI'!AA157</f>
        <v>196</v>
      </c>
      <c r="E156" s="199">
        <f t="shared" si="17"/>
        <v>424.11079810495619</v>
      </c>
      <c r="F156" s="357">
        <f t="shared" si="18"/>
        <v>8.7580257804344566</v>
      </c>
      <c r="G156" s="368">
        <f t="shared" si="19"/>
        <v>375.68540992530211</v>
      </c>
      <c r="H156" s="365">
        <f t="shared" si="20"/>
        <v>366.00033228937133</v>
      </c>
      <c r="I156" s="368">
        <f t="shared" si="21"/>
        <v>351.47271583547513</v>
      </c>
      <c r="J156" s="365">
        <f t="shared" si="22"/>
        <v>327.26002174564809</v>
      </c>
      <c r="K156" s="360">
        <f t="shared" si="23"/>
        <v>278.83463356599407</v>
      </c>
      <c r="L156" s="364">
        <f t="shared" si="24"/>
        <v>207.49385232870929</v>
      </c>
      <c r="M156" s="113">
        <f>L156*D156*'B) D RI'!S157</f>
        <v>2277452.5231599133</v>
      </c>
    </row>
    <row r="157" spans="1:13" x14ac:dyDescent="0.25">
      <c r="A157" s="290">
        <f>'A) Base RI'!A158</f>
        <v>5651</v>
      </c>
      <c r="B157" s="32" t="str">
        <f>'A) Base RI'!B158</f>
        <v>Villars-Sainte-Croix</v>
      </c>
      <c r="C157" s="288">
        <f>'B) D RI'!U158</f>
        <v>57697.031735537188</v>
      </c>
      <c r="D157" s="32">
        <f>'B) D RI'!AA158</f>
        <v>958</v>
      </c>
      <c r="E157" s="199">
        <f t="shared" si="17"/>
        <v>60.226546696802913</v>
      </c>
      <c r="F157" s="357">
        <f t="shared" si="18"/>
        <v>1.2436977577416122</v>
      </c>
      <c r="G157" s="368">
        <f t="shared" si="19"/>
        <v>11.801158517148863</v>
      </c>
      <c r="H157" s="365">
        <f t="shared" si="20"/>
        <v>2.1160808812180534</v>
      </c>
      <c r="I157" s="368">
        <f t="shared" si="21"/>
        <v>0</v>
      </c>
      <c r="J157" s="365">
        <f t="shared" si="22"/>
        <v>0</v>
      </c>
      <c r="K157" s="360">
        <f t="shared" si="23"/>
        <v>0</v>
      </c>
      <c r="L157" s="364">
        <f t="shared" si="24"/>
        <v>2.5718397915515778</v>
      </c>
      <c r="M157" s="113">
        <f>L157*D157*'B) D RI'!S158</f>
        <v>149061.26247853792</v>
      </c>
    </row>
    <row r="158" spans="1:13" x14ac:dyDescent="0.25">
      <c r="A158" s="290">
        <f>'A) Base RI'!A159</f>
        <v>5652</v>
      </c>
      <c r="B158" s="32" t="str">
        <f>'A) Base RI'!B159</f>
        <v>Villars-sous-Yens</v>
      </c>
      <c r="C158" s="288">
        <f>'B) D RI'!U159</f>
        <v>25902.630833333329</v>
      </c>
      <c r="D158" s="32">
        <f>'B) D RI'!AA159</f>
        <v>626</v>
      </c>
      <c r="E158" s="199">
        <f t="shared" si="17"/>
        <v>41.37800452609158</v>
      </c>
      <c r="F158" s="357">
        <f t="shared" si="18"/>
        <v>0.85446923775980321</v>
      </c>
      <c r="G158" s="368">
        <f t="shared" si="19"/>
        <v>0</v>
      </c>
      <c r="H158" s="365">
        <f t="shared" si="20"/>
        <v>0</v>
      </c>
      <c r="I158" s="368">
        <f t="shared" si="21"/>
        <v>0</v>
      </c>
      <c r="J158" s="365">
        <f t="shared" si="22"/>
        <v>0</v>
      </c>
      <c r="K158" s="360">
        <f t="shared" si="23"/>
        <v>0</v>
      </c>
      <c r="L158" s="364">
        <f t="shared" si="24"/>
        <v>0</v>
      </c>
      <c r="M158" s="113">
        <f>L158*D158*'B) D RI'!S159</f>
        <v>0</v>
      </c>
    </row>
    <row r="159" spans="1:13" x14ac:dyDescent="0.25">
      <c r="A159" s="290">
        <f>'A) Base RI'!A160</f>
        <v>5653</v>
      </c>
      <c r="B159" s="32" t="str">
        <f>'A) Base RI'!B160</f>
        <v>Vufflens-le-Château</v>
      </c>
      <c r="C159" s="288">
        <f>'B) D RI'!U160</f>
        <v>67496.149401709394</v>
      </c>
      <c r="D159" s="32">
        <f>'B) D RI'!AA160</f>
        <v>894</v>
      </c>
      <c r="E159" s="199">
        <f t="shared" si="17"/>
        <v>75.49904854777337</v>
      </c>
      <c r="F159" s="357">
        <f t="shared" si="18"/>
        <v>1.5590798832149442</v>
      </c>
      <c r="G159" s="368">
        <f t="shared" si="19"/>
        <v>27.07366036811932</v>
      </c>
      <c r="H159" s="365">
        <f t="shared" si="20"/>
        <v>17.38858273218851</v>
      </c>
      <c r="I159" s="368">
        <f t="shared" si="21"/>
        <v>2.8609662782922953</v>
      </c>
      <c r="J159" s="365">
        <f t="shared" si="22"/>
        <v>0</v>
      </c>
      <c r="K159" s="360">
        <f t="shared" si="23"/>
        <v>0</v>
      </c>
      <c r="L159" s="364">
        <f t="shared" si="24"/>
        <v>7.439686974671945</v>
      </c>
      <c r="M159" s="113">
        <f>L159*D159*'B) D RI'!S160</f>
        <v>389088.18908836803</v>
      </c>
    </row>
    <row r="160" spans="1:13" x14ac:dyDescent="0.25">
      <c r="A160" s="290">
        <f>'A) Base RI'!A161</f>
        <v>5654</v>
      </c>
      <c r="B160" s="32" t="str">
        <f>'A) Base RI'!B161</f>
        <v>Vullierens</v>
      </c>
      <c r="C160" s="288">
        <f>'B) D RI'!U161</f>
        <v>20665.692500000001</v>
      </c>
      <c r="D160" s="32">
        <f>'B) D RI'!AA161</f>
        <v>560</v>
      </c>
      <c r="E160" s="199">
        <f t="shared" si="17"/>
        <v>36.903022321428573</v>
      </c>
      <c r="F160" s="357">
        <f t="shared" si="18"/>
        <v>0.76205940124881422</v>
      </c>
      <c r="G160" s="368">
        <f t="shared" si="19"/>
        <v>0</v>
      </c>
      <c r="H160" s="365">
        <f t="shared" si="20"/>
        <v>0</v>
      </c>
      <c r="I160" s="368">
        <f t="shared" si="21"/>
        <v>0</v>
      </c>
      <c r="J160" s="365">
        <f t="shared" si="22"/>
        <v>0</v>
      </c>
      <c r="K160" s="360">
        <f t="shared" si="23"/>
        <v>0</v>
      </c>
      <c r="L160" s="364">
        <f t="shared" si="24"/>
        <v>0</v>
      </c>
      <c r="M160" s="113">
        <f>L160*D160*'B) D RI'!S161</f>
        <v>0</v>
      </c>
    </row>
    <row r="161" spans="1:13" x14ac:dyDescent="0.25">
      <c r="A161" s="290">
        <f>'A) Base RI'!A162</f>
        <v>5655</v>
      </c>
      <c r="B161" s="32" t="str">
        <f>'A) Base RI'!B162</f>
        <v>Yens</v>
      </c>
      <c r="C161" s="288">
        <f>'B) D RI'!U162</f>
        <v>73454.856083916078</v>
      </c>
      <c r="D161" s="32">
        <f>'B) D RI'!AA162</f>
        <v>1499</v>
      </c>
      <c r="E161" s="199">
        <f t="shared" si="17"/>
        <v>49.0025724375691</v>
      </c>
      <c r="F161" s="357">
        <f t="shared" si="18"/>
        <v>1.0119190424612343</v>
      </c>
      <c r="G161" s="368">
        <f t="shared" si="19"/>
        <v>0.57718425791505013</v>
      </c>
      <c r="H161" s="365">
        <f t="shared" si="20"/>
        <v>0</v>
      </c>
      <c r="I161" s="368">
        <f t="shared" si="21"/>
        <v>0</v>
      </c>
      <c r="J161" s="365">
        <f t="shared" si="22"/>
        <v>0</v>
      </c>
      <c r="K161" s="360">
        <f t="shared" si="23"/>
        <v>0</v>
      </c>
      <c r="L161" s="364">
        <f t="shared" si="24"/>
        <v>0.11543685158301004</v>
      </c>
      <c r="M161" s="113">
        <f>L161*D161*'B) D RI'!S162</f>
        <v>12372.348597389642</v>
      </c>
    </row>
    <row r="162" spans="1:13" x14ac:dyDescent="0.25">
      <c r="A162" s="290">
        <f>'A) Base RI'!A163</f>
        <v>5661</v>
      </c>
      <c r="B162" s="32" t="str">
        <f>'A) Base RI'!B163</f>
        <v>Boulens</v>
      </c>
      <c r="C162" s="288">
        <f>'B) D RI'!U163</f>
        <v>11226.588951048951</v>
      </c>
      <c r="D162" s="32">
        <f>'B) D RI'!AA163</f>
        <v>371</v>
      </c>
      <c r="E162" s="199">
        <f t="shared" si="17"/>
        <v>30.26034757695135</v>
      </c>
      <c r="F162" s="357">
        <f t="shared" si="18"/>
        <v>0.62488600947684814</v>
      </c>
      <c r="G162" s="368">
        <f t="shared" si="19"/>
        <v>0</v>
      </c>
      <c r="H162" s="365">
        <f t="shared" si="20"/>
        <v>0</v>
      </c>
      <c r="I162" s="368">
        <f t="shared" si="21"/>
        <v>0</v>
      </c>
      <c r="J162" s="365">
        <f t="shared" si="22"/>
        <v>0</v>
      </c>
      <c r="K162" s="360">
        <f t="shared" si="23"/>
        <v>0</v>
      </c>
      <c r="L162" s="364">
        <f t="shared" si="24"/>
        <v>0</v>
      </c>
      <c r="M162" s="113">
        <f>L162*D162*'B) D RI'!S163</f>
        <v>0</v>
      </c>
    </row>
    <row r="163" spans="1:13" x14ac:dyDescent="0.25">
      <c r="A163" s="290">
        <f>'A) Base RI'!A164</f>
        <v>5663</v>
      </c>
      <c r="B163" s="32" t="str">
        <f>'A) Base RI'!B164</f>
        <v>Bussy-sur-Moudon</v>
      </c>
      <c r="C163" s="288">
        <f>'B) D RI'!U164</f>
        <v>5263.6754140127387</v>
      </c>
      <c r="D163" s="32">
        <f>'B) D RI'!AA164</f>
        <v>236</v>
      </c>
      <c r="E163" s="199">
        <f t="shared" si="17"/>
        <v>22.303709381409909</v>
      </c>
      <c r="F163" s="357">
        <f t="shared" si="18"/>
        <v>0.46057884551518835</v>
      </c>
      <c r="G163" s="368">
        <f t="shared" si="19"/>
        <v>0</v>
      </c>
      <c r="H163" s="365">
        <f t="shared" si="20"/>
        <v>0</v>
      </c>
      <c r="I163" s="368">
        <f t="shared" si="21"/>
        <v>0</v>
      </c>
      <c r="J163" s="365">
        <f t="shared" si="22"/>
        <v>0</v>
      </c>
      <c r="K163" s="360">
        <f t="shared" si="23"/>
        <v>0</v>
      </c>
      <c r="L163" s="364">
        <f t="shared" si="24"/>
        <v>0</v>
      </c>
      <c r="M163" s="113">
        <f>L163*D163*'B) D RI'!S164</f>
        <v>0</v>
      </c>
    </row>
    <row r="164" spans="1:13" x14ac:dyDescent="0.25">
      <c r="A164" s="290">
        <f>'A) Base RI'!A165</f>
        <v>5665</v>
      </c>
      <c r="B164" s="32" t="str">
        <f>'A) Base RI'!B165</f>
        <v>Chavannes-sur-Moudon</v>
      </c>
      <c r="C164" s="288">
        <f>'B) D RI'!U165</f>
        <v>4920.86942857143</v>
      </c>
      <c r="D164" s="32">
        <f>'B) D RI'!AA165</f>
        <v>222</v>
      </c>
      <c r="E164" s="199">
        <f t="shared" si="17"/>
        <v>22.166078507078513</v>
      </c>
      <c r="F164" s="357">
        <f t="shared" si="18"/>
        <v>0.45773672324203696</v>
      </c>
      <c r="G164" s="368">
        <f t="shared" si="19"/>
        <v>0</v>
      </c>
      <c r="H164" s="365">
        <f t="shared" si="20"/>
        <v>0</v>
      </c>
      <c r="I164" s="368">
        <f t="shared" si="21"/>
        <v>0</v>
      </c>
      <c r="J164" s="365">
        <f t="shared" si="22"/>
        <v>0</v>
      </c>
      <c r="K164" s="360">
        <f t="shared" si="23"/>
        <v>0</v>
      </c>
      <c r="L164" s="364">
        <f t="shared" si="24"/>
        <v>0</v>
      </c>
      <c r="M164" s="113">
        <f>L164*D164*'B) D RI'!S165</f>
        <v>0</v>
      </c>
    </row>
    <row r="165" spans="1:13" x14ac:dyDescent="0.25">
      <c r="A165" s="290">
        <f>'A) Base RI'!A166</f>
        <v>5669</v>
      </c>
      <c r="B165" s="32" t="str">
        <f>'A) Base RI'!B166</f>
        <v>Curtilles</v>
      </c>
      <c r="C165" s="288">
        <f>'B) D RI'!U166</f>
        <v>9338.3773972602739</v>
      </c>
      <c r="D165" s="32">
        <f>'B) D RI'!AA166</f>
        <v>296</v>
      </c>
      <c r="E165" s="199">
        <f t="shared" si="17"/>
        <v>31.548572288041466</v>
      </c>
      <c r="F165" s="357">
        <f t="shared" si="18"/>
        <v>0.65148826832319773</v>
      </c>
      <c r="G165" s="368">
        <f t="shared" si="19"/>
        <v>0</v>
      </c>
      <c r="H165" s="365">
        <f t="shared" si="20"/>
        <v>0</v>
      </c>
      <c r="I165" s="368">
        <f t="shared" si="21"/>
        <v>0</v>
      </c>
      <c r="J165" s="365">
        <f t="shared" si="22"/>
        <v>0</v>
      </c>
      <c r="K165" s="360">
        <f t="shared" si="23"/>
        <v>0</v>
      </c>
      <c r="L165" s="364">
        <f t="shared" si="24"/>
        <v>0</v>
      </c>
      <c r="M165" s="113">
        <f>L165*D165*'B) D RI'!S166</f>
        <v>0</v>
      </c>
    </row>
    <row r="166" spans="1:13" x14ac:dyDescent="0.25">
      <c r="A166" s="290">
        <f>'A) Base RI'!A167</f>
        <v>5671</v>
      </c>
      <c r="B166" s="32" t="str">
        <f>'A) Base RI'!B167</f>
        <v>Dompierre</v>
      </c>
      <c r="C166" s="288">
        <f>'B) D RI'!U167</f>
        <v>6463.9784615384606</v>
      </c>
      <c r="D166" s="32">
        <f>'B) D RI'!AA167</f>
        <v>246</v>
      </c>
      <c r="E166" s="199">
        <f t="shared" si="17"/>
        <v>26.276335209505937</v>
      </c>
      <c r="F166" s="357">
        <f t="shared" si="18"/>
        <v>0.5426148596274124</v>
      </c>
      <c r="G166" s="368">
        <f t="shared" si="19"/>
        <v>0</v>
      </c>
      <c r="H166" s="365">
        <f t="shared" si="20"/>
        <v>0</v>
      </c>
      <c r="I166" s="368">
        <f t="shared" si="21"/>
        <v>0</v>
      </c>
      <c r="J166" s="365">
        <f t="shared" si="22"/>
        <v>0</v>
      </c>
      <c r="K166" s="360">
        <f t="shared" si="23"/>
        <v>0</v>
      </c>
      <c r="L166" s="364">
        <f t="shared" si="24"/>
        <v>0</v>
      </c>
      <c r="M166" s="113">
        <f>L166*D166*'B) D RI'!S167</f>
        <v>0</v>
      </c>
    </row>
    <row r="167" spans="1:13" x14ac:dyDescent="0.25">
      <c r="A167" s="290">
        <f>'A) Base RI'!A168</f>
        <v>5673</v>
      </c>
      <c r="B167" s="32" t="str">
        <f>'A) Base RI'!B168</f>
        <v>Hermenches</v>
      </c>
      <c r="C167" s="288">
        <f>'B) D RI'!U168</f>
        <v>10227.431292517007</v>
      </c>
      <c r="D167" s="32">
        <f>'B) D RI'!AA168</f>
        <v>371</v>
      </c>
      <c r="E167" s="199">
        <f t="shared" si="17"/>
        <v>27.567200249371986</v>
      </c>
      <c r="F167" s="357">
        <f t="shared" si="18"/>
        <v>0.56927164212086501</v>
      </c>
      <c r="G167" s="368">
        <f t="shared" si="19"/>
        <v>0</v>
      </c>
      <c r="H167" s="365">
        <f t="shared" si="20"/>
        <v>0</v>
      </c>
      <c r="I167" s="368">
        <f t="shared" si="21"/>
        <v>0</v>
      </c>
      <c r="J167" s="365">
        <f t="shared" si="22"/>
        <v>0</v>
      </c>
      <c r="K167" s="360">
        <f t="shared" si="23"/>
        <v>0</v>
      </c>
      <c r="L167" s="364">
        <f t="shared" si="24"/>
        <v>0</v>
      </c>
      <c r="M167" s="113">
        <f>L167*D167*'B) D RI'!S168</f>
        <v>0</v>
      </c>
    </row>
    <row r="168" spans="1:13" x14ac:dyDescent="0.25">
      <c r="A168" s="290">
        <f>'A) Base RI'!A169</f>
        <v>5674</v>
      </c>
      <c r="B168" s="32" t="str">
        <f>'A) Base RI'!B169</f>
        <v>Lovatens</v>
      </c>
      <c r="C168" s="288">
        <f>'B) D RI'!U169</f>
        <v>4217.2714666666661</v>
      </c>
      <c r="D168" s="32">
        <f>'B) D RI'!AA169</f>
        <v>146</v>
      </c>
      <c r="E168" s="199">
        <f t="shared" si="17"/>
        <v>28.885421004566208</v>
      </c>
      <c r="F168" s="357">
        <f t="shared" si="18"/>
        <v>0.59649332902410124</v>
      </c>
      <c r="G168" s="368">
        <f t="shared" si="19"/>
        <v>0</v>
      </c>
      <c r="H168" s="365">
        <f t="shared" si="20"/>
        <v>0</v>
      </c>
      <c r="I168" s="368">
        <f t="shared" si="21"/>
        <v>0</v>
      </c>
      <c r="J168" s="365">
        <f t="shared" si="22"/>
        <v>0</v>
      </c>
      <c r="K168" s="360">
        <f t="shared" si="23"/>
        <v>0</v>
      </c>
      <c r="L168" s="364">
        <f t="shared" si="24"/>
        <v>0</v>
      </c>
      <c r="M168" s="113">
        <f>L168*D168*'B) D RI'!S169</f>
        <v>0</v>
      </c>
    </row>
    <row r="169" spans="1:13" x14ac:dyDescent="0.25">
      <c r="A169" s="290">
        <f>'A) Base RI'!A170</f>
        <v>5675</v>
      </c>
      <c r="B169" s="32" t="str">
        <f>'A) Base RI'!B170</f>
        <v>Lucens</v>
      </c>
      <c r="C169" s="288">
        <f>'B) D RI'!U170</f>
        <v>105170.58216835017</v>
      </c>
      <c r="D169" s="32">
        <f>'B) D RI'!AA170</f>
        <v>4373</v>
      </c>
      <c r="E169" s="199">
        <f t="shared" si="17"/>
        <v>24.04998448853194</v>
      </c>
      <c r="F169" s="357">
        <f t="shared" si="18"/>
        <v>0.49663999386661711</v>
      </c>
      <c r="G169" s="368">
        <f t="shared" si="19"/>
        <v>0</v>
      </c>
      <c r="H169" s="365">
        <f t="shared" si="20"/>
        <v>0</v>
      </c>
      <c r="I169" s="368">
        <f t="shared" si="21"/>
        <v>0</v>
      </c>
      <c r="J169" s="365">
        <f t="shared" si="22"/>
        <v>0</v>
      </c>
      <c r="K169" s="360">
        <f t="shared" si="23"/>
        <v>0</v>
      </c>
      <c r="L169" s="364">
        <f t="shared" si="24"/>
        <v>0</v>
      </c>
      <c r="M169" s="113">
        <f>L169*D169*'B) D RI'!S170</f>
        <v>0</v>
      </c>
    </row>
    <row r="170" spans="1:13" x14ac:dyDescent="0.25">
      <c r="A170" s="290">
        <f>'A) Base RI'!A171</f>
        <v>5678</v>
      </c>
      <c r="B170" s="32" t="str">
        <f>'A) Base RI'!B171</f>
        <v>Moudon</v>
      </c>
      <c r="C170" s="288">
        <f>'B) D RI'!U171</f>
        <v>124836.852</v>
      </c>
      <c r="D170" s="32">
        <f>'B) D RI'!AA171</f>
        <v>6120</v>
      </c>
      <c r="E170" s="199">
        <f t="shared" si="17"/>
        <v>20.39817843137255</v>
      </c>
      <c r="F170" s="357">
        <f t="shared" si="18"/>
        <v>0.42122901226309334</v>
      </c>
      <c r="G170" s="368">
        <f t="shared" si="19"/>
        <v>0</v>
      </c>
      <c r="H170" s="365">
        <f t="shared" si="20"/>
        <v>0</v>
      </c>
      <c r="I170" s="368">
        <f t="shared" si="21"/>
        <v>0</v>
      </c>
      <c r="J170" s="365">
        <f t="shared" si="22"/>
        <v>0</v>
      </c>
      <c r="K170" s="360">
        <f t="shared" si="23"/>
        <v>0</v>
      </c>
      <c r="L170" s="364">
        <f t="shared" si="24"/>
        <v>0</v>
      </c>
      <c r="M170" s="113">
        <f>L170*D170*'B) D RI'!S171</f>
        <v>0</v>
      </c>
    </row>
    <row r="171" spans="1:13" x14ac:dyDescent="0.25">
      <c r="A171" s="290">
        <f>'A) Base RI'!A172</f>
        <v>5680</v>
      </c>
      <c r="B171" s="32" t="str">
        <f>'A) Base RI'!B172</f>
        <v>Ogens</v>
      </c>
      <c r="C171" s="288">
        <f>'B) D RI'!U172</f>
        <v>8501.5391880341886</v>
      </c>
      <c r="D171" s="32">
        <f>'B) D RI'!AA172</f>
        <v>321</v>
      </c>
      <c r="E171" s="199">
        <f t="shared" si="17"/>
        <v>26.484545757115853</v>
      </c>
      <c r="F171" s="357">
        <f t="shared" si="18"/>
        <v>0.54691447508609436</v>
      </c>
      <c r="G171" s="368">
        <f t="shared" si="19"/>
        <v>0</v>
      </c>
      <c r="H171" s="365">
        <f t="shared" si="20"/>
        <v>0</v>
      </c>
      <c r="I171" s="368">
        <f t="shared" si="21"/>
        <v>0</v>
      </c>
      <c r="J171" s="365">
        <f t="shared" si="22"/>
        <v>0</v>
      </c>
      <c r="K171" s="360">
        <f t="shared" si="23"/>
        <v>0</v>
      </c>
      <c r="L171" s="364">
        <f t="shared" si="24"/>
        <v>0</v>
      </c>
      <c r="M171" s="113">
        <f>L171*D171*'B) D RI'!S172</f>
        <v>0</v>
      </c>
    </row>
    <row r="172" spans="1:13" x14ac:dyDescent="0.25">
      <c r="A172" s="290">
        <f>'A) Base RI'!A173</f>
        <v>5683</v>
      </c>
      <c r="B172" s="32" t="str">
        <f>'A) Base RI'!B173</f>
        <v>Prévonloup</v>
      </c>
      <c r="C172" s="288">
        <f>'B) D RI'!U173</f>
        <v>5386.44</v>
      </c>
      <c r="D172" s="32">
        <f>'B) D RI'!AA173</f>
        <v>215</v>
      </c>
      <c r="E172" s="199">
        <f t="shared" si="17"/>
        <v>25.05320930232558</v>
      </c>
      <c r="F172" s="357">
        <f t="shared" si="18"/>
        <v>0.51735691223331692</v>
      </c>
      <c r="G172" s="368">
        <f t="shared" si="19"/>
        <v>0</v>
      </c>
      <c r="H172" s="365">
        <f t="shared" si="20"/>
        <v>0</v>
      </c>
      <c r="I172" s="368">
        <f t="shared" si="21"/>
        <v>0</v>
      </c>
      <c r="J172" s="365">
        <f t="shared" si="22"/>
        <v>0</v>
      </c>
      <c r="K172" s="360">
        <f t="shared" si="23"/>
        <v>0</v>
      </c>
      <c r="L172" s="364">
        <f t="shared" si="24"/>
        <v>0</v>
      </c>
      <c r="M172" s="113">
        <f>L172*D172*'B) D RI'!S173</f>
        <v>0</v>
      </c>
    </row>
    <row r="173" spans="1:13" x14ac:dyDescent="0.25">
      <c r="A173" s="290">
        <f>'A) Base RI'!A174</f>
        <v>5684</v>
      </c>
      <c r="B173" s="32" t="str">
        <f>'A) Base RI'!B174</f>
        <v>Rossenges</v>
      </c>
      <c r="C173" s="288">
        <f>'B) D RI'!U174</f>
        <v>3253.4816666666666</v>
      </c>
      <c r="D173" s="32">
        <f>'B) D RI'!AA174</f>
        <v>93</v>
      </c>
      <c r="E173" s="199">
        <f t="shared" si="17"/>
        <v>34.983673835125444</v>
      </c>
      <c r="F173" s="357">
        <f t="shared" si="18"/>
        <v>0.72242423138331913</v>
      </c>
      <c r="G173" s="368">
        <f t="shared" si="19"/>
        <v>0</v>
      </c>
      <c r="H173" s="365">
        <f t="shared" si="20"/>
        <v>0</v>
      </c>
      <c r="I173" s="368">
        <f t="shared" si="21"/>
        <v>0</v>
      </c>
      <c r="J173" s="365">
        <f t="shared" si="22"/>
        <v>0</v>
      </c>
      <c r="K173" s="360">
        <f t="shared" si="23"/>
        <v>0</v>
      </c>
      <c r="L173" s="364">
        <f t="shared" si="24"/>
        <v>0</v>
      </c>
      <c r="M173" s="113">
        <f>L173*D173*'B) D RI'!S174</f>
        <v>0</v>
      </c>
    </row>
    <row r="174" spans="1:13" x14ac:dyDescent="0.25">
      <c r="A174" s="290">
        <f>'A) Base RI'!A175</f>
        <v>5688</v>
      </c>
      <c r="B174" s="32" t="str">
        <f>'A) Base RI'!B175</f>
        <v>Syens</v>
      </c>
      <c r="C174" s="288">
        <f>'B) D RI'!U175</f>
        <v>6245.666153846154</v>
      </c>
      <c r="D174" s="32">
        <f>'B) D RI'!AA175</f>
        <v>161</v>
      </c>
      <c r="E174" s="199">
        <f t="shared" si="17"/>
        <v>38.792957477305308</v>
      </c>
      <c r="F174" s="357">
        <f t="shared" si="18"/>
        <v>0.80108717628419934</v>
      </c>
      <c r="G174" s="368">
        <f t="shared" si="19"/>
        <v>0</v>
      </c>
      <c r="H174" s="365">
        <f t="shared" si="20"/>
        <v>0</v>
      </c>
      <c r="I174" s="368">
        <f t="shared" si="21"/>
        <v>0</v>
      </c>
      <c r="J174" s="365">
        <f t="shared" si="22"/>
        <v>0</v>
      </c>
      <c r="K174" s="360">
        <f t="shared" si="23"/>
        <v>0</v>
      </c>
      <c r="L174" s="364">
        <f t="shared" si="24"/>
        <v>0</v>
      </c>
      <c r="M174" s="113">
        <f>L174*D174*'B) D RI'!S175</f>
        <v>0</v>
      </c>
    </row>
    <row r="175" spans="1:13" x14ac:dyDescent="0.25">
      <c r="A175" s="290">
        <f>'A) Base RI'!A176</f>
        <v>5690</v>
      </c>
      <c r="B175" s="32" t="str">
        <f>'A) Base RI'!B176</f>
        <v>Villars-le-Comte</v>
      </c>
      <c r="C175" s="288">
        <f>'B) D RI'!U176</f>
        <v>3510.0358095238093</v>
      </c>
      <c r="D175" s="32">
        <f>'B) D RI'!AA176</f>
        <v>133</v>
      </c>
      <c r="E175" s="199">
        <f t="shared" si="17"/>
        <v>26.391246688148943</v>
      </c>
      <c r="F175" s="357">
        <f t="shared" si="18"/>
        <v>0.54498781899774706</v>
      </c>
      <c r="G175" s="368">
        <f t="shared" si="19"/>
        <v>0</v>
      </c>
      <c r="H175" s="365">
        <f t="shared" si="20"/>
        <v>0</v>
      </c>
      <c r="I175" s="368">
        <f t="shared" si="21"/>
        <v>0</v>
      </c>
      <c r="J175" s="365">
        <f t="shared" si="22"/>
        <v>0</v>
      </c>
      <c r="K175" s="360">
        <f t="shared" si="23"/>
        <v>0</v>
      </c>
      <c r="L175" s="364">
        <f t="shared" si="24"/>
        <v>0</v>
      </c>
      <c r="M175" s="113">
        <f>L175*D175*'B) D RI'!S176</f>
        <v>0</v>
      </c>
    </row>
    <row r="176" spans="1:13" x14ac:dyDescent="0.25">
      <c r="A176" s="290">
        <f>'A) Base RI'!A177</f>
        <v>5692</v>
      </c>
      <c r="B176" s="32" t="str">
        <f>'A) Base RI'!B177</f>
        <v>Vucherens</v>
      </c>
      <c r="C176" s="288">
        <f>'B) D RI'!U177</f>
        <v>18793.189090909087</v>
      </c>
      <c r="D176" s="32">
        <f>'B) D RI'!AA177</f>
        <v>623</v>
      </c>
      <c r="E176" s="199">
        <f t="shared" si="17"/>
        <v>30.165632569677506</v>
      </c>
      <c r="F176" s="357">
        <f t="shared" si="18"/>
        <v>0.62293011380240437</v>
      </c>
      <c r="G176" s="368">
        <f t="shared" si="19"/>
        <v>0</v>
      </c>
      <c r="H176" s="365">
        <f t="shared" si="20"/>
        <v>0</v>
      </c>
      <c r="I176" s="368">
        <f t="shared" si="21"/>
        <v>0</v>
      </c>
      <c r="J176" s="365">
        <f t="shared" si="22"/>
        <v>0</v>
      </c>
      <c r="K176" s="360">
        <f t="shared" si="23"/>
        <v>0</v>
      </c>
      <c r="L176" s="364">
        <f t="shared" si="24"/>
        <v>0</v>
      </c>
      <c r="M176" s="113">
        <f>L176*D176*'B) D RI'!S177</f>
        <v>0</v>
      </c>
    </row>
    <row r="177" spans="1:13" x14ac:dyDescent="0.25">
      <c r="A177" s="290">
        <f>'A) Base RI'!A178</f>
        <v>5693</v>
      </c>
      <c r="B177" s="32" t="str">
        <f>'A) Base RI'!B178</f>
        <v>Montanaire</v>
      </c>
      <c r="C177" s="288">
        <f>'B) D RI'!U178</f>
        <v>75690.162142857153</v>
      </c>
      <c r="D177" s="32">
        <f>'B) D RI'!AA178</f>
        <v>2768</v>
      </c>
      <c r="E177" s="199">
        <f t="shared" si="17"/>
        <v>27.344711756812554</v>
      </c>
      <c r="F177" s="357">
        <f t="shared" si="18"/>
        <v>0.56467718245987031</v>
      </c>
      <c r="G177" s="368">
        <f t="shared" si="19"/>
        <v>0</v>
      </c>
      <c r="H177" s="365">
        <f t="shared" si="20"/>
        <v>0</v>
      </c>
      <c r="I177" s="368">
        <f t="shared" si="21"/>
        <v>0</v>
      </c>
      <c r="J177" s="365">
        <f t="shared" si="22"/>
        <v>0</v>
      </c>
      <c r="K177" s="360">
        <f t="shared" si="23"/>
        <v>0</v>
      </c>
      <c r="L177" s="364">
        <f t="shared" si="24"/>
        <v>0</v>
      </c>
      <c r="M177" s="113">
        <f>L177*D177*'B) D RI'!S178</f>
        <v>0</v>
      </c>
    </row>
    <row r="178" spans="1:13" x14ac:dyDescent="0.25">
      <c r="A178" s="290">
        <f>'A) Base RI'!A179</f>
        <v>5701</v>
      </c>
      <c r="B178" s="32" t="str">
        <f>'A) Base RI'!B179</f>
        <v>Arnex-sur-Nyon</v>
      </c>
      <c r="C178" s="288">
        <f>'B) D RI'!U179</f>
        <v>14488.714857142857</v>
      </c>
      <c r="D178" s="32">
        <f>'B) D RI'!AA179</f>
        <v>226</v>
      </c>
      <c r="E178" s="199">
        <f t="shared" si="17"/>
        <v>64.109357774968387</v>
      </c>
      <c r="F178" s="357">
        <f t="shared" si="18"/>
        <v>1.323879068085694</v>
      </c>
      <c r="G178" s="368">
        <f t="shared" si="19"/>
        <v>15.683969595314338</v>
      </c>
      <c r="H178" s="365">
        <f t="shared" si="20"/>
        <v>5.9988919593835277</v>
      </c>
      <c r="I178" s="368">
        <f t="shared" si="21"/>
        <v>0</v>
      </c>
      <c r="J178" s="365">
        <f t="shared" si="22"/>
        <v>0</v>
      </c>
      <c r="K178" s="360">
        <f t="shared" si="23"/>
        <v>0</v>
      </c>
      <c r="L178" s="364">
        <f t="shared" si="24"/>
        <v>3.7366831150012203</v>
      </c>
      <c r="M178" s="113">
        <f>L178*D178*'B) D RI'!S179</f>
        <v>59114.326879319306</v>
      </c>
    </row>
    <row r="179" spans="1:13" x14ac:dyDescent="0.25">
      <c r="A179" s="290">
        <f>'A) Base RI'!A180</f>
        <v>5702</v>
      </c>
      <c r="B179" s="32" t="str">
        <f>'A) Base RI'!B180</f>
        <v>Arzier-Le Muids</v>
      </c>
      <c r="C179" s="288">
        <f>'B) D RI'!U180</f>
        <v>174862.96255208339</v>
      </c>
      <c r="D179" s="32">
        <f>'B) D RI'!AA180</f>
        <v>2947</v>
      </c>
      <c r="E179" s="199">
        <f t="shared" si="17"/>
        <v>59.335922141867457</v>
      </c>
      <c r="F179" s="357">
        <f t="shared" si="18"/>
        <v>1.2253060713057427</v>
      </c>
      <c r="G179" s="368">
        <f t="shared" si="19"/>
        <v>10.910533962213407</v>
      </c>
      <c r="H179" s="365">
        <f t="shared" si="20"/>
        <v>1.2254563262825968</v>
      </c>
      <c r="I179" s="368">
        <f t="shared" si="21"/>
        <v>0</v>
      </c>
      <c r="J179" s="365">
        <f t="shared" si="22"/>
        <v>0</v>
      </c>
      <c r="K179" s="360">
        <f t="shared" si="23"/>
        <v>0</v>
      </c>
      <c r="L179" s="364">
        <f t="shared" si="24"/>
        <v>2.304652425070941</v>
      </c>
      <c r="M179" s="113">
        <f>L179*D179*'B) D RI'!S180</f>
        <v>434675.88458778005</v>
      </c>
    </row>
    <row r="180" spans="1:13" x14ac:dyDescent="0.25">
      <c r="A180" s="290">
        <f>'A) Base RI'!A181</f>
        <v>5703</v>
      </c>
      <c r="B180" s="32" t="str">
        <f>'A) Base RI'!B181</f>
        <v>Bassins</v>
      </c>
      <c r="C180" s="288">
        <f>'B) D RI'!U181</f>
        <v>66800.247822660094</v>
      </c>
      <c r="D180" s="32">
        <f>'B) D RI'!AA181</f>
        <v>1487</v>
      </c>
      <c r="E180" s="199">
        <f t="shared" si="17"/>
        <v>44.922829739515869</v>
      </c>
      <c r="F180" s="357">
        <f t="shared" si="18"/>
        <v>0.92767103018061536</v>
      </c>
      <c r="G180" s="368">
        <f t="shared" si="19"/>
        <v>0</v>
      </c>
      <c r="H180" s="365">
        <f t="shared" si="20"/>
        <v>0</v>
      </c>
      <c r="I180" s="368">
        <f t="shared" si="21"/>
        <v>0</v>
      </c>
      <c r="J180" s="365">
        <f t="shared" si="22"/>
        <v>0</v>
      </c>
      <c r="K180" s="360">
        <f t="shared" si="23"/>
        <v>0</v>
      </c>
      <c r="L180" s="364">
        <f t="shared" si="24"/>
        <v>0</v>
      </c>
      <c r="M180" s="113">
        <f>L180*D180*'B) D RI'!S181</f>
        <v>0</v>
      </c>
    </row>
    <row r="181" spans="1:13" x14ac:dyDescent="0.25">
      <c r="A181" s="290">
        <f>'A) Base RI'!A182</f>
        <v>5704</v>
      </c>
      <c r="B181" s="32" t="str">
        <f>'A) Base RI'!B182</f>
        <v>Begnins</v>
      </c>
      <c r="C181" s="288">
        <f>'B) D RI'!U182</f>
        <v>202343.35360000003</v>
      </c>
      <c r="D181" s="32">
        <f>'B) D RI'!AA182</f>
        <v>1941</v>
      </c>
      <c r="E181" s="199">
        <f t="shared" si="17"/>
        <v>104.24696218444103</v>
      </c>
      <c r="F181" s="357">
        <f t="shared" si="18"/>
        <v>2.1527336404138615</v>
      </c>
      <c r="G181" s="368">
        <f t="shared" si="19"/>
        <v>55.821574004786982</v>
      </c>
      <c r="H181" s="365">
        <f t="shared" si="20"/>
        <v>46.136496368856172</v>
      </c>
      <c r="I181" s="368">
        <f t="shared" si="21"/>
        <v>31.608879914959957</v>
      </c>
      <c r="J181" s="365">
        <f t="shared" si="22"/>
        <v>7.3961858251329318</v>
      </c>
      <c r="K181" s="360">
        <f t="shared" si="23"/>
        <v>0</v>
      </c>
      <c r="L181" s="364">
        <f t="shared" si="24"/>
        <v>19.678471011852302</v>
      </c>
      <c r="M181" s="113">
        <f>L181*D181*'B) D RI'!S182</f>
        <v>2387244.5146253328</v>
      </c>
    </row>
    <row r="182" spans="1:13" x14ac:dyDescent="0.25">
      <c r="A182" s="290">
        <f>'A) Base RI'!A183</f>
        <v>5705</v>
      </c>
      <c r="B182" s="32" t="str">
        <f>'A) Base RI'!B183</f>
        <v>Bogis-Bossey</v>
      </c>
      <c r="C182" s="288">
        <f>'B) D RI'!U183</f>
        <v>51953.338389261742</v>
      </c>
      <c r="D182" s="32">
        <f>'B) D RI'!AA183</f>
        <v>888</v>
      </c>
      <c r="E182" s="199">
        <f t="shared" si="17"/>
        <v>58.50601169961908</v>
      </c>
      <c r="F182" s="357">
        <f t="shared" si="18"/>
        <v>1.2081681510237312</v>
      </c>
      <c r="G182" s="368">
        <f t="shared" si="19"/>
        <v>10.08062351996503</v>
      </c>
      <c r="H182" s="365">
        <f t="shared" si="20"/>
        <v>0.39554588403422031</v>
      </c>
      <c r="I182" s="368">
        <f t="shared" si="21"/>
        <v>0</v>
      </c>
      <c r="J182" s="365">
        <f t="shared" si="22"/>
        <v>0</v>
      </c>
      <c r="K182" s="360">
        <f t="shared" si="23"/>
        <v>0</v>
      </c>
      <c r="L182" s="364">
        <f t="shared" si="24"/>
        <v>2.055679292396428</v>
      </c>
      <c r="M182" s="113">
        <f>L182*D182*'B) D RI'!S183</f>
        <v>135995.51926777809</v>
      </c>
    </row>
    <row r="183" spans="1:13" x14ac:dyDescent="0.25">
      <c r="A183" s="290">
        <f>'A) Base RI'!A184</f>
        <v>5706</v>
      </c>
      <c r="B183" s="32" t="str">
        <f>'A) Base RI'!B184</f>
        <v>Borex</v>
      </c>
      <c r="C183" s="288">
        <f>'B) D RI'!U184</f>
        <v>71207.99596491229</v>
      </c>
      <c r="D183" s="32">
        <f>'B) D RI'!AA184</f>
        <v>1165</v>
      </c>
      <c r="E183" s="199">
        <f t="shared" si="17"/>
        <v>61.122743317521277</v>
      </c>
      <c r="F183" s="357">
        <f t="shared" si="18"/>
        <v>1.2622045091463412</v>
      </c>
      <c r="G183" s="368">
        <f t="shared" si="19"/>
        <v>12.697355137867227</v>
      </c>
      <c r="H183" s="365">
        <f t="shared" si="20"/>
        <v>3.012277501936417</v>
      </c>
      <c r="I183" s="368">
        <f t="shared" si="21"/>
        <v>0</v>
      </c>
      <c r="J183" s="365">
        <f t="shared" si="22"/>
        <v>0</v>
      </c>
      <c r="K183" s="360">
        <f t="shared" si="23"/>
        <v>0</v>
      </c>
      <c r="L183" s="364">
        <f t="shared" si="24"/>
        <v>2.8406987777670869</v>
      </c>
      <c r="M183" s="113">
        <f>L183*D183*'B) D RI'!S184</f>
        <v>188636.60233762339</v>
      </c>
    </row>
    <row r="184" spans="1:13" x14ac:dyDescent="0.25">
      <c r="A184" s="290">
        <f>'A) Base RI'!A185</f>
        <v>5707</v>
      </c>
      <c r="B184" s="32" t="str">
        <f>'A) Base RI'!B185</f>
        <v>Chavannes-de-Bogis</v>
      </c>
      <c r="C184" s="288">
        <f>'B) D RI'!U185</f>
        <v>88021.415574712664</v>
      </c>
      <c r="D184" s="32">
        <f>'B) D RI'!AA185</f>
        <v>1330</v>
      </c>
      <c r="E184" s="199">
        <f t="shared" si="17"/>
        <v>66.181515469708771</v>
      </c>
      <c r="F184" s="357">
        <f t="shared" si="18"/>
        <v>1.3666697977552809</v>
      </c>
      <c r="G184" s="368">
        <f t="shared" si="19"/>
        <v>17.756127290054721</v>
      </c>
      <c r="H184" s="365">
        <f t="shared" si="20"/>
        <v>8.071049654123911</v>
      </c>
      <c r="I184" s="368">
        <f t="shared" si="21"/>
        <v>0</v>
      </c>
      <c r="J184" s="365">
        <f t="shared" si="22"/>
        <v>0</v>
      </c>
      <c r="K184" s="360">
        <f t="shared" si="23"/>
        <v>0</v>
      </c>
      <c r="L184" s="364">
        <f t="shared" si="24"/>
        <v>4.3583304234233351</v>
      </c>
      <c r="M184" s="113">
        <f>L184*D184*'B) D RI'!S185</f>
        <v>336201.60886287602</v>
      </c>
    </row>
    <row r="185" spans="1:13" x14ac:dyDescent="0.25">
      <c r="A185" s="290">
        <f>'A) Base RI'!A186</f>
        <v>5708</v>
      </c>
      <c r="B185" s="32" t="str">
        <f>'A) Base RI'!B186</f>
        <v>Chavannes-des-Bois</v>
      </c>
      <c r="C185" s="288">
        <f>'B) D RI'!U186</f>
        <v>67001.640000000014</v>
      </c>
      <c r="D185" s="32">
        <f>'B) D RI'!AA186</f>
        <v>1005</v>
      </c>
      <c r="E185" s="199">
        <f t="shared" si="17"/>
        <v>66.668298507462694</v>
      </c>
      <c r="F185" s="357">
        <f t="shared" si="18"/>
        <v>1.3767220256475592</v>
      </c>
      <c r="G185" s="368">
        <f t="shared" si="19"/>
        <v>18.242910327808644</v>
      </c>
      <c r="H185" s="365">
        <f t="shared" si="20"/>
        <v>8.5578326918778345</v>
      </c>
      <c r="I185" s="368">
        <f t="shared" si="21"/>
        <v>0</v>
      </c>
      <c r="J185" s="365">
        <f t="shared" si="22"/>
        <v>0</v>
      </c>
      <c r="K185" s="360">
        <f t="shared" si="23"/>
        <v>0</v>
      </c>
      <c r="L185" s="364">
        <f t="shared" si="24"/>
        <v>4.5043653347495116</v>
      </c>
      <c r="M185" s="113">
        <f>L185*D185*'B) D RI'!S186</f>
        <v>307828.32697678165</v>
      </c>
    </row>
    <row r="186" spans="1:13" x14ac:dyDescent="0.25">
      <c r="A186" s="290">
        <f>'A) Base RI'!A187</f>
        <v>5709</v>
      </c>
      <c r="B186" s="32" t="str">
        <f>'A) Base RI'!B187</f>
        <v>Chéserex</v>
      </c>
      <c r="C186" s="288">
        <f>'B) D RI'!U187</f>
        <v>88342.385614035084</v>
      </c>
      <c r="D186" s="32">
        <f>'B) D RI'!AA187</f>
        <v>1263</v>
      </c>
      <c r="E186" s="199">
        <f t="shared" si="17"/>
        <v>69.946465252601016</v>
      </c>
      <c r="F186" s="357">
        <f t="shared" si="18"/>
        <v>1.444417234057177</v>
      </c>
      <c r="G186" s="368">
        <f t="shared" si="19"/>
        <v>21.521077072946966</v>
      </c>
      <c r="H186" s="365">
        <f t="shared" si="20"/>
        <v>11.835999437016156</v>
      </c>
      <c r="I186" s="368">
        <f t="shared" si="21"/>
        <v>0</v>
      </c>
      <c r="J186" s="365">
        <f t="shared" si="22"/>
        <v>0</v>
      </c>
      <c r="K186" s="360">
        <f t="shared" si="23"/>
        <v>0</v>
      </c>
      <c r="L186" s="364">
        <f t="shared" si="24"/>
        <v>5.4878153582910087</v>
      </c>
      <c r="M186" s="113">
        <f>L186*D186*'B) D RI'!S187</f>
        <v>395073.315458728</v>
      </c>
    </row>
    <row r="187" spans="1:13" x14ac:dyDescent="0.25">
      <c r="A187" s="290">
        <f>'A) Base RI'!A188</f>
        <v>5710</v>
      </c>
      <c r="B187" s="32" t="str">
        <f>'A) Base RI'!B188</f>
        <v>Coinsins</v>
      </c>
      <c r="C187" s="288">
        <f>'B) D RI'!U188</f>
        <v>43412.265098039228</v>
      </c>
      <c r="D187" s="32">
        <f>'B) D RI'!AA188</f>
        <v>508</v>
      </c>
      <c r="E187" s="199">
        <f t="shared" si="17"/>
        <v>85.457214759919736</v>
      </c>
      <c r="F187" s="357">
        <f t="shared" si="18"/>
        <v>1.7647192510441172</v>
      </c>
      <c r="G187" s="368">
        <f t="shared" si="19"/>
        <v>37.031826580265687</v>
      </c>
      <c r="H187" s="365">
        <f t="shared" si="20"/>
        <v>27.346748944334877</v>
      </c>
      <c r="I187" s="368">
        <f t="shared" si="21"/>
        <v>12.819132490438662</v>
      </c>
      <c r="J187" s="365">
        <f t="shared" si="22"/>
        <v>0</v>
      </c>
      <c r="K187" s="360">
        <f t="shared" si="23"/>
        <v>0</v>
      </c>
      <c r="L187" s="364">
        <f t="shared" si="24"/>
        <v>11.422953459530492</v>
      </c>
      <c r="M187" s="113">
        <f>L187*D187*'B) D RI'!S188</f>
        <v>295945.87822951598</v>
      </c>
    </row>
    <row r="188" spans="1:13" x14ac:dyDescent="0.25">
      <c r="A188" s="290">
        <f>'A) Base RI'!A189</f>
        <v>5711</v>
      </c>
      <c r="B188" s="32" t="str">
        <f>'A) Base RI'!B189</f>
        <v>Commugny</v>
      </c>
      <c r="C188" s="288">
        <f>'B) D RI'!U189</f>
        <v>286273.03470547468</v>
      </c>
      <c r="D188" s="32">
        <f>'B) D RI'!AA189</f>
        <v>3001</v>
      </c>
      <c r="E188" s="199">
        <f t="shared" si="17"/>
        <v>95.392547386029548</v>
      </c>
      <c r="F188" s="357">
        <f t="shared" si="18"/>
        <v>1.9698870979026819</v>
      </c>
      <c r="G188" s="368">
        <f t="shared" si="19"/>
        <v>46.967159206375499</v>
      </c>
      <c r="H188" s="365">
        <f t="shared" si="20"/>
        <v>37.282081570444689</v>
      </c>
      <c r="I188" s="368">
        <f t="shared" si="21"/>
        <v>22.754465116548474</v>
      </c>
      <c r="J188" s="365">
        <f t="shared" si="22"/>
        <v>0</v>
      </c>
      <c r="K188" s="360">
        <f t="shared" si="23"/>
        <v>0</v>
      </c>
      <c r="L188" s="364">
        <f t="shared" si="24"/>
        <v>15.397086509974416</v>
      </c>
      <c r="M188" s="113">
        <f>L188*D188*'B) D RI'!S189</f>
        <v>2564469.4422120438</v>
      </c>
    </row>
    <row r="189" spans="1:13" x14ac:dyDescent="0.25">
      <c r="A189" s="290">
        <f>'A) Base RI'!A190</f>
        <v>5712</v>
      </c>
      <c r="B189" s="32" t="str">
        <f>'A) Base RI'!B190</f>
        <v>Coppet</v>
      </c>
      <c r="C189" s="288">
        <f>'B) D RI'!U190</f>
        <v>333754.3945283019</v>
      </c>
      <c r="D189" s="32">
        <f>'B) D RI'!AA190</f>
        <v>3211</v>
      </c>
      <c r="E189" s="199">
        <f t="shared" si="17"/>
        <v>103.94095127010337</v>
      </c>
      <c r="F189" s="357">
        <f t="shared" si="18"/>
        <v>2.1464144156055358</v>
      </c>
      <c r="G189" s="368">
        <f t="shared" si="19"/>
        <v>55.515563090449319</v>
      </c>
      <c r="H189" s="365">
        <f t="shared" si="20"/>
        <v>45.830485454518509</v>
      </c>
      <c r="I189" s="368">
        <f t="shared" si="21"/>
        <v>31.302869000622294</v>
      </c>
      <c r="J189" s="365">
        <f t="shared" si="22"/>
        <v>7.0901749107952696</v>
      </c>
      <c r="K189" s="360">
        <f t="shared" si="23"/>
        <v>0</v>
      </c>
      <c r="L189" s="364">
        <f t="shared" si="24"/>
        <v>19.525465554683471</v>
      </c>
      <c r="M189" s="113">
        <f>L189*D189*'B) D RI'!S190</f>
        <v>3322902.3044926971</v>
      </c>
    </row>
    <row r="190" spans="1:13" x14ac:dyDescent="0.25">
      <c r="A190" s="290">
        <f>'A) Base RI'!A191</f>
        <v>5713</v>
      </c>
      <c r="B190" s="32" t="str">
        <f>'A) Base RI'!B191</f>
        <v>Crans</v>
      </c>
      <c r="C190" s="288">
        <f>'B) D RI'!U191</f>
        <v>302504.79982142855</v>
      </c>
      <c r="D190" s="32">
        <f>'B) D RI'!AA191</f>
        <v>2373</v>
      </c>
      <c r="E190" s="199">
        <f t="shared" si="17"/>
        <v>127.47779174944313</v>
      </c>
      <c r="F190" s="357">
        <f t="shared" si="18"/>
        <v>2.6324578189546242</v>
      </c>
      <c r="G190" s="368">
        <f t="shared" si="19"/>
        <v>79.052403569789078</v>
      </c>
      <c r="H190" s="365">
        <f t="shared" si="20"/>
        <v>69.367325933858268</v>
      </c>
      <c r="I190" s="368">
        <f t="shared" si="21"/>
        <v>54.839709479962053</v>
      </c>
      <c r="J190" s="365">
        <f t="shared" si="22"/>
        <v>30.627015390135028</v>
      </c>
      <c r="K190" s="360">
        <f t="shared" si="23"/>
        <v>0</v>
      </c>
      <c r="L190" s="364">
        <f t="shared" si="24"/>
        <v>31.293885794353351</v>
      </c>
      <c r="M190" s="113">
        <f>L190*D190*'B) D RI'!S191</f>
        <v>4158581.8954400276</v>
      </c>
    </row>
    <row r="191" spans="1:13" x14ac:dyDescent="0.25">
      <c r="A191" s="290">
        <f>'A) Base RI'!A192</f>
        <v>5714</v>
      </c>
      <c r="B191" s="32" t="str">
        <f>'A) Base RI'!B192</f>
        <v>Crassier</v>
      </c>
      <c r="C191" s="288">
        <f>'B) D RI'!U192</f>
        <v>62136.029852941167</v>
      </c>
      <c r="D191" s="32">
        <f>'B) D RI'!AA192</f>
        <v>1228</v>
      </c>
      <c r="E191" s="199">
        <f t="shared" si="17"/>
        <v>50.599372844414631</v>
      </c>
      <c r="F191" s="357">
        <f t="shared" si="18"/>
        <v>1.0448934896855195</v>
      </c>
      <c r="G191" s="368">
        <f t="shared" si="19"/>
        <v>2.1739846647605816</v>
      </c>
      <c r="H191" s="365">
        <f t="shared" si="20"/>
        <v>0</v>
      </c>
      <c r="I191" s="368">
        <f t="shared" si="21"/>
        <v>0</v>
      </c>
      <c r="J191" s="365">
        <f t="shared" si="22"/>
        <v>0</v>
      </c>
      <c r="K191" s="360">
        <f t="shared" si="23"/>
        <v>0</v>
      </c>
      <c r="L191" s="364">
        <f t="shared" si="24"/>
        <v>0.43479693295211636</v>
      </c>
      <c r="M191" s="113">
        <f>L191*D191*'B) D RI'!S192</f>
        <v>36307.283089233526</v>
      </c>
    </row>
    <row r="192" spans="1:13" x14ac:dyDescent="0.25">
      <c r="A192" s="290">
        <f>'A) Base RI'!A193</f>
        <v>5715</v>
      </c>
      <c r="B192" s="32" t="str">
        <f>'A) Base RI'!B193</f>
        <v>Duillier</v>
      </c>
      <c r="C192" s="288">
        <f>'B) D RI'!U193</f>
        <v>70395.129393939395</v>
      </c>
      <c r="D192" s="32">
        <f>'B) D RI'!AA193</f>
        <v>1146</v>
      </c>
      <c r="E192" s="199">
        <f t="shared" si="17"/>
        <v>61.426814479877308</v>
      </c>
      <c r="F192" s="357">
        <f t="shared" si="18"/>
        <v>1.2684836774459933</v>
      </c>
      <c r="G192" s="368">
        <f t="shared" si="19"/>
        <v>13.001426300223258</v>
      </c>
      <c r="H192" s="365">
        <f t="shared" si="20"/>
        <v>3.3163486642924482</v>
      </c>
      <c r="I192" s="368">
        <f t="shared" si="21"/>
        <v>0</v>
      </c>
      <c r="J192" s="365">
        <f t="shared" si="22"/>
        <v>0</v>
      </c>
      <c r="K192" s="360">
        <f t="shared" si="23"/>
        <v>0</v>
      </c>
      <c r="L192" s="364">
        <f t="shared" si="24"/>
        <v>2.9319201264738965</v>
      </c>
      <c r="M192" s="113">
        <f>L192*D192*'B) D RI'!S193</f>
        <v>221758.71068597963</v>
      </c>
    </row>
    <row r="193" spans="1:13" x14ac:dyDescent="0.25">
      <c r="A193" s="290">
        <f>'A) Base RI'!A194</f>
        <v>5716</v>
      </c>
      <c r="B193" s="32" t="str">
        <f>'A) Base RI'!B194</f>
        <v>Eysins</v>
      </c>
      <c r="C193" s="288">
        <f>'B) D RI'!U194</f>
        <v>203854.36605042018</v>
      </c>
      <c r="D193" s="32">
        <f>'B) D RI'!AA194</f>
        <v>1736</v>
      </c>
      <c r="E193" s="199">
        <f t="shared" si="17"/>
        <v>117.42763021337568</v>
      </c>
      <c r="F193" s="357">
        <f t="shared" si="18"/>
        <v>2.4249187177959053</v>
      </c>
      <c r="G193" s="368">
        <f t="shared" si="19"/>
        <v>69.002242033721629</v>
      </c>
      <c r="H193" s="365">
        <f t="shared" si="20"/>
        <v>59.317164397790819</v>
      </c>
      <c r="I193" s="368">
        <f t="shared" si="21"/>
        <v>44.789547943894604</v>
      </c>
      <c r="J193" s="365">
        <f t="shared" si="22"/>
        <v>20.576853854067579</v>
      </c>
      <c r="K193" s="360">
        <f t="shared" si="23"/>
        <v>0</v>
      </c>
      <c r="L193" s="364">
        <f t="shared" si="24"/>
        <v>26.268805026319626</v>
      </c>
      <c r="M193" s="113">
        <f>L193*D193*'B) D RI'!S194</f>
        <v>2713357.4087786069</v>
      </c>
    </row>
    <row r="194" spans="1:13" x14ac:dyDescent="0.25">
      <c r="A194" s="290">
        <f>'A) Base RI'!A195</f>
        <v>5717</v>
      </c>
      <c r="B194" s="32" t="str">
        <f>'A) Base RI'!B195</f>
        <v>Founex</v>
      </c>
      <c r="C194" s="288">
        <f>'B) D RI'!U195</f>
        <v>390728.72</v>
      </c>
      <c r="D194" s="32">
        <f>'B) D RI'!AA195</f>
        <v>3822</v>
      </c>
      <c r="E194" s="199">
        <f t="shared" si="17"/>
        <v>102.23148090005232</v>
      </c>
      <c r="F194" s="357">
        <f t="shared" si="18"/>
        <v>2.111113297033</v>
      </c>
      <c r="G194" s="368">
        <f t="shared" si="19"/>
        <v>53.806092720398269</v>
      </c>
      <c r="H194" s="365">
        <f t="shared" si="20"/>
        <v>44.121015084467459</v>
      </c>
      <c r="I194" s="368">
        <f t="shared" si="21"/>
        <v>29.593398630571244</v>
      </c>
      <c r="J194" s="365">
        <f t="shared" si="22"/>
        <v>5.3807045407442189</v>
      </c>
      <c r="K194" s="360">
        <f t="shared" si="23"/>
        <v>0</v>
      </c>
      <c r="L194" s="364">
        <f t="shared" si="24"/>
        <v>18.670730369657946</v>
      </c>
      <c r="M194" s="113">
        <f>L194*D194*'B) D RI'!S195</f>
        <v>4067493.293951462</v>
      </c>
    </row>
    <row r="195" spans="1:13" x14ac:dyDescent="0.25">
      <c r="A195" s="290">
        <f>'A) Base RI'!A196</f>
        <v>5718</v>
      </c>
      <c r="B195" s="32" t="str">
        <f>'A) Base RI'!B196</f>
        <v>Genolier</v>
      </c>
      <c r="C195" s="288">
        <f>'B) D RI'!U196</f>
        <v>192274.57272727272</v>
      </c>
      <c r="D195" s="32">
        <f>'B) D RI'!AA196</f>
        <v>2022</v>
      </c>
      <c r="E195" s="199">
        <f t="shared" si="17"/>
        <v>95.091282258789676</v>
      </c>
      <c r="F195" s="357">
        <f t="shared" si="18"/>
        <v>1.9636658751398988</v>
      </c>
      <c r="G195" s="368">
        <f t="shared" si="19"/>
        <v>46.665894079135626</v>
      </c>
      <c r="H195" s="365">
        <f t="shared" si="20"/>
        <v>36.980816443204816</v>
      </c>
      <c r="I195" s="368">
        <f t="shared" si="21"/>
        <v>22.453199989308601</v>
      </c>
      <c r="J195" s="365">
        <f t="shared" si="22"/>
        <v>0</v>
      </c>
      <c r="K195" s="360">
        <f t="shared" si="23"/>
        <v>0</v>
      </c>
      <c r="L195" s="364">
        <f t="shared" si="24"/>
        <v>15.276580459078467</v>
      </c>
      <c r="M195" s="113">
        <f>L195*D195*'B) D RI'!S196</f>
        <v>1698908.5128541163</v>
      </c>
    </row>
    <row r="196" spans="1:13" x14ac:dyDescent="0.25">
      <c r="A196" s="290">
        <f>'A) Base RI'!A197</f>
        <v>5719</v>
      </c>
      <c r="B196" s="32" t="str">
        <f>'A) Base RI'!B197</f>
        <v>Gingins</v>
      </c>
      <c r="C196" s="288">
        <f>'B) D RI'!U197</f>
        <v>151296.69466666671</v>
      </c>
      <c r="D196" s="32">
        <f>'B) D RI'!AA197</f>
        <v>1265</v>
      </c>
      <c r="E196" s="199">
        <f t="shared" si="17"/>
        <v>119.60213017127803</v>
      </c>
      <c r="F196" s="357">
        <f t="shared" si="18"/>
        <v>2.4698228484522282</v>
      </c>
      <c r="G196" s="368">
        <f t="shared" si="19"/>
        <v>71.176741991623985</v>
      </c>
      <c r="H196" s="365">
        <f t="shared" si="20"/>
        <v>61.491664355693175</v>
      </c>
      <c r="I196" s="368">
        <f t="shared" si="21"/>
        <v>46.96404790179696</v>
      </c>
      <c r="J196" s="365">
        <f t="shared" si="22"/>
        <v>22.751353811969935</v>
      </c>
      <c r="K196" s="360">
        <f t="shared" si="23"/>
        <v>0</v>
      </c>
      <c r="L196" s="364">
        <f t="shared" si="24"/>
        <v>27.356055005270804</v>
      </c>
      <c r="M196" s="113">
        <f>L196*D196*'B) D RI'!S197</f>
        <v>2076324.5749000541</v>
      </c>
    </row>
    <row r="197" spans="1:13" x14ac:dyDescent="0.25">
      <c r="A197" s="290">
        <f>'A) Base RI'!A198</f>
        <v>5720</v>
      </c>
      <c r="B197" s="32" t="str">
        <f>'A) Base RI'!B198</f>
        <v>Givrins</v>
      </c>
      <c r="C197" s="288">
        <f>'B) D RI'!U198</f>
        <v>74789.829883913771</v>
      </c>
      <c r="D197" s="32">
        <f>'B) D RI'!AA198</f>
        <v>1010</v>
      </c>
      <c r="E197" s="199">
        <f t="shared" si="17"/>
        <v>74.049336518726506</v>
      </c>
      <c r="F197" s="357">
        <f t="shared" si="18"/>
        <v>1.5291428587832854</v>
      </c>
      <c r="G197" s="368">
        <f t="shared" si="19"/>
        <v>25.623948339072456</v>
      </c>
      <c r="H197" s="365">
        <f t="shared" si="20"/>
        <v>15.938870703141646</v>
      </c>
      <c r="I197" s="368">
        <f t="shared" si="21"/>
        <v>1.411254249245431</v>
      </c>
      <c r="J197" s="365">
        <f t="shared" si="22"/>
        <v>0</v>
      </c>
      <c r="K197" s="360">
        <f t="shared" si="23"/>
        <v>0</v>
      </c>
      <c r="L197" s="364">
        <f t="shared" si="24"/>
        <v>6.8598021630531987</v>
      </c>
      <c r="M197" s="113">
        <f>L197*D197*'B) D RI'!S198</f>
        <v>464202.81237380998</v>
      </c>
    </row>
    <row r="198" spans="1:13" x14ac:dyDescent="0.25">
      <c r="A198" s="290">
        <f>'A) Base RI'!A199</f>
        <v>5721</v>
      </c>
      <c r="B198" s="32" t="str">
        <f>'A) Base RI'!B199</f>
        <v>Gland</v>
      </c>
      <c r="C198" s="288">
        <f>'B) D RI'!U199</f>
        <v>723023.81196721317</v>
      </c>
      <c r="D198" s="32">
        <f>'B) D RI'!AA199</f>
        <v>13306</v>
      </c>
      <c r="E198" s="199">
        <f t="shared" ref="E198:E261" si="25">C198/D198</f>
        <v>54.338179164828887</v>
      </c>
      <c r="F198" s="357">
        <f t="shared" ref="F198:F261" si="26">E198/$E$314</f>
        <v>1.1221010549928663</v>
      </c>
      <c r="G198" s="368">
        <f t="shared" ref="G198:G261" si="27">IF(E198-$G$3&lt;0,0,E198-$G$3)</f>
        <v>5.912790985174837</v>
      </c>
      <c r="H198" s="365">
        <f t="shared" ref="H198:H261" si="28">IF(E198-$H$3&lt;0,0,E198-$H$3)</f>
        <v>0</v>
      </c>
      <c r="I198" s="368">
        <f t="shared" ref="I198:I261" si="29">IF(E198-$I$3&lt;0,0,E198-$I$3)</f>
        <v>0</v>
      </c>
      <c r="J198" s="365">
        <f t="shared" ref="J198:J261" si="30">IF(E198-$J$3&lt;0,0,E198-$J$3)</f>
        <v>0</v>
      </c>
      <c r="K198" s="360">
        <f t="shared" ref="K198:K261" si="31">IF(E198-$K$3&lt;0,0,E198-$K$3)</f>
        <v>0</v>
      </c>
      <c r="L198" s="364">
        <f t="shared" ref="L198:L261" si="32">(G198-H198)*$G$4+(H198-I198)*$H$4+(I198-J198)*$I$4+(J198-K198)*$J$4+(K198*$K$4)</f>
        <v>1.1825581970349675</v>
      </c>
      <c r="M198" s="113">
        <f>L198*D198*'B) D RI'!S199</f>
        <v>959842.28155458393</v>
      </c>
    </row>
    <row r="199" spans="1:13" x14ac:dyDescent="0.25">
      <c r="A199" s="290">
        <f>'A) Base RI'!A200</f>
        <v>5722</v>
      </c>
      <c r="B199" s="32" t="str">
        <f>'A) Base RI'!B200</f>
        <v>Grens</v>
      </c>
      <c r="C199" s="288">
        <f>'B) D RI'!U200</f>
        <v>22316.761129032264</v>
      </c>
      <c r="D199" s="32">
        <f>'B) D RI'!AA200</f>
        <v>401</v>
      </c>
      <c r="E199" s="199">
        <f t="shared" si="25"/>
        <v>55.652770895342307</v>
      </c>
      <c r="F199" s="357">
        <f t="shared" si="26"/>
        <v>1.1492478013573229</v>
      </c>
      <c r="G199" s="368">
        <f t="shared" si="27"/>
        <v>7.2273827156882575</v>
      </c>
      <c r="H199" s="365">
        <f t="shared" si="28"/>
        <v>0</v>
      </c>
      <c r="I199" s="368">
        <f t="shared" si="29"/>
        <v>0</v>
      </c>
      <c r="J199" s="365">
        <f t="shared" si="30"/>
        <v>0</v>
      </c>
      <c r="K199" s="360">
        <f t="shared" si="31"/>
        <v>0</v>
      </c>
      <c r="L199" s="364">
        <f t="shared" si="32"/>
        <v>1.4454765431376515</v>
      </c>
      <c r="M199" s="113">
        <f>L199*D199*'B) D RI'!S200</f>
        <v>35937.437815488287</v>
      </c>
    </row>
    <row r="200" spans="1:13" x14ac:dyDescent="0.25">
      <c r="A200" s="290">
        <f>'A) Base RI'!A201</f>
        <v>5723</v>
      </c>
      <c r="B200" s="32" t="str">
        <f>'A) Base RI'!B201</f>
        <v>Mies</v>
      </c>
      <c r="C200" s="288">
        <f>'B) D RI'!U201</f>
        <v>245974.84538461536</v>
      </c>
      <c r="D200" s="32">
        <f>'B) D RI'!AA201</f>
        <v>2195</v>
      </c>
      <c r="E200" s="199">
        <f t="shared" si="25"/>
        <v>112.06143297704573</v>
      </c>
      <c r="F200" s="357">
        <f t="shared" si="26"/>
        <v>2.3141050013126874</v>
      </c>
      <c r="G200" s="368">
        <f t="shared" si="27"/>
        <v>63.636044797391676</v>
      </c>
      <c r="H200" s="365">
        <f t="shared" si="28"/>
        <v>53.950967161460866</v>
      </c>
      <c r="I200" s="368">
        <f t="shared" si="29"/>
        <v>39.423350707564651</v>
      </c>
      <c r="J200" s="365">
        <f t="shared" si="30"/>
        <v>15.210656617737627</v>
      </c>
      <c r="K200" s="360">
        <f t="shared" si="31"/>
        <v>0</v>
      </c>
      <c r="L200" s="364">
        <f t="shared" si="32"/>
        <v>23.58570640815465</v>
      </c>
      <c r="M200" s="113">
        <f>L200*D200*'B) D RI'!S201</f>
        <v>2692072.5294267717</v>
      </c>
    </row>
    <row r="201" spans="1:13" x14ac:dyDescent="0.25">
      <c r="A201" s="290">
        <f>'A) Base RI'!A202</f>
        <v>5724</v>
      </c>
      <c r="B201" s="32" t="str">
        <f>'A) Base RI'!B202</f>
        <v>Nyon</v>
      </c>
      <c r="C201" s="288">
        <f>'B) D RI'!U202</f>
        <v>1461873.0345355188</v>
      </c>
      <c r="D201" s="32">
        <f>'B) D RI'!AA202</f>
        <v>22124</v>
      </c>
      <c r="E201" s="199">
        <f t="shared" si="25"/>
        <v>66.076343994554279</v>
      </c>
      <c r="F201" s="357">
        <f t="shared" si="26"/>
        <v>1.3644979726216482</v>
      </c>
      <c r="G201" s="368">
        <f t="shared" si="27"/>
        <v>17.650955814900229</v>
      </c>
      <c r="H201" s="365">
        <f t="shared" si="28"/>
        <v>7.9658781789694189</v>
      </c>
      <c r="I201" s="368">
        <f t="shared" si="29"/>
        <v>0</v>
      </c>
      <c r="J201" s="365">
        <f t="shared" si="30"/>
        <v>0</v>
      </c>
      <c r="K201" s="360">
        <f t="shared" si="31"/>
        <v>0</v>
      </c>
      <c r="L201" s="364">
        <f t="shared" si="32"/>
        <v>4.3267789808769876</v>
      </c>
      <c r="M201" s="113">
        <f>L201*D201*'B) D RI'!S202</f>
        <v>5839265.1485482706</v>
      </c>
    </row>
    <row r="202" spans="1:13" x14ac:dyDescent="0.25">
      <c r="A202" s="290">
        <f>'A) Base RI'!A203</f>
        <v>5725</v>
      </c>
      <c r="B202" s="32" t="str">
        <f>'A) Base RI'!B203</f>
        <v>Prangins</v>
      </c>
      <c r="C202" s="288">
        <f>'B) D RI'!U203</f>
        <v>355082.58820779232</v>
      </c>
      <c r="D202" s="32">
        <f>'B) D RI'!AA203</f>
        <v>4060</v>
      </c>
      <c r="E202" s="199">
        <f t="shared" si="25"/>
        <v>87.458765568421754</v>
      </c>
      <c r="F202" s="357">
        <f t="shared" si="26"/>
        <v>1.8060519255717107</v>
      </c>
      <c r="G202" s="368">
        <f t="shared" si="27"/>
        <v>39.033377388767704</v>
      </c>
      <c r="H202" s="365">
        <f t="shared" si="28"/>
        <v>29.348299752836894</v>
      </c>
      <c r="I202" s="368">
        <f t="shared" si="29"/>
        <v>14.820683298940679</v>
      </c>
      <c r="J202" s="365">
        <f t="shared" si="30"/>
        <v>0</v>
      </c>
      <c r="K202" s="360">
        <f t="shared" si="31"/>
        <v>0</v>
      </c>
      <c r="L202" s="364">
        <f t="shared" si="32"/>
        <v>12.223573782931298</v>
      </c>
      <c r="M202" s="113">
        <f>L202*D202*'B) D RI'!S203</f>
        <v>2729524.0257285587</v>
      </c>
    </row>
    <row r="203" spans="1:13" x14ac:dyDescent="0.25">
      <c r="A203" s="290">
        <f>'A) Base RI'!A204</f>
        <v>5726</v>
      </c>
      <c r="B203" s="32" t="str">
        <f>'A) Base RI'!B204</f>
        <v>La Rippe</v>
      </c>
      <c r="C203" s="288">
        <f>'B) D RI'!U204</f>
        <v>70366.469687500008</v>
      </c>
      <c r="D203" s="32">
        <f>'B) D RI'!AA204</f>
        <v>1165</v>
      </c>
      <c r="E203" s="199">
        <f t="shared" si="25"/>
        <v>60.400403165236057</v>
      </c>
      <c r="F203" s="357">
        <f t="shared" si="26"/>
        <v>1.24728795030317</v>
      </c>
      <c r="G203" s="368">
        <f t="shared" si="27"/>
        <v>11.975014985582007</v>
      </c>
      <c r="H203" s="365">
        <f t="shared" si="28"/>
        <v>2.289937349651197</v>
      </c>
      <c r="I203" s="368">
        <f t="shared" si="29"/>
        <v>0</v>
      </c>
      <c r="J203" s="365">
        <f t="shared" si="30"/>
        <v>0</v>
      </c>
      <c r="K203" s="360">
        <f t="shared" si="31"/>
        <v>0</v>
      </c>
      <c r="L203" s="364">
        <f t="shared" si="32"/>
        <v>2.6239967320815212</v>
      </c>
      <c r="M203" s="113">
        <f>L203*D203*'B) D RI'!S204</f>
        <v>195645.19634399822</v>
      </c>
    </row>
    <row r="204" spans="1:13" x14ac:dyDescent="0.25">
      <c r="A204" s="290">
        <f>'A) Base RI'!A205</f>
        <v>5727</v>
      </c>
      <c r="B204" s="32" t="str">
        <f>'A) Base RI'!B205</f>
        <v>Saint-Cergue</v>
      </c>
      <c r="C204" s="288">
        <f>'B) D RI'!U205</f>
        <v>106173.30404040407</v>
      </c>
      <c r="D204" s="32">
        <f>'B) D RI'!AA205</f>
        <v>2755</v>
      </c>
      <c r="E204" s="199">
        <f t="shared" si="25"/>
        <v>38.538404370382601</v>
      </c>
      <c r="F204" s="357">
        <f t="shared" si="26"/>
        <v>0.79583057191835849</v>
      </c>
      <c r="G204" s="368">
        <f t="shared" si="27"/>
        <v>0</v>
      </c>
      <c r="H204" s="365">
        <f t="shared" si="28"/>
        <v>0</v>
      </c>
      <c r="I204" s="368">
        <f t="shared" si="29"/>
        <v>0</v>
      </c>
      <c r="J204" s="365">
        <f t="shared" si="30"/>
        <v>0</v>
      </c>
      <c r="K204" s="360">
        <f t="shared" si="31"/>
        <v>0</v>
      </c>
      <c r="L204" s="364">
        <f t="shared" si="32"/>
        <v>0</v>
      </c>
      <c r="M204" s="113">
        <f>L204*D204*'B) D RI'!S205</f>
        <v>0</v>
      </c>
    </row>
    <row r="205" spans="1:13" x14ac:dyDescent="0.25">
      <c r="A205" s="290">
        <f>'A) Base RI'!A206</f>
        <v>5728</v>
      </c>
      <c r="B205" s="32" t="str">
        <f>'A) Base RI'!B206</f>
        <v>Signy-Avenex</v>
      </c>
      <c r="C205" s="288">
        <f>'B) D RI'!U206</f>
        <v>56477.02620689656</v>
      </c>
      <c r="D205" s="32">
        <f>'B) D RI'!AA206</f>
        <v>584</v>
      </c>
      <c r="E205" s="199">
        <f t="shared" si="25"/>
        <v>96.707236655644792</v>
      </c>
      <c r="F205" s="357">
        <f t="shared" si="26"/>
        <v>1.9970358584812828</v>
      </c>
      <c r="G205" s="368">
        <f t="shared" si="27"/>
        <v>48.281848475990742</v>
      </c>
      <c r="H205" s="365">
        <f t="shared" si="28"/>
        <v>38.596770840059932</v>
      </c>
      <c r="I205" s="368">
        <f t="shared" si="29"/>
        <v>24.069154386163717</v>
      </c>
      <c r="J205" s="365">
        <f t="shared" si="30"/>
        <v>0</v>
      </c>
      <c r="K205" s="360">
        <f t="shared" si="31"/>
        <v>0</v>
      </c>
      <c r="L205" s="364">
        <f t="shared" si="32"/>
        <v>15.922962217820514</v>
      </c>
      <c r="M205" s="113">
        <f>L205*D205*'B) D RI'!S206</f>
        <v>539342.5762420164</v>
      </c>
    </row>
    <row r="206" spans="1:13" x14ac:dyDescent="0.25">
      <c r="A206" s="290">
        <f>'A) Base RI'!A207</f>
        <v>5729</v>
      </c>
      <c r="B206" s="32" t="str">
        <f>'A) Base RI'!B207</f>
        <v>Tannay</v>
      </c>
      <c r="C206" s="288">
        <f>'B) D RI'!U207</f>
        <v>161688.04044077132</v>
      </c>
      <c r="D206" s="32">
        <f>'B) D RI'!AA207</f>
        <v>1644</v>
      </c>
      <c r="E206" s="199">
        <f t="shared" si="25"/>
        <v>98.350389562512973</v>
      </c>
      <c r="F206" s="357">
        <f t="shared" si="26"/>
        <v>2.0309674998916156</v>
      </c>
      <c r="G206" s="368">
        <f t="shared" si="27"/>
        <v>49.925001382858923</v>
      </c>
      <c r="H206" s="365">
        <f t="shared" si="28"/>
        <v>40.239923746928113</v>
      </c>
      <c r="I206" s="368">
        <f t="shared" si="29"/>
        <v>25.712307293031898</v>
      </c>
      <c r="J206" s="365">
        <f t="shared" si="30"/>
        <v>1.4996132032048735</v>
      </c>
      <c r="K206" s="360">
        <f t="shared" si="31"/>
        <v>0</v>
      </c>
      <c r="L206" s="364">
        <f t="shared" si="32"/>
        <v>16.730184700888273</v>
      </c>
      <c r="M206" s="113">
        <f>L206*D206*'B) D RI'!S207</f>
        <v>1664017.6307197495</v>
      </c>
    </row>
    <row r="207" spans="1:13" x14ac:dyDescent="0.25">
      <c r="A207" s="290">
        <f>'A) Base RI'!A208</f>
        <v>5730</v>
      </c>
      <c r="B207" s="32" t="str">
        <f>'A) Base RI'!B208</f>
        <v>Trélex</v>
      </c>
      <c r="C207" s="288">
        <f>'B) D RI'!U208</f>
        <v>125085.64878878882</v>
      </c>
      <c r="D207" s="32">
        <f>'B) D RI'!AA208</f>
        <v>1439</v>
      </c>
      <c r="E207" s="199">
        <f t="shared" si="25"/>
        <v>86.925398741340388</v>
      </c>
      <c r="F207" s="357">
        <f t="shared" si="26"/>
        <v>1.7950377272940918</v>
      </c>
      <c r="G207" s="368">
        <f t="shared" si="27"/>
        <v>38.500010561686338</v>
      </c>
      <c r="H207" s="365">
        <f t="shared" si="28"/>
        <v>28.814932925755528</v>
      </c>
      <c r="I207" s="368">
        <f t="shared" si="29"/>
        <v>14.287316471859313</v>
      </c>
      <c r="J207" s="365">
        <f t="shared" si="30"/>
        <v>0</v>
      </c>
      <c r="K207" s="360">
        <f t="shared" si="31"/>
        <v>0</v>
      </c>
      <c r="L207" s="364">
        <f t="shared" si="32"/>
        <v>12.010227052098752</v>
      </c>
      <c r="M207" s="113">
        <f>L207*D207*'B) D RI'!S208</f>
        <v>959190.77840234095</v>
      </c>
    </row>
    <row r="208" spans="1:13" x14ac:dyDescent="0.25">
      <c r="A208" s="290">
        <f>'A) Base RI'!A209</f>
        <v>5731</v>
      </c>
      <c r="B208" s="32" t="str">
        <f>'A) Base RI'!B209</f>
        <v>Le Vaud</v>
      </c>
      <c r="C208" s="288">
        <f>'B) D RI'!U209</f>
        <v>69596.613288288281</v>
      </c>
      <c r="D208" s="32">
        <f>'B) D RI'!AA209</f>
        <v>1387</v>
      </c>
      <c r="E208" s="199">
        <f t="shared" si="25"/>
        <v>50.177803380164583</v>
      </c>
      <c r="F208" s="357">
        <f t="shared" si="26"/>
        <v>1.0361879432749042</v>
      </c>
      <c r="G208" s="368">
        <f t="shared" si="27"/>
        <v>1.7524152005105336</v>
      </c>
      <c r="H208" s="365">
        <f t="shared" si="28"/>
        <v>0</v>
      </c>
      <c r="I208" s="368">
        <f t="shared" si="29"/>
        <v>0</v>
      </c>
      <c r="J208" s="365">
        <f t="shared" si="30"/>
        <v>0</v>
      </c>
      <c r="K208" s="360">
        <f t="shared" si="31"/>
        <v>0</v>
      </c>
      <c r="L208" s="364">
        <f t="shared" si="32"/>
        <v>0.35048304010210674</v>
      </c>
      <c r="M208" s="113">
        <f>L208*D208*'B) D RI'!S209</f>
        <v>35972.87827000003</v>
      </c>
    </row>
    <row r="209" spans="1:13" x14ac:dyDescent="0.25">
      <c r="A209" s="290">
        <f>'A) Base RI'!A210</f>
        <v>5732</v>
      </c>
      <c r="B209" s="32" t="str">
        <f>'A) Base RI'!B210</f>
        <v>Vich</v>
      </c>
      <c r="C209" s="288">
        <f>'B) D RI'!U210</f>
        <v>86538.031587301579</v>
      </c>
      <c r="D209" s="32">
        <f>'B) D RI'!AA210</f>
        <v>1157</v>
      </c>
      <c r="E209" s="199">
        <f t="shared" si="25"/>
        <v>74.795187197322022</v>
      </c>
      <c r="F209" s="357">
        <f t="shared" si="26"/>
        <v>1.544544917633665</v>
      </c>
      <c r="G209" s="368">
        <f t="shared" si="27"/>
        <v>26.369799017667972</v>
      </c>
      <c r="H209" s="365">
        <f t="shared" si="28"/>
        <v>16.684721381737162</v>
      </c>
      <c r="I209" s="368">
        <f t="shared" si="29"/>
        <v>2.1571049278409475</v>
      </c>
      <c r="J209" s="365">
        <f t="shared" si="30"/>
        <v>0</v>
      </c>
      <c r="K209" s="360">
        <f t="shared" si="31"/>
        <v>0</v>
      </c>
      <c r="L209" s="364">
        <f t="shared" si="32"/>
        <v>7.1581424344914053</v>
      </c>
      <c r="M209" s="113">
        <f>L209*D209*'B) D RI'!S210</f>
        <v>521764.16019251297</v>
      </c>
    </row>
    <row r="210" spans="1:13" x14ac:dyDescent="0.25">
      <c r="A210" s="290">
        <f>'A) Base RI'!A211</f>
        <v>5741</v>
      </c>
      <c r="B210" s="32" t="str">
        <f>'A) Base RI'!B211</f>
        <v>L'Abergement</v>
      </c>
      <c r="C210" s="288">
        <f>'B) D RI'!U211</f>
        <v>8987.3782921810707</v>
      </c>
      <c r="D210" s="32">
        <f>'B) D RI'!AA211</f>
        <v>256</v>
      </c>
      <c r="E210" s="199">
        <f t="shared" si="25"/>
        <v>35.106946453832307</v>
      </c>
      <c r="F210" s="357">
        <f t="shared" si="26"/>
        <v>0.72496985101262457</v>
      </c>
      <c r="G210" s="368">
        <f t="shared" si="27"/>
        <v>0</v>
      </c>
      <c r="H210" s="365">
        <f t="shared" si="28"/>
        <v>0</v>
      </c>
      <c r="I210" s="368">
        <f t="shared" si="29"/>
        <v>0</v>
      </c>
      <c r="J210" s="365">
        <f t="shared" si="30"/>
        <v>0</v>
      </c>
      <c r="K210" s="360">
        <f t="shared" si="31"/>
        <v>0</v>
      </c>
      <c r="L210" s="364">
        <f t="shared" si="32"/>
        <v>0</v>
      </c>
      <c r="M210" s="113">
        <f>L210*D210*'B) D RI'!S211</f>
        <v>0</v>
      </c>
    </row>
    <row r="211" spans="1:13" x14ac:dyDescent="0.25">
      <c r="A211" s="290">
        <f>'A) Base RI'!A212</f>
        <v>5742</v>
      </c>
      <c r="B211" s="32" t="str">
        <f>'A) Base RI'!B212</f>
        <v>Agiez</v>
      </c>
      <c r="C211" s="288">
        <f>'B) D RI'!U212</f>
        <v>10160.069605263159</v>
      </c>
      <c r="D211" s="32">
        <f>'B) D RI'!AA212</f>
        <v>375</v>
      </c>
      <c r="E211" s="199">
        <f t="shared" si="25"/>
        <v>27.093518947368423</v>
      </c>
      <c r="F211" s="357">
        <f t="shared" si="26"/>
        <v>0.55948996932876993</v>
      </c>
      <c r="G211" s="368">
        <f t="shared" si="27"/>
        <v>0</v>
      </c>
      <c r="H211" s="365">
        <f t="shared" si="28"/>
        <v>0</v>
      </c>
      <c r="I211" s="368">
        <f t="shared" si="29"/>
        <v>0</v>
      </c>
      <c r="J211" s="365">
        <f t="shared" si="30"/>
        <v>0</v>
      </c>
      <c r="K211" s="360">
        <f t="shared" si="31"/>
        <v>0</v>
      </c>
      <c r="L211" s="364">
        <f t="shared" si="32"/>
        <v>0</v>
      </c>
      <c r="M211" s="113">
        <f>L211*D211*'B) D RI'!S212</f>
        <v>0</v>
      </c>
    </row>
    <row r="212" spans="1:13" x14ac:dyDescent="0.25">
      <c r="A212" s="290">
        <f>'A) Base RI'!A213</f>
        <v>5743</v>
      </c>
      <c r="B212" s="32" t="str">
        <f>'A) Base RI'!B213</f>
        <v>Arnex-sur-Orbe</v>
      </c>
      <c r="C212" s="288">
        <f>'B) D RI'!U213</f>
        <v>18533.117816901413</v>
      </c>
      <c r="D212" s="32">
        <f>'B) D RI'!AA213</f>
        <v>665</v>
      </c>
      <c r="E212" s="199">
        <f t="shared" si="25"/>
        <v>27.869350100603629</v>
      </c>
      <c r="F212" s="357">
        <f t="shared" si="26"/>
        <v>0.57551113472153748</v>
      </c>
      <c r="G212" s="368">
        <f t="shared" si="27"/>
        <v>0</v>
      </c>
      <c r="H212" s="365">
        <f t="shared" si="28"/>
        <v>0</v>
      </c>
      <c r="I212" s="368">
        <f t="shared" si="29"/>
        <v>0</v>
      </c>
      <c r="J212" s="365">
        <f t="shared" si="30"/>
        <v>0</v>
      </c>
      <c r="K212" s="360">
        <f t="shared" si="31"/>
        <v>0</v>
      </c>
      <c r="L212" s="364">
        <f t="shared" si="32"/>
        <v>0</v>
      </c>
      <c r="M212" s="113">
        <f>L212*D212*'B) D RI'!S213</f>
        <v>0</v>
      </c>
    </row>
    <row r="213" spans="1:13" x14ac:dyDescent="0.25">
      <c r="A213" s="290">
        <f>'A) Base RI'!A214</f>
        <v>5744</v>
      </c>
      <c r="B213" s="32" t="str">
        <f>'A) Base RI'!B214</f>
        <v>Ballaigues</v>
      </c>
      <c r="C213" s="288">
        <f>'B) D RI'!U214</f>
        <v>49245.2596923077</v>
      </c>
      <c r="D213" s="32">
        <f>'B) D RI'!AA214</f>
        <v>1173</v>
      </c>
      <c r="E213" s="199">
        <f t="shared" si="25"/>
        <v>41.982318578267432</v>
      </c>
      <c r="F213" s="357">
        <f t="shared" si="26"/>
        <v>0.86694851928737504</v>
      </c>
      <c r="G213" s="368">
        <f t="shared" si="27"/>
        <v>0</v>
      </c>
      <c r="H213" s="365">
        <f t="shared" si="28"/>
        <v>0</v>
      </c>
      <c r="I213" s="368">
        <f t="shared" si="29"/>
        <v>0</v>
      </c>
      <c r="J213" s="365">
        <f t="shared" si="30"/>
        <v>0</v>
      </c>
      <c r="K213" s="360">
        <f t="shared" si="31"/>
        <v>0</v>
      </c>
      <c r="L213" s="364">
        <f t="shared" si="32"/>
        <v>0</v>
      </c>
      <c r="M213" s="113">
        <f>L213*D213*'B) D RI'!S214</f>
        <v>0</v>
      </c>
    </row>
    <row r="214" spans="1:13" x14ac:dyDescent="0.25">
      <c r="A214" s="290">
        <f>'A) Base RI'!A215</f>
        <v>5745</v>
      </c>
      <c r="B214" s="32" t="str">
        <f>'A) Base RI'!B215</f>
        <v>Baulmes</v>
      </c>
      <c r="C214" s="288">
        <f>'B) D RI'!U215</f>
        <v>28471.572156862745</v>
      </c>
      <c r="D214" s="32">
        <f>'B) D RI'!AA215</f>
        <v>1126</v>
      </c>
      <c r="E214" s="199">
        <f t="shared" si="25"/>
        <v>25.285588061156968</v>
      </c>
      <c r="F214" s="357">
        <f t="shared" si="26"/>
        <v>0.5221556091063142</v>
      </c>
      <c r="G214" s="368">
        <f t="shared" si="27"/>
        <v>0</v>
      </c>
      <c r="H214" s="365">
        <f t="shared" si="28"/>
        <v>0</v>
      </c>
      <c r="I214" s="368">
        <f t="shared" si="29"/>
        <v>0</v>
      </c>
      <c r="J214" s="365">
        <f t="shared" si="30"/>
        <v>0</v>
      </c>
      <c r="K214" s="360">
        <f t="shared" si="31"/>
        <v>0</v>
      </c>
      <c r="L214" s="364">
        <f t="shared" si="32"/>
        <v>0</v>
      </c>
      <c r="M214" s="113">
        <f>L214*D214*'B) D RI'!S215</f>
        <v>0</v>
      </c>
    </row>
    <row r="215" spans="1:13" x14ac:dyDescent="0.25">
      <c r="A215" s="290">
        <f>'A) Base RI'!A216</f>
        <v>5746</v>
      </c>
      <c r="B215" s="32" t="str">
        <f>'A) Base RI'!B216</f>
        <v>Bavois</v>
      </c>
      <c r="C215" s="288">
        <f>'B) D RI'!U216</f>
        <v>27408.124908675796</v>
      </c>
      <c r="D215" s="32">
        <f>'B) D RI'!AA216</f>
        <v>978</v>
      </c>
      <c r="E215" s="199">
        <f t="shared" si="25"/>
        <v>28.024667595783022</v>
      </c>
      <c r="F215" s="357">
        <f t="shared" si="26"/>
        <v>0.57871849146183196</v>
      </c>
      <c r="G215" s="368">
        <f t="shared" si="27"/>
        <v>0</v>
      </c>
      <c r="H215" s="365">
        <f t="shared" si="28"/>
        <v>0</v>
      </c>
      <c r="I215" s="368">
        <f t="shared" si="29"/>
        <v>0</v>
      </c>
      <c r="J215" s="365">
        <f t="shared" si="30"/>
        <v>0</v>
      </c>
      <c r="K215" s="360">
        <f t="shared" si="31"/>
        <v>0</v>
      </c>
      <c r="L215" s="364">
        <f t="shared" si="32"/>
        <v>0</v>
      </c>
      <c r="M215" s="113">
        <f>L215*D215*'B) D RI'!S216</f>
        <v>0</v>
      </c>
    </row>
    <row r="216" spans="1:13" x14ac:dyDescent="0.25">
      <c r="A216" s="290">
        <f>'A) Base RI'!A217</f>
        <v>5747</v>
      </c>
      <c r="B216" s="32" t="str">
        <f>'A) Base RI'!B217</f>
        <v>Bofflens</v>
      </c>
      <c r="C216" s="288">
        <f>'B) D RI'!U217</f>
        <v>5808.1759420289845</v>
      </c>
      <c r="D216" s="32">
        <f>'B) D RI'!AA217</f>
        <v>206</v>
      </c>
      <c r="E216" s="199">
        <f t="shared" si="25"/>
        <v>28.195028844800895</v>
      </c>
      <c r="F216" s="357">
        <f t="shared" si="26"/>
        <v>0.58223650660681847</v>
      </c>
      <c r="G216" s="368">
        <f t="shared" si="27"/>
        <v>0</v>
      </c>
      <c r="H216" s="365">
        <f t="shared" si="28"/>
        <v>0</v>
      </c>
      <c r="I216" s="368">
        <f t="shared" si="29"/>
        <v>0</v>
      </c>
      <c r="J216" s="365">
        <f t="shared" si="30"/>
        <v>0</v>
      </c>
      <c r="K216" s="360">
        <f t="shared" si="31"/>
        <v>0</v>
      </c>
      <c r="L216" s="364">
        <f t="shared" si="32"/>
        <v>0</v>
      </c>
      <c r="M216" s="113">
        <f>L216*D216*'B) D RI'!S217</f>
        <v>0</v>
      </c>
    </row>
    <row r="217" spans="1:13" x14ac:dyDescent="0.25">
      <c r="A217" s="290">
        <f>'A) Base RI'!A218</f>
        <v>5748</v>
      </c>
      <c r="B217" s="32" t="str">
        <f>'A) Base RI'!B218</f>
        <v>Bretonnières</v>
      </c>
      <c r="C217" s="288">
        <f>'B) D RI'!U218</f>
        <v>6643.6153664302601</v>
      </c>
      <c r="D217" s="32">
        <f>'B) D RI'!AA218</f>
        <v>266</v>
      </c>
      <c r="E217" s="199">
        <f t="shared" si="25"/>
        <v>24.975997618158871</v>
      </c>
      <c r="F217" s="357">
        <f t="shared" si="26"/>
        <v>0.51576246586811147</v>
      </c>
      <c r="G217" s="368">
        <f t="shared" si="27"/>
        <v>0</v>
      </c>
      <c r="H217" s="365">
        <f t="shared" si="28"/>
        <v>0</v>
      </c>
      <c r="I217" s="368">
        <f t="shared" si="29"/>
        <v>0</v>
      </c>
      <c r="J217" s="365">
        <f t="shared" si="30"/>
        <v>0</v>
      </c>
      <c r="K217" s="360">
        <f t="shared" si="31"/>
        <v>0</v>
      </c>
      <c r="L217" s="364">
        <f t="shared" si="32"/>
        <v>0</v>
      </c>
      <c r="M217" s="113">
        <f>L217*D217*'B) D RI'!S218</f>
        <v>0</v>
      </c>
    </row>
    <row r="218" spans="1:13" x14ac:dyDescent="0.25">
      <c r="A218" s="290">
        <f>'A) Base RI'!A219</f>
        <v>5749</v>
      </c>
      <c r="B218" s="32" t="str">
        <f>'A) Base RI'!B219</f>
        <v>Chavornay</v>
      </c>
      <c r="C218" s="288">
        <f>'B) D RI'!U219</f>
        <v>153338.61687943264</v>
      </c>
      <c r="D218" s="32">
        <f>'B) D RI'!AA219</f>
        <v>5366</v>
      </c>
      <c r="E218" s="199">
        <f t="shared" si="25"/>
        <v>28.575962892179025</v>
      </c>
      <c r="F218" s="357">
        <f t="shared" si="26"/>
        <v>0.59010291845601004</v>
      </c>
      <c r="G218" s="368">
        <f t="shared" si="27"/>
        <v>0</v>
      </c>
      <c r="H218" s="365">
        <f t="shared" si="28"/>
        <v>0</v>
      </c>
      <c r="I218" s="368">
        <f t="shared" si="29"/>
        <v>0</v>
      </c>
      <c r="J218" s="365">
        <f t="shared" si="30"/>
        <v>0</v>
      </c>
      <c r="K218" s="360">
        <f t="shared" si="31"/>
        <v>0</v>
      </c>
      <c r="L218" s="364">
        <f t="shared" si="32"/>
        <v>0</v>
      </c>
      <c r="M218" s="113">
        <f>L218*D218*'B) D RI'!S219</f>
        <v>0</v>
      </c>
    </row>
    <row r="219" spans="1:13" x14ac:dyDescent="0.25">
      <c r="A219" s="290">
        <f>'A) Base RI'!A220</f>
        <v>5750</v>
      </c>
      <c r="B219" s="32" t="str">
        <f>'A) Base RI'!B220</f>
        <v>Les Clées</v>
      </c>
      <c r="C219" s="288">
        <f>'B) D RI'!U220</f>
        <v>4819.774166666667</v>
      </c>
      <c r="D219" s="32">
        <f>'B) D RI'!AA220</f>
        <v>182</v>
      </c>
      <c r="E219" s="199">
        <f t="shared" si="25"/>
        <v>26.482275641025645</v>
      </c>
      <c r="F219" s="357">
        <f t="shared" si="26"/>
        <v>0.54686759645123884</v>
      </c>
      <c r="G219" s="368">
        <f t="shared" si="27"/>
        <v>0</v>
      </c>
      <c r="H219" s="365">
        <f t="shared" si="28"/>
        <v>0</v>
      </c>
      <c r="I219" s="368">
        <f t="shared" si="29"/>
        <v>0</v>
      </c>
      <c r="J219" s="365">
        <f t="shared" si="30"/>
        <v>0</v>
      </c>
      <c r="K219" s="360">
        <f t="shared" si="31"/>
        <v>0</v>
      </c>
      <c r="L219" s="364">
        <f t="shared" si="32"/>
        <v>0</v>
      </c>
      <c r="M219" s="113">
        <f>L219*D219*'B) D RI'!S220</f>
        <v>0</v>
      </c>
    </row>
    <row r="220" spans="1:13" x14ac:dyDescent="0.25">
      <c r="A220" s="290">
        <f>'A) Base RI'!A221</f>
        <v>5752</v>
      </c>
      <c r="B220" s="32" t="str">
        <f>'A) Base RI'!B221</f>
        <v>Croy</v>
      </c>
      <c r="C220" s="288">
        <f>'B) D RI'!U221</f>
        <v>9670.9952316602321</v>
      </c>
      <c r="D220" s="32">
        <f>'B) D RI'!AA221</f>
        <v>390</v>
      </c>
      <c r="E220" s="199">
        <f t="shared" si="25"/>
        <v>24.797423670923671</v>
      </c>
      <c r="F220" s="357">
        <f t="shared" si="26"/>
        <v>0.51207485583651591</v>
      </c>
      <c r="G220" s="368">
        <f t="shared" si="27"/>
        <v>0</v>
      </c>
      <c r="H220" s="365">
        <f t="shared" si="28"/>
        <v>0</v>
      </c>
      <c r="I220" s="368">
        <f t="shared" si="29"/>
        <v>0</v>
      </c>
      <c r="J220" s="365">
        <f t="shared" si="30"/>
        <v>0</v>
      </c>
      <c r="K220" s="360">
        <f t="shared" si="31"/>
        <v>0</v>
      </c>
      <c r="L220" s="364">
        <f t="shared" si="32"/>
        <v>0</v>
      </c>
      <c r="M220" s="113">
        <f>L220*D220*'B) D RI'!S221</f>
        <v>0</v>
      </c>
    </row>
    <row r="221" spans="1:13" x14ac:dyDescent="0.25">
      <c r="A221" s="290">
        <f>'A) Base RI'!A222</f>
        <v>5754</v>
      </c>
      <c r="B221" s="32" t="str">
        <f>'A) Base RI'!B222</f>
        <v>Juriens</v>
      </c>
      <c r="C221" s="288">
        <f>'B) D RI'!U222</f>
        <v>9073.6935443037964</v>
      </c>
      <c r="D221" s="32">
        <f>'B) D RI'!AA222</f>
        <v>348</v>
      </c>
      <c r="E221" s="199">
        <f t="shared" si="25"/>
        <v>26.073832023861485</v>
      </c>
      <c r="F221" s="357">
        <f t="shared" si="26"/>
        <v>0.53843310304771941</v>
      </c>
      <c r="G221" s="368">
        <f t="shared" si="27"/>
        <v>0</v>
      </c>
      <c r="H221" s="365">
        <f t="shared" si="28"/>
        <v>0</v>
      </c>
      <c r="I221" s="368">
        <f t="shared" si="29"/>
        <v>0</v>
      </c>
      <c r="J221" s="365">
        <f t="shared" si="30"/>
        <v>0</v>
      </c>
      <c r="K221" s="360">
        <f t="shared" si="31"/>
        <v>0</v>
      </c>
      <c r="L221" s="364">
        <f t="shared" si="32"/>
        <v>0</v>
      </c>
      <c r="M221" s="113">
        <f>L221*D221*'B) D RI'!S222</f>
        <v>0</v>
      </c>
    </row>
    <row r="222" spans="1:13" x14ac:dyDescent="0.25">
      <c r="A222" s="290">
        <f>'A) Base RI'!A223</f>
        <v>5755</v>
      </c>
      <c r="B222" s="32" t="str">
        <f>'A) Base RI'!B223</f>
        <v>Lignerolle</v>
      </c>
      <c r="C222" s="288">
        <f>'B) D RI'!U223</f>
        <v>10746.718034576888</v>
      </c>
      <c r="D222" s="32">
        <f>'B) D RI'!AA223</f>
        <v>409</v>
      </c>
      <c r="E222" s="199">
        <f t="shared" si="25"/>
        <v>26.275594216569409</v>
      </c>
      <c r="F222" s="357">
        <f t="shared" si="26"/>
        <v>0.54259955788251402</v>
      </c>
      <c r="G222" s="368">
        <f t="shared" si="27"/>
        <v>0</v>
      </c>
      <c r="H222" s="365">
        <f t="shared" si="28"/>
        <v>0</v>
      </c>
      <c r="I222" s="368">
        <f t="shared" si="29"/>
        <v>0</v>
      </c>
      <c r="J222" s="365">
        <f t="shared" si="30"/>
        <v>0</v>
      </c>
      <c r="K222" s="360">
        <f t="shared" si="31"/>
        <v>0</v>
      </c>
      <c r="L222" s="364">
        <f t="shared" si="32"/>
        <v>0</v>
      </c>
      <c r="M222" s="113">
        <f>L222*D222*'B) D RI'!S223</f>
        <v>0</v>
      </c>
    </row>
    <row r="223" spans="1:13" x14ac:dyDescent="0.25">
      <c r="A223" s="290">
        <f>'A) Base RI'!A224</f>
        <v>5756</v>
      </c>
      <c r="B223" s="32" t="str">
        <f>'A) Base RI'!B224</f>
        <v>Montcherand</v>
      </c>
      <c r="C223" s="288">
        <f>'B) D RI'!U224</f>
        <v>17739.52444444444</v>
      </c>
      <c r="D223" s="32">
        <f>'B) D RI'!AA224</f>
        <v>502</v>
      </c>
      <c r="E223" s="199">
        <f t="shared" si="25"/>
        <v>35.337698096502869</v>
      </c>
      <c r="F223" s="357">
        <f t="shared" si="26"/>
        <v>0.72973494740822786</v>
      </c>
      <c r="G223" s="368">
        <f t="shared" si="27"/>
        <v>0</v>
      </c>
      <c r="H223" s="365">
        <f t="shared" si="28"/>
        <v>0</v>
      </c>
      <c r="I223" s="368">
        <f t="shared" si="29"/>
        <v>0</v>
      </c>
      <c r="J223" s="365">
        <f t="shared" si="30"/>
        <v>0</v>
      </c>
      <c r="K223" s="360">
        <f t="shared" si="31"/>
        <v>0</v>
      </c>
      <c r="L223" s="364">
        <f t="shared" si="32"/>
        <v>0</v>
      </c>
      <c r="M223" s="113">
        <f>L223*D223*'B) D RI'!S224</f>
        <v>0</v>
      </c>
    </row>
    <row r="224" spans="1:13" x14ac:dyDescent="0.25">
      <c r="A224" s="290">
        <f>'A) Base RI'!A225</f>
        <v>5757</v>
      </c>
      <c r="B224" s="32" t="str">
        <f>'A) Base RI'!B225</f>
        <v>Orbe</v>
      </c>
      <c r="C224" s="288">
        <f>'B) D RI'!U225</f>
        <v>216184.82317880794</v>
      </c>
      <c r="D224" s="32">
        <f>'B) D RI'!AA225</f>
        <v>7570</v>
      </c>
      <c r="E224" s="199">
        <f t="shared" si="25"/>
        <v>28.558100816222979</v>
      </c>
      <c r="F224" s="357">
        <f t="shared" si="26"/>
        <v>0.5897340607838778</v>
      </c>
      <c r="G224" s="368">
        <f t="shared" si="27"/>
        <v>0</v>
      </c>
      <c r="H224" s="365">
        <f t="shared" si="28"/>
        <v>0</v>
      </c>
      <c r="I224" s="368">
        <f t="shared" si="29"/>
        <v>0</v>
      </c>
      <c r="J224" s="365">
        <f t="shared" si="30"/>
        <v>0</v>
      </c>
      <c r="K224" s="360">
        <f t="shared" si="31"/>
        <v>0</v>
      </c>
      <c r="L224" s="364">
        <f t="shared" si="32"/>
        <v>0</v>
      </c>
      <c r="M224" s="113">
        <f>L224*D224*'B) D RI'!S225</f>
        <v>0</v>
      </c>
    </row>
    <row r="225" spans="1:13" x14ac:dyDescent="0.25">
      <c r="A225" s="290">
        <f>'A) Base RI'!A226</f>
        <v>5758</v>
      </c>
      <c r="B225" s="32" t="str">
        <f>'A) Base RI'!B226</f>
        <v>La Praz</v>
      </c>
      <c r="C225" s="288">
        <f>'B) D RI'!U226</f>
        <v>4771.8661445783146</v>
      </c>
      <c r="D225" s="32">
        <f>'B) D RI'!AA226</f>
        <v>182</v>
      </c>
      <c r="E225" s="199">
        <f t="shared" si="25"/>
        <v>26.219044750430299</v>
      </c>
      <c r="F225" s="357">
        <f t="shared" si="26"/>
        <v>0.54143179303302402</v>
      </c>
      <c r="G225" s="368">
        <f t="shared" si="27"/>
        <v>0</v>
      </c>
      <c r="H225" s="365">
        <f t="shared" si="28"/>
        <v>0</v>
      </c>
      <c r="I225" s="368">
        <f t="shared" si="29"/>
        <v>0</v>
      </c>
      <c r="J225" s="365">
        <f t="shared" si="30"/>
        <v>0</v>
      </c>
      <c r="K225" s="360">
        <f t="shared" si="31"/>
        <v>0</v>
      </c>
      <c r="L225" s="364">
        <f t="shared" si="32"/>
        <v>0</v>
      </c>
      <c r="M225" s="113">
        <f>L225*D225*'B) D RI'!S226</f>
        <v>0</v>
      </c>
    </row>
    <row r="226" spans="1:13" x14ac:dyDescent="0.25">
      <c r="A226" s="290">
        <f>'A) Base RI'!A227</f>
        <v>5759</v>
      </c>
      <c r="B226" s="32" t="str">
        <f>'A) Base RI'!B227</f>
        <v>Premier</v>
      </c>
      <c r="C226" s="288">
        <f>'B) D RI'!U227</f>
        <v>5900.0572327044019</v>
      </c>
      <c r="D226" s="32">
        <f>'B) D RI'!AA227</f>
        <v>232</v>
      </c>
      <c r="E226" s="199">
        <f t="shared" si="25"/>
        <v>25.431281175450007</v>
      </c>
      <c r="F226" s="357">
        <f t="shared" si="26"/>
        <v>0.52516421925420875</v>
      </c>
      <c r="G226" s="368">
        <f t="shared" si="27"/>
        <v>0</v>
      </c>
      <c r="H226" s="365">
        <f t="shared" si="28"/>
        <v>0</v>
      </c>
      <c r="I226" s="368">
        <f t="shared" si="29"/>
        <v>0</v>
      </c>
      <c r="J226" s="365">
        <f t="shared" si="30"/>
        <v>0</v>
      </c>
      <c r="K226" s="360">
        <f t="shared" si="31"/>
        <v>0</v>
      </c>
      <c r="L226" s="364">
        <f t="shared" si="32"/>
        <v>0</v>
      </c>
      <c r="M226" s="113">
        <f>L226*D226*'B) D RI'!S227</f>
        <v>0</v>
      </c>
    </row>
    <row r="227" spans="1:13" x14ac:dyDescent="0.25">
      <c r="A227" s="290">
        <f>'A) Base RI'!A228</f>
        <v>5760</v>
      </c>
      <c r="B227" s="32" t="str">
        <f>'A) Base RI'!B228</f>
        <v>Rances</v>
      </c>
      <c r="C227" s="288">
        <f>'B) D RI'!U228</f>
        <v>14481.892461873636</v>
      </c>
      <c r="D227" s="32">
        <f>'B) D RI'!AA228</f>
        <v>512</v>
      </c>
      <c r="E227" s="199">
        <f t="shared" si="25"/>
        <v>28.284946214596946</v>
      </c>
      <c r="F227" s="357">
        <f t="shared" si="26"/>
        <v>0.58409332950852588</v>
      </c>
      <c r="G227" s="368">
        <f t="shared" si="27"/>
        <v>0</v>
      </c>
      <c r="H227" s="365">
        <f t="shared" si="28"/>
        <v>0</v>
      </c>
      <c r="I227" s="368">
        <f t="shared" si="29"/>
        <v>0</v>
      </c>
      <c r="J227" s="365">
        <f t="shared" si="30"/>
        <v>0</v>
      </c>
      <c r="K227" s="360">
        <f t="shared" si="31"/>
        <v>0</v>
      </c>
      <c r="L227" s="364">
        <f t="shared" si="32"/>
        <v>0</v>
      </c>
      <c r="M227" s="113">
        <f>L227*D227*'B) D RI'!S228</f>
        <v>0</v>
      </c>
    </row>
    <row r="228" spans="1:13" x14ac:dyDescent="0.25">
      <c r="A228" s="290">
        <f>'A) Base RI'!A229</f>
        <v>5761</v>
      </c>
      <c r="B228" s="32" t="str">
        <f>'A) Base RI'!B229</f>
        <v>Romainmôtier-Envy</v>
      </c>
      <c r="C228" s="288">
        <f>'B) D RI'!U229</f>
        <v>12913.984792368126</v>
      </c>
      <c r="D228" s="32">
        <f>'B) D RI'!AA229</f>
        <v>551</v>
      </c>
      <c r="E228" s="199">
        <f t="shared" si="25"/>
        <v>23.437358969815111</v>
      </c>
      <c r="F228" s="357">
        <f t="shared" si="26"/>
        <v>0.48398907785446166</v>
      </c>
      <c r="G228" s="368">
        <f t="shared" si="27"/>
        <v>0</v>
      </c>
      <c r="H228" s="365">
        <f t="shared" si="28"/>
        <v>0</v>
      </c>
      <c r="I228" s="368">
        <f t="shared" si="29"/>
        <v>0</v>
      </c>
      <c r="J228" s="365">
        <f t="shared" si="30"/>
        <v>0</v>
      </c>
      <c r="K228" s="360">
        <f t="shared" si="31"/>
        <v>0</v>
      </c>
      <c r="L228" s="364">
        <f t="shared" si="32"/>
        <v>0</v>
      </c>
      <c r="M228" s="113">
        <f>L228*D228*'B) D RI'!S229</f>
        <v>0</v>
      </c>
    </row>
    <row r="229" spans="1:13" x14ac:dyDescent="0.25">
      <c r="A229" s="290">
        <f>'A) Base RI'!A230</f>
        <v>5762</v>
      </c>
      <c r="B229" s="32" t="str">
        <f>'A) Base RI'!B230</f>
        <v>Sergey</v>
      </c>
      <c r="C229" s="288">
        <f>'B) D RI'!U230</f>
        <v>3849.6283333333336</v>
      </c>
      <c r="D229" s="32">
        <f>'B) D RI'!AA230</f>
        <v>141</v>
      </c>
      <c r="E229" s="199">
        <f t="shared" si="25"/>
        <v>27.302328605200948</v>
      </c>
      <c r="F229" s="357">
        <f t="shared" si="26"/>
        <v>0.5638019566082082</v>
      </c>
      <c r="G229" s="368">
        <f t="shared" si="27"/>
        <v>0</v>
      </c>
      <c r="H229" s="365">
        <f t="shared" si="28"/>
        <v>0</v>
      </c>
      <c r="I229" s="368">
        <f t="shared" si="29"/>
        <v>0</v>
      </c>
      <c r="J229" s="365">
        <f t="shared" si="30"/>
        <v>0</v>
      </c>
      <c r="K229" s="360">
        <f t="shared" si="31"/>
        <v>0</v>
      </c>
      <c r="L229" s="364">
        <f t="shared" si="32"/>
        <v>0</v>
      </c>
      <c r="M229" s="113">
        <f>L229*D229*'B) D RI'!S230</f>
        <v>0</v>
      </c>
    </row>
    <row r="230" spans="1:13" x14ac:dyDescent="0.25">
      <c r="A230" s="290">
        <f>'A) Base RI'!A231</f>
        <v>5763</v>
      </c>
      <c r="B230" s="32" t="str">
        <f>'A) Base RI'!B231</f>
        <v>Valeyres-sous-Rances</v>
      </c>
      <c r="C230" s="288">
        <f>'B) D RI'!U231</f>
        <v>22663.97352941176</v>
      </c>
      <c r="D230" s="32">
        <f>'B) D RI'!AA231</f>
        <v>614</v>
      </c>
      <c r="E230" s="199">
        <f t="shared" si="25"/>
        <v>36.912009005556612</v>
      </c>
      <c r="F230" s="357">
        <f t="shared" si="26"/>
        <v>0.76224497919595846</v>
      </c>
      <c r="G230" s="368">
        <f t="shared" si="27"/>
        <v>0</v>
      </c>
      <c r="H230" s="365">
        <f t="shared" si="28"/>
        <v>0</v>
      </c>
      <c r="I230" s="368">
        <f t="shared" si="29"/>
        <v>0</v>
      </c>
      <c r="J230" s="365">
        <f t="shared" si="30"/>
        <v>0</v>
      </c>
      <c r="K230" s="360">
        <f t="shared" si="31"/>
        <v>0</v>
      </c>
      <c r="L230" s="364">
        <f t="shared" si="32"/>
        <v>0</v>
      </c>
      <c r="M230" s="113">
        <f>L230*D230*'B) D RI'!S231</f>
        <v>0</v>
      </c>
    </row>
    <row r="231" spans="1:13" x14ac:dyDescent="0.25">
      <c r="A231" s="290">
        <f>'A) Base RI'!A232</f>
        <v>5764</v>
      </c>
      <c r="B231" s="32" t="str">
        <f>'A) Base RI'!B232</f>
        <v>Vallorbe</v>
      </c>
      <c r="C231" s="288">
        <f>'B) D RI'!U232</f>
        <v>83682.382797202779</v>
      </c>
      <c r="D231" s="32">
        <f>'B) D RI'!AA232</f>
        <v>3924</v>
      </c>
      <c r="E231" s="199">
        <f t="shared" si="25"/>
        <v>21.325785626198467</v>
      </c>
      <c r="F231" s="357">
        <f t="shared" si="26"/>
        <v>0.44038440222888098</v>
      </c>
      <c r="G231" s="368">
        <f t="shared" si="27"/>
        <v>0</v>
      </c>
      <c r="H231" s="365">
        <f t="shared" si="28"/>
        <v>0</v>
      </c>
      <c r="I231" s="368">
        <f t="shared" si="29"/>
        <v>0</v>
      </c>
      <c r="J231" s="365">
        <f t="shared" si="30"/>
        <v>0</v>
      </c>
      <c r="K231" s="360">
        <f t="shared" si="31"/>
        <v>0</v>
      </c>
      <c r="L231" s="364">
        <f t="shared" si="32"/>
        <v>0</v>
      </c>
      <c r="M231" s="113">
        <f>L231*D231*'B) D RI'!S232</f>
        <v>0</v>
      </c>
    </row>
    <row r="232" spans="1:13" x14ac:dyDescent="0.25">
      <c r="A232" s="290">
        <f>'A) Base RI'!A233</f>
        <v>5765</v>
      </c>
      <c r="B232" s="32" t="str">
        <f>'A) Base RI'!B233</f>
        <v>Vaulion</v>
      </c>
      <c r="C232" s="288">
        <f>'B) D RI'!U233</f>
        <v>10279.479012345679</v>
      </c>
      <c r="D232" s="32">
        <f>'B) D RI'!AA233</f>
        <v>492</v>
      </c>
      <c r="E232" s="199">
        <f t="shared" si="25"/>
        <v>20.893250025092843</v>
      </c>
      <c r="F232" s="357">
        <f t="shared" si="26"/>
        <v>0.43145240152914566</v>
      </c>
      <c r="G232" s="368">
        <f t="shared" si="27"/>
        <v>0</v>
      </c>
      <c r="H232" s="365">
        <f t="shared" si="28"/>
        <v>0</v>
      </c>
      <c r="I232" s="368">
        <f t="shared" si="29"/>
        <v>0</v>
      </c>
      <c r="J232" s="365">
        <f t="shared" si="30"/>
        <v>0</v>
      </c>
      <c r="K232" s="360">
        <f t="shared" si="31"/>
        <v>0</v>
      </c>
      <c r="L232" s="364">
        <f t="shared" si="32"/>
        <v>0</v>
      </c>
      <c r="M232" s="113">
        <f>L232*D232*'B) D RI'!S233</f>
        <v>0</v>
      </c>
    </row>
    <row r="233" spans="1:13" x14ac:dyDescent="0.25">
      <c r="A233" s="290">
        <f>'A) Base RI'!A234</f>
        <v>5766</v>
      </c>
      <c r="B233" s="32" t="str">
        <f>'A) Base RI'!B234</f>
        <v>Vuiteboeuf</v>
      </c>
      <c r="C233" s="288">
        <f>'B) D RI'!U234</f>
        <v>15554.101904761903</v>
      </c>
      <c r="D233" s="32">
        <f>'B) D RI'!AA234</f>
        <v>591</v>
      </c>
      <c r="E233" s="199">
        <f t="shared" si="25"/>
        <v>26.318277334622508</v>
      </c>
      <c r="F233" s="357">
        <f t="shared" si="26"/>
        <v>0.54348097813865626</v>
      </c>
      <c r="G233" s="368">
        <f t="shared" si="27"/>
        <v>0</v>
      </c>
      <c r="H233" s="365">
        <f t="shared" si="28"/>
        <v>0</v>
      </c>
      <c r="I233" s="368">
        <f t="shared" si="29"/>
        <v>0</v>
      </c>
      <c r="J233" s="365">
        <f t="shared" si="30"/>
        <v>0</v>
      </c>
      <c r="K233" s="360">
        <f t="shared" si="31"/>
        <v>0</v>
      </c>
      <c r="L233" s="364">
        <f t="shared" si="32"/>
        <v>0</v>
      </c>
      <c r="M233" s="113">
        <f>L233*D233*'B) D RI'!S234</f>
        <v>0</v>
      </c>
    </row>
    <row r="234" spans="1:13" x14ac:dyDescent="0.25">
      <c r="A234" s="290">
        <f>'A) Base RI'!A235</f>
        <v>5785</v>
      </c>
      <c r="B234" s="32" t="str">
        <f>'A) Base RI'!B235</f>
        <v>Corcelles-le-Jorat</v>
      </c>
      <c r="C234" s="288">
        <f>'B) D RI'!U235</f>
        <v>14579.940909090908</v>
      </c>
      <c r="D234" s="32">
        <f>'B) D RI'!AA235</f>
        <v>489</v>
      </c>
      <c r="E234" s="199">
        <f t="shared" si="25"/>
        <v>29.815830079940508</v>
      </c>
      <c r="F234" s="357">
        <f t="shared" si="26"/>
        <v>0.61570657873358348</v>
      </c>
      <c r="G234" s="368">
        <f t="shared" si="27"/>
        <v>0</v>
      </c>
      <c r="H234" s="365">
        <f t="shared" si="28"/>
        <v>0</v>
      </c>
      <c r="I234" s="368">
        <f t="shared" si="29"/>
        <v>0</v>
      </c>
      <c r="J234" s="365">
        <f t="shared" si="30"/>
        <v>0</v>
      </c>
      <c r="K234" s="360">
        <f t="shared" si="31"/>
        <v>0</v>
      </c>
      <c r="L234" s="364">
        <f t="shared" si="32"/>
        <v>0</v>
      </c>
      <c r="M234" s="113">
        <f>L234*D234*'B) D RI'!S235</f>
        <v>0</v>
      </c>
    </row>
    <row r="235" spans="1:13" x14ac:dyDescent="0.25">
      <c r="A235" s="290">
        <f>'A) Base RI'!A236</f>
        <v>5788</v>
      </c>
      <c r="B235" s="32" t="str">
        <f>'A) Base RI'!B236</f>
        <v>Essertes</v>
      </c>
      <c r="C235" s="288">
        <f>'B) D RI'!U236</f>
        <v>13314.951048951047</v>
      </c>
      <c r="D235" s="32">
        <f>'B) D RI'!AA236</f>
        <v>397</v>
      </c>
      <c r="E235" s="199">
        <f t="shared" si="25"/>
        <v>33.538919518768381</v>
      </c>
      <c r="F235" s="357">
        <f t="shared" si="26"/>
        <v>0.69258958532953541</v>
      </c>
      <c r="G235" s="368">
        <f t="shared" si="27"/>
        <v>0</v>
      </c>
      <c r="H235" s="365">
        <f t="shared" si="28"/>
        <v>0</v>
      </c>
      <c r="I235" s="368">
        <f t="shared" si="29"/>
        <v>0</v>
      </c>
      <c r="J235" s="365">
        <f t="shared" si="30"/>
        <v>0</v>
      </c>
      <c r="K235" s="360">
        <f t="shared" si="31"/>
        <v>0</v>
      </c>
      <c r="L235" s="364">
        <f t="shared" si="32"/>
        <v>0</v>
      </c>
      <c r="M235" s="113">
        <f>L235*D235*'B) D RI'!S236</f>
        <v>0</v>
      </c>
    </row>
    <row r="236" spans="1:13" x14ac:dyDescent="0.25">
      <c r="A236" s="290">
        <f>'A) Base RI'!A237</f>
        <v>5790</v>
      </c>
      <c r="B236" s="32" t="str">
        <f>'A) Base RI'!B237</f>
        <v>Maracon</v>
      </c>
      <c r="C236" s="288">
        <f>'B) D RI'!U237</f>
        <v>15172.050604026846</v>
      </c>
      <c r="D236" s="32">
        <f>'B) D RI'!AA237</f>
        <v>547</v>
      </c>
      <c r="E236" s="199">
        <f t="shared" si="25"/>
        <v>27.736838398586556</v>
      </c>
      <c r="F236" s="357">
        <f t="shared" si="26"/>
        <v>0.57277472501996796</v>
      </c>
      <c r="G236" s="368">
        <f t="shared" si="27"/>
        <v>0</v>
      </c>
      <c r="H236" s="365">
        <f t="shared" si="28"/>
        <v>0</v>
      </c>
      <c r="I236" s="368">
        <f t="shared" si="29"/>
        <v>0</v>
      </c>
      <c r="J236" s="365">
        <f t="shared" si="30"/>
        <v>0</v>
      </c>
      <c r="K236" s="360">
        <f t="shared" si="31"/>
        <v>0</v>
      </c>
      <c r="L236" s="364">
        <f t="shared" si="32"/>
        <v>0</v>
      </c>
      <c r="M236" s="113">
        <f>L236*D236*'B) D RI'!S237</f>
        <v>0</v>
      </c>
    </row>
    <row r="237" spans="1:13" x14ac:dyDescent="0.25">
      <c r="A237" s="290">
        <f>'A) Base RI'!A238</f>
        <v>5792</v>
      </c>
      <c r="B237" s="32" t="str">
        <f>'A) Base RI'!B238</f>
        <v>Montpreveyres</v>
      </c>
      <c r="C237" s="288">
        <f>'B) D RI'!U238</f>
        <v>20145.836291390729</v>
      </c>
      <c r="D237" s="32">
        <f>'B) D RI'!AA238</f>
        <v>662</v>
      </c>
      <c r="E237" s="199">
        <f t="shared" si="25"/>
        <v>30.431776875212581</v>
      </c>
      <c r="F237" s="357">
        <f t="shared" si="26"/>
        <v>0.6284260801857342</v>
      </c>
      <c r="G237" s="368">
        <f t="shared" si="27"/>
        <v>0</v>
      </c>
      <c r="H237" s="365">
        <f t="shared" si="28"/>
        <v>0</v>
      </c>
      <c r="I237" s="368">
        <f t="shared" si="29"/>
        <v>0</v>
      </c>
      <c r="J237" s="365">
        <f t="shared" si="30"/>
        <v>0</v>
      </c>
      <c r="K237" s="360">
        <f t="shared" si="31"/>
        <v>0</v>
      </c>
      <c r="L237" s="364">
        <f t="shared" si="32"/>
        <v>0</v>
      </c>
      <c r="M237" s="113">
        <f>L237*D237*'B) D RI'!S238</f>
        <v>0</v>
      </c>
    </row>
    <row r="238" spans="1:13" x14ac:dyDescent="0.25">
      <c r="A238" s="290">
        <f>'A) Base RI'!A239</f>
        <v>5798</v>
      </c>
      <c r="B238" s="32" t="str">
        <f>'A) Base RI'!B239</f>
        <v>Ropraz</v>
      </c>
      <c r="C238" s="288">
        <f>'B) D RI'!U239</f>
        <v>17444.805161290325</v>
      </c>
      <c r="D238" s="32">
        <f>'B) D RI'!AA239</f>
        <v>534</v>
      </c>
      <c r="E238" s="199">
        <f t="shared" si="25"/>
        <v>32.668174459345181</v>
      </c>
      <c r="F238" s="357">
        <f t="shared" si="26"/>
        <v>0.67460841693512186</v>
      </c>
      <c r="G238" s="368">
        <f t="shared" si="27"/>
        <v>0</v>
      </c>
      <c r="H238" s="365">
        <f t="shared" si="28"/>
        <v>0</v>
      </c>
      <c r="I238" s="368">
        <f t="shared" si="29"/>
        <v>0</v>
      </c>
      <c r="J238" s="365">
        <f t="shared" si="30"/>
        <v>0</v>
      </c>
      <c r="K238" s="360">
        <f t="shared" si="31"/>
        <v>0</v>
      </c>
      <c r="L238" s="364">
        <f t="shared" si="32"/>
        <v>0</v>
      </c>
      <c r="M238" s="113">
        <f>L238*D238*'B) D RI'!S239</f>
        <v>0</v>
      </c>
    </row>
    <row r="239" spans="1:13" x14ac:dyDescent="0.25">
      <c r="A239" s="290">
        <f>'A) Base RI'!A240</f>
        <v>5799</v>
      </c>
      <c r="B239" s="32" t="str">
        <f>'A) Base RI'!B240</f>
        <v>Servion</v>
      </c>
      <c r="C239" s="288">
        <f>'B) D RI'!U240</f>
        <v>71744.263478260895</v>
      </c>
      <c r="D239" s="32">
        <f>'B) D RI'!AA240</f>
        <v>2107</v>
      </c>
      <c r="E239" s="199">
        <f t="shared" si="25"/>
        <v>34.050433544499711</v>
      </c>
      <c r="F239" s="357">
        <f t="shared" si="26"/>
        <v>0.70315251615899321</v>
      </c>
      <c r="G239" s="368">
        <f t="shared" si="27"/>
        <v>0</v>
      </c>
      <c r="H239" s="365">
        <f t="shared" si="28"/>
        <v>0</v>
      </c>
      <c r="I239" s="368">
        <f t="shared" si="29"/>
        <v>0</v>
      </c>
      <c r="J239" s="365">
        <f t="shared" si="30"/>
        <v>0</v>
      </c>
      <c r="K239" s="360">
        <f t="shared" si="31"/>
        <v>0</v>
      </c>
      <c r="L239" s="364">
        <f t="shared" si="32"/>
        <v>0</v>
      </c>
      <c r="M239" s="113">
        <f>L239*D239*'B) D RI'!S240</f>
        <v>0</v>
      </c>
    </row>
    <row r="240" spans="1:13" x14ac:dyDescent="0.25">
      <c r="A240" s="290">
        <f>'A) Base RI'!A241</f>
        <v>5803</v>
      </c>
      <c r="B240" s="32" t="str">
        <f>'A) Base RI'!B241</f>
        <v>Vulliens</v>
      </c>
      <c r="C240" s="288">
        <f>'B) D RI'!U241</f>
        <v>17996.188026315795</v>
      </c>
      <c r="D240" s="32">
        <f>'B) D RI'!AA241</f>
        <v>631</v>
      </c>
      <c r="E240" s="199">
        <f t="shared" si="25"/>
        <v>28.520107807156567</v>
      </c>
      <c r="F240" s="357">
        <f t="shared" si="26"/>
        <v>0.588949492802193</v>
      </c>
      <c r="G240" s="368">
        <f t="shared" si="27"/>
        <v>0</v>
      </c>
      <c r="H240" s="365">
        <f t="shared" si="28"/>
        <v>0</v>
      </c>
      <c r="I240" s="368">
        <f t="shared" si="29"/>
        <v>0</v>
      </c>
      <c r="J240" s="365">
        <f t="shared" si="30"/>
        <v>0</v>
      </c>
      <c r="K240" s="360">
        <f t="shared" si="31"/>
        <v>0</v>
      </c>
      <c r="L240" s="364">
        <f t="shared" si="32"/>
        <v>0</v>
      </c>
      <c r="M240" s="113">
        <f>L240*D240*'B) D RI'!S241</f>
        <v>0</v>
      </c>
    </row>
    <row r="241" spans="1:13" x14ac:dyDescent="0.25">
      <c r="A241" s="290">
        <f>'A) Base RI'!A242</f>
        <v>5804</v>
      </c>
      <c r="B241" s="32" t="str">
        <f>'A) Base RI'!B242</f>
        <v>Jorat-Menthue</v>
      </c>
      <c r="C241" s="288">
        <f>'B) D RI'!U242</f>
        <v>46854.424539007086</v>
      </c>
      <c r="D241" s="32">
        <f>'B) D RI'!AA242</f>
        <v>1603</v>
      </c>
      <c r="E241" s="199">
        <f t="shared" si="25"/>
        <v>29.229210567066179</v>
      </c>
      <c r="F241" s="357">
        <f t="shared" si="26"/>
        <v>0.60359269519179293</v>
      </c>
      <c r="G241" s="368">
        <f t="shared" si="27"/>
        <v>0</v>
      </c>
      <c r="H241" s="365">
        <f t="shared" si="28"/>
        <v>0</v>
      </c>
      <c r="I241" s="368">
        <f t="shared" si="29"/>
        <v>0</v>
      </c>
      <c r="J241" s="365">
        <f t="shared" si="30"/>
        <v>0</v>
      </c>
      <c r="K241" s="360">
        <f t="shared" si="31"/>
        <v>0</v>
      </c>
      <c r="L241" s="364">
        <f t="shared" si="32"/>
        <v>0</v>
      </c>
      <c r="M241" s="113">
        <f>L241*D241*'B) D RI'!S242</f>
        <v>0</v>
      </c>
    </row>
    <row r="242" spans="1:13" x14ac:dyDescent="0.25">
      <c r="A242" s="290">
        <f>'A) Base RI'!A243</f>
        <v>5805</v>
      </c>
      <c r="B242" s="32" t="str">
        <f>'A) Base RI'!B243</f>
        <v>Oron</v>
      </c>
      <c r="C242" s="288">
        <f>'B) D RI'!U243</f>
        <v>162115.58504611329</v>
      </c>
      <c r="D242" s="32">
        <f>'B) D RI'!AA243</f>
        <v>5703</v>
      </c>
      <c r="E242" s="199">
        <f t="shared" si="25"/>
        <v>28.426369462758775</v>
      </c>
      <c r="F242" s="357">
        <f t="shared" si="26"/>
        <v>0.58701376553347129</v>
      </c>
      <c r="G242" s="368">
        <f t="shared" si="27"/>
        <v>0</v>
      </c>
      <c r="H242" s="365">
        <f t="shared" si="28"/>
        <v>0</v>
      </c>
      <c r="I242" s="368">
        <f t="shared" si="29"/>
        <v>0</v>
      </c>
      <c r="J242" s="365">
        <f t="shared" si="30"/>
        <v>0</v>
      </c>
      <c r="K242" s="360">
        <f t="shared" si="31"/>
        <v>0</v>
      </c>
      <c r="L242" s="364">
        <f t="shared" si="32"/>
        <v>0</v>
      </c>
      <c r="M242" s="113">
        <f>L242*D242*'B) D RI'!S243</f>
        <v>0</v>
      </c>
    </row>
    <row r="243" spans="1:13" x14ac:dyDescent="0.25">
      <c r="A243" s="290">
        <f>'A) Base RI'!A244</f>
        <v>5806</v>
      </c>
      <c r="B243" s="32" t="str">
        <f>'A) Base RI'!B244</f>
        <v>Jorat-Mézières</v>
      </c>
      <c r="C243" s="288">
        <f>'B) D RI'!U244</f>
        <v>102077.74465753423</v>
      </c>
      <c r="D243" s="32">
        <f>'B) D RI'!AA244</f>
        <v>3095</v>
      </c>
      <c r="E243" s="199">
        <f t="shared" si="25"/>
        <v>32.981500697103144</v>
      </c>
      <c r="F243" s="357">
        <f t="shared" si="26"/>
        <v>0.68107870554892813</v>
      </c>
      <c r="G243" s="368">
        <f t="shared" si="27"/>
        <v>0</v>
      </c>
      <c r="H243" s="365">
        <f t="shared" si="28"/>
        <v>0</v>
      </c>
      <c r="I243" s="368">
        <f t="shared" si="29"/>
        <v>0</v>
      </c>
      <c r="J243" s="365">
        <f t="shared" si="30"/>
        <v>0</v>
      </c>
      <c r="K243" s="360">
        <f t="shared" si="31"/>
        <v>0</v>
      </c>
      <c r="L243" s="364">
        <f t="shared" si="32"/>
        <v>0</v>
      </c>
      <c r="M243" s="113">
        <f>L243*D243*'B) D RI'!S244</f>
        <v>0</v>
      </c>
    </row>
    <row r="244" spans="1:13" x14ac:dyDescent="0.25">
      <c r="A244" s="290">
        <f>'A) Base RI'!A245</f>
        <v>5812</v>
      </c>
      <c r="B244" s="32" t="str">
        <f>'A) Base RI'!B245</f>
        <v>Champtauroz</v>
      </c>
      <c r="C244" s="288">
        <f>'B) D RI'!U245</f>
        <v>3349.1505194805191</v>
      </c>
      <c r="D244" s="32">
        <f>'B) D RI'!AA245</f>
        <v>169</v>
      </c>
      <c r="E244" s="199">
        <f t="shared" si="25"/>
        <v>19.817458695151</v>
      </c>
      <c r="F244" s="357">
        <f t="shared" si="26"/>
        <v>0.40923696102610313</v>
      </c>
      <c r="G244" s="368">
        <f t="shared" si="27"/>
        <v>0</v>
      </c>
      <c r="H244" s="365">
        <f t="shared" si="28"/>
        <v>0</v>
      </c>
      <c r="I244" s="368">
        <f t="shared" si="29"/>
        <v>0</v>
      </c>
      <c r="J244" s="365">
        <f t="shared" si="30"/>
        <v>0</v>
      </c>
      <c r="K244" s="360">
        <f t="shared" si="31"/>
        <v>0</v>
      </c>
      <c r="L244" s="364">
        <f t="shared" si="32"/>
        <v>0</v>
      </c>
      <c r="M244" s="113">
        <f>L244*D244*'B) D RI'!S245</f>
        <v>0</v>
      </c>
    </row>
    <row r="245" spans="1:13" x14ac:dyDescent="0.25">
      <c r="A245" s="290">
        <f>'A) Base RI'!A246</f>
        <v>5813</v>
      </c>
      <c r="B245" s="32" t="str">
        <f>'A) Base RI'!B246</f>
        <v>Chevroux</v>
      </c>
      <c r="C245" s="288">
        <f>'B) D RI'!U246</f>
        <v>15276.905328467155</v>
      </c>
      <c r="D245" s="32">
        <f>'B) D RI'!AA246</f>
        <v>506</v>
      </c>
      <c r="E245" s="199">
        <f t="shared" si="25"/>
        <v>30.191512506852085</v>
      </c>
      <c r="F245" s="357">
        <f t="shared" si="26"/>
        <v>0.62346454291381526</v>
      </c>
      <c r="G245" s="368">
        <f t="shared" si="27"/>
        <v>0</v>
      </c>
      <c r="H245" s="365">
        <f t="shared" si="28"/>
        <v>0</v>
      </c>
      <c r="I245" s="368">
        <f t="shared" si="29"/>
        <v>0</v>
      </c>
      <c r="J245" s="365">
        <f t="shared" si="30"/>
        <v>0</v>
      </c>
      <c r="K245" s="360">
        <f t="shared" si="31"/>
        <v>0</v>
      </c>
      <c r="L245" s="364">
        <f t="shared" si="32"/>
        <v>0</v>
      </c>
      <c r="M245" s="113">
        <f>L245*D245*'B) D RI'!S246</f>
        <v>0</v>
      </c>
    </row>
    <row r="246" spans="1:13" x14ac:dyDescent="0.25">
      <c r="A246" s="290">
        <f>'A) Base RI'!A247</f>
        <v>5816</v>
      </c>
      <c r="B246" s="32" t="str">
        <f>'A) Base RI'!B247</f>
        <v>Corcelles-près-Payerne</v>
      </c>
      <c r="C246" s="288">
        <f>'B) D RI'!U247</f>
        <v>65651.255161626686</v>
      </c>
      <c r="D246" s="32">
        <f>'B) D RI'!AA247</f>
        <v>2722</v>
      </c>
      <c r="E246" s="199">
        <f t="shared" si="25"/>
        <v>24.118756488474169</v>
      </c>
      <c r="F246" s="357">
        <f t="shared" si="26"/>
        <v>0.49806015801041481</v>
      </c>
      <c r="G246" s="368">
        <f t="shared" si="27"/>
        <v>0</v>
      </c>
      <c r="H246" s="365">
        <f t="shared" si="28"/>
        <v>0</v>
      </c>
      <c r="I246" s="368">
        <f t="shared" si="29"/>
        <v>0</v>
      </c>
      <c r="J246" s="365">
        <f t="shared" si="30"/>
        <v>0</v>
      </c>
      <c r="K246" s="360">
        <f t="shared" si="31"/>
        <v>0</v>
      </c>
      <c r="L246" s="364">
        <f t="shared" si="32"/>
        <v>0</v>
      </c>
      <c r="M246" s="113">
        <f>L246*D246*'B) D RI'!S247</f>
        <v>0</v>
      </c>
    </row>
    <row r="247" spans="1:13" x14ac:dyDescent="0.25">
      <c r="A247" s="290">
        <f>'A) Base RI'!A248</f>
        <v>5817</v>
      </c>
      <c r="B247" s="32" t="str">
        <f>'A) Base RI'!B248</f>
        <v>Grandcour</v>
      </c>
      <c r="C247" s="288">
        <f>'B) D RI'!U248</f>
        <v>24623.103809523807</v>
      </c>
      <c r="D247" s="32">
        <f>'B) D RI'!AA248</f>
        <v>987</v>
      </c>
      <c r="E247" s="199">
        <f t="shared" si="25"/>
        <v>24.947420273073767</v>
      </c>
      <c r="F247" s="357">
        <f t="shared" si="26"/>
        <v>0.51517233440692245</v>
      </c>
      <c r="G247" s="368">
        <f t="shared" si="27"/>
        <v>0</v>
      </c>
      <c r="H247" s="365">
        <f t="shared" si="28"/>
        <v>0</v>
      </c>
      <c r="I247" s="368">
        <f t="shared" si="29"/>
        <v>0</v>
      </c>
      <c r="J247" s="365">
        <f t="shared" si="30"/>
        <v>0</v>
      </c>
      <c r="K247" s="360">
        <f t="shared" si="31"/>
        <v>0</v>
      </c>
      <c r="L247" s="364">
        <f t="shared" si="32"/>
        <v>0</v>
      </c>
      <c r="M247" s="113">
        <f>L247*D247*'B) D RI'!S248</f>
        <v>0</v>
      </c>
    </row>
    <row r="248" spans="1:13" x14ac:dyDescent="0.25">
      <c r="A248" s="290">
        <f>'A) Base RI'!A249</f>
        <v>5819</v>
      </c>
      <c r="B248" s="32" t="str">
        <f>'A) Base RI'!B249</f>
        <v>Henniez</v>
      </c>
      <c r="C248" s="288">
        <f>'B) D RI'!U249</f>
        <v>10073.647101449274</v>
      </c>
      <c r="D248" s="32">
        <f>'B) D RI'!AA249</f>
        <v>407</v>
      </c>
      <c r="E248" s="199">
        <f t="shared" si="25"/>
        <v>24.750975679236547</v>
      </c>
      <c r="F248" s="357">
        <f t="shared" si="26"/>
        <v>0.51111568971657062</v>
      </c>
      <c r="G248" s="368">
        <f t="shared" si="27"/>
        <v>0</v>
      </c>
      <c r="H248" s="365">
        <f t="shared" si="28"/>
        <v>0</v>
      </c>
      <c r="I248" s="368">
        <f t="shared" si="29"/>
        <v>0</v>
      </c>
      <c r="J248" s="365">
        <f t="shared" si="30"/>
        <v>0</v>
      </c>
      <c r="K248" s="360">
        <f t="shared" si="31"/>
        <v>0</v>
      </c>
      <c r="L248" s="364">
        <f t="shared" si="32"/>
        <v>0</v>
      </c>
      <c r="M248" s="113">
        <f>L248*D248*'B) D RI'!S249</f>
        <v>0</v>
      </c>
    </row>
    <row r="249" spans="1:13" x14ac:dyDescent="0.25">
      <c r="A249" s="290">
        <f>'A) Base RI'!A250</f>
        <v>5821</v>
      </c>
      <c r="B249" s="32" t="str">
        <f>'A) Base RI'!B250</f>
        <v>Missy</v>
      </c>
      <c r="C249" s="288">
        <f>'B) D RI'!U250</f>
        <v>8044.6855555555558</v>
      </c>
      <c r="D249" s="32">
        <f>'B) D RI'!AA250</f>
        <v>366</v>
      </c>
      <c r="E249" s="199">
        <f t="shared" si="25"/>
        <v>21.98001517911354</v>
      </c>
      <c r="F249" s="357">
        <f t="shared" si="26"/>
        <v>0.4538944550649664</v>
      </c>
      <c r="G249" s="368">
        <f t="shared" si="27"/>
        <v>0</v>
      </c>
      <c r="H249" s="365">
        <f t="shared" si="28"/>
        <v>0</v>
      </c>
      <c r="I249" s="368">
        <f t="shared" si="29"/>
        <v>0</v>
      </c>
      <c r="J249" s="365">
        <f t="shared" si="30"/>
        <v>0</v>
      </c>
      <c r="K249" s="360">
        <f t="shared" si="31"/>
        <v>0</v>
      </c>
      <c r="L249" s="364">
        <f t="shared" si="32"/>
        <v>0</v>
      </c>
      <c r="M249" s="113">
        <f>L249*D249*'B) D RI'!S250</f>
        <v>0</v>
      </c>
    </row>
    <row r="250" spans="1:13" x14ac:dyDescent="0.25">
      <c r="A250" s="290">
        <f>'A) Base RI'!A251</f>
        <v>5822</v>
      </c>
      <c r="B250" s="32" t="str">
        <f>'A) Base RI'!B251</f>
        <v>Payerne</v>
      </c>
      <c r="C250" s="288">
        <f>'B) D RI'!U251</f>
        <v>239984.44424657538</v>
      </c>
      <c r="D250" s="32">
        <f>'B) D RI'!AA251</f>
        <v>10258</v>
      </c>
      <c r="E250" s="199">
        <f t="shared" si="25"/>
        <v>23.394857111188866</v>
      </c>
      <c r="F250" s="357">
        <f t="shared" si="26"/>
        <v>0.48311140066437769</v>
      </c>
      <c r="G250" s="368">
        <f t="shared" si="27"/>
        <v>0</v>
      </c>
      <c r="H250" s="365">
        <f t="shared" si="28"/>
        <v>0</v>
      </c>
      <c r="I250" s="368">
        <f t="shared" si="29"/>
        <v>0</v>
      </c>
      <c r="J250" s="365">
        <f t="shared" si="30"/>
        <v>0</v>
      </c>
      <c r="K250" s="360">
        <f t="shared" si="31"/>
        <v>0</v>
      </c>
      <c r="L250" s="364">
        <f t="shared" si="32"/>
        <v>0</v>
      </c>
      <c r="M250" s="113">
        <f>L250*D250*'B) D RI'!S251</f>
        <v>0</v>
      </c>
    </row>
    <row r="251" spans="1:13" x14ac:dyDescent="0.25">
      <c r="A251" s="290">
        <f>'A) Base RI'!A252</f>
        <v>5827</v>
      </c>
      <c r="B251" s="32" t="str">
        <f>'A) Base RI'!B252</f>
        <v>Trey</v>
      </c>
      <c r="C251" s="288">
        <f>'B) D RI'!U252</f>
        <v>7747.4438461538457</v>
      </c>
      <c r="D251" s="32">
        <f>'B) D RI'!AA252</f>
        <v>321</v>
      </c>
      <c r="E251" s="199">
        <f t="shared" si="25"/>
        <v>24.135339084591418</v>
      </c>
      <c r="F251" s="357">
        <f t="shared" si="26"/>
        <v>0.49840259400815484</v>
      </c>
      <c r="G251" s="368">
        <f t="shared" si="27"/>
        <v>0</v>
      </c>
      <c r="H251" s="365">
        <f t="shared" si="28"/>
        <v>0</v>
      </c>
      <c r="I251" s="368">
        <f t="shared" si="29"/>
        <v>0</v>
      </c>
      <c r="J251" s="365">
        <f t="shared" si="30"/>
        <v>0</v>
      </c>
      <c r="K251" s="360">
        <f t="shared" si="31"/>
        <v>0</v>
      </c>
      <c r="L251" s="364">
        <f t="shared" si="32"/>
        <v>0</v>
      </c>
      <c r="M251" s="113">
        <f>L251*D251*'B) D RI'!S252</f>
        <v>0</v>
      </c>
    </row>
    <row r="252" spans="1:13" x14ac:dyDescent="0.25">
      <c r="A252" s="290">
        <f>'A) Base RI'!A253</f>
        <v>5828</v>
      </c>
      <c r="B252" s="32" t="str">
        <f>'A) Base RI'!B253</f>
        <v>Treytorrens (Payerne)</v>
      </c>
      <c r="C252" s="288">
        <f>'B) D RI'!U253</f>
        <v>2899.2203232323236</v>
      </c>
      <c r="D252" s="32">
        <f>'B) D RI'!AA253</f>
        <v>110</v>
      </c>
      <c r="E252" s="199">
        <f t="shared" si="25"/>
        <v>26.356548393021125</v>
      </c>
      <c r="F252" s="357">
        <f t="shared" si="26"/>
        <v>0.54427128792939328</v>
      </c>
      <c r="G252" s="368">
        <f t="shared" si="27"/>
        <v>0</v>
      </c>
      <c r="H252" s="365">
        <f t="shared" si="28"/>
        <v>0</v>
      </c>
      <c r="I252" s="368">
        <f t="shared" si="29"/>
        <v>0</v>
      </c>
      <c r="J252" s="365">
        <f t="shared" si="30"/>
        <v>0</v>
      </c>
      <c r="K252" s="360">
        <f t="shared" si="31"/>
        <v>0</v>
      </c>
      <c r="L252" s="364">
        <f t="shared" si="32"/>
        <v>0</v>
      </c>
      <c r="M252" s="113">
        <f>L252*D252*'B) D RI'!S253</f>
        <v>0</v>
      </c>
    </row>
    <row r="253" spans="1:13" x14ac:dyDescent="0.25">
      <c r="A253" s="290">
        <f>'A) Base RI'!A254</f>
        <v>5830</v>
      </c>
      <c r="B253" s="32" t="str">
        <f>'A) Base RI'!B254</f>
        <v>Villarzel</v>
      </c>
      <c r="C253" s="288">
        <f>'B) D RI'!U254</f>
        <v>12409.986933333334</v>
      </c>
      <c r="D253" s="32">
        <f>'B) D RI'!AA254</f>
        <v>500</v>
      </c>
      <c r="E253" s="199">
        <f t="shared" si="25"/>
        <v>24.819973866666668</v>
      </c>
      <c r="F253" s="357">
        <f t="shared" si="26"/>
        <v>0.51254052470548483</v>
      </c>
      <c r="G253" s="368">
        <f t="shared" si="27"/>
        <v>0</v>
      </c>
      <c r="H253" s="365">
        <f t="shared" si="28"/>
        <v>0</v>
      </c>
      <c r="I253" s="368">
        <f t="shared" si="29"/>
        <v>0</v>
      </c>
      <c r="J253" s="365">
        <f t="shared" si="30"/>
        <v>0</v>
      </c>
      <c r="K253" s="360">
        <f t="shared" si="31"/>
        <v>0</v>
      </c>
      <c r="L253" s="364">
        <f t="shared" si="32"/>
        <v>0</v>
      </c>
      <c r="M253" s="113">
        <f>L253*D253*'B) D RI'!S254</f>
        <v>0</v>
      </c>
    </row>
    <row r="254" spans="1:13" x14ac:dyDescent="0.25">
      <c r="A254" s="290">
        <f>'A) Base RI'!A255</f>
        <v>5831</v>
      </c>
      <c r="B254" s="32" t="str">
        <f>'A) Base RI'!B255</f>
        <v>Valbroye</v>
      </c>
      <c r="C254" s="288">
        <f>'B) D RI'!U255</f>
        <v>81049.404018912537</v>
      </c>
      <c r="D254" s="32">
        <f>'B) D RI'!AA255</f>
        <v>3349</v>
      </c>
      <c r="E254" s="199">
        <f t="shared" si="25"/>
        <v>24.201076147779197</v>
      </c>
      <c r="F254" s="357">
        <f t="shared" si="26"/>
        <v>0.49976008572187947</v>
      </c>
      <c r="G254" s="368">
        <f t="shared" si="27"/>
        <v>0</v>
      </c>
      <c r="H254" s="365">
        <f t="shared" si="28"/>
        <v>0</v>
      </c>
      <c r="I254" s="368">
        <f t="shared" si="29"/>
        <v>0</v>
      </c>
      <c r="J254" s="365">
        <f t="shared" si="30"/>
        <v>0</v>
      </c>
      <c r="K254" s="360">
        <f t="shared" si="31"/>
        <v>0</v>
      </c>
      <c r="L254" s="364">
        <f t="shared" si="32"/>
        <v>0</v>
      </c>
      <c r="M254" s="113">
        <f>L254*D254*'B) D RI'!S255</f>
        <v>0</v>
      </c>
    </row>
    <row r="255" spans="1:13" x14ac:dyDescent="0.25">
      <c r="A255" s="290">
        <f>'A) Base RI'!A256</f>
        <v>5841</v>
      </c>
      <c r="B255" s="32" t="str">
        <f>'A) Base RI'!B256</f>
        <v>Château-d'Oex</v>
      </c>
      <c r="C255" s="288">
        <f>'B) D RI'!U256</f>
        <v>110857.63779141105</v>
      </c>
      <c r="D255" s="32">
        <f>'B) D RI'!AA256</f>
        <v>3549</v>
      </c>
      <c r="E255" s="199">
        <f t="shared" si="25"/>
        <v>31.236302561682461</v>
      </c>
      <c r="F255" s="357">
        <f t="shared" si="26"/>
        <v>0.64503979701305536</v>
      </c>
      <c r="G255" s="368">
        <f t="shared" si="27"/>
        <v>0</v>
      </c>
      <c r="H255" s="365">
        <f t="shared" si="28"/>
        <v>0</v>
      </c>
      <c r="I255" s="368">
        <f t="shared" si="29"/>
        <v>0</v>
      </c>
      <c r="J255" s="365">
        <f t="shared" si="30"/>
        <v>0</v>
      </c>
      <c r="K255" s="360">
        <f t="shared" si="31"/>
        <v>0</v>
      </c>
      <c r="L255" s="364">
        <f t="shared" si="32"/>
        <v>0</v>
      </c>
      <c r="M255" s="113">
        <f>L255*D255*'B) D RI'!S256</f>
        <v>0</v>
      </c>
    </row>
    <row r="256" spans="1:13" x14ac:dyDescent="0.25">
      <c r="A256" s="290">
        <f>'A) Base RI'!A257</f>
        <v>5842</v>
      </c>
      <c r="B256" s="32" t="str">
        <f>'A) Base RI'!B257</f>
        <v>Rossinière</v>
      </c>
      <c r="C256" s="288">
        <f>'B) D RI'!U257</f>
        <v>14944.680411522633</v>
      </c>
      <c r="D256" s="32">
        <f>'B) D RI'!AA257</f>
        <v>534</v>
      </c>
      <c r="E256" s="199">
        <f t="shared" si="25"/>
        <v>27.986292905473096</v>
      </c>
      <c r="F256" s="357">
        <f t="shared" si="26"/>
        <v>0.57792604163845507</v>
      </c>
      <c r="G256" s="368">
        <f t="shared" si="27"/>
        <v>0</v>
      </c>
      <c r="H256" s="365">
        <f t="shared" si="28"/>
        <v>0</v>
      </c>
      <c r="I256" s="368">
        <f t="shared" si="29"/>
        <v>0</v>
      </c>
      <c r="J256" s="365">
        <f t="shared" si="30"/>
        <v>0</v>
      </c>
      <c r="K256" s="360">
        <f t="shared" si="31"/>
        <v>0</v>
      </c>
      <c r="L256" s="364">
        <f t="shared" si="32"/>
        <v>0</v>
      </c>
      <c r="M256" s="113">
        <f>L256*D256*'B) D RI'!S257</f>
        <v>0</v>
      </c>
    </row>
    <row r="257" spans="1:13" x14ac:dyDescent="0.25">
      <c r="A257" s="290">
        <f>'A) Base RI'!A258</f>
        <v>5843</v>
      </c>
      <c r="B257" s="32" t="str">
        <f>'A) Base RI'!B258</f>
        <v>Rougemont</v>
      </c>
      <c r="C257" s="288">
        <f>'B) D RI'!U258</f>
        <v>97088.109459459462</v>
      </c>
      <c r="D257" s="32">
        <f>'B) D RI'!AA258</f>
        <v>862</v>
      </c>
      <c r="E257" s="199">
        <f t="shared" si="25"/>
        <v>112.6312174703706</v>
      </c>
      <c r="F257" s="357">
        <f t="shared" si="26"/>
        <v>2.3258712362308467</v>
      </c>
      <c r="G257" s="368">
        <f t="shared" si="27"/>
        <v>64.205829290716551</v>
      </c>
      <c r="H257" s="365">
        <f t="shared" si="28"/>
        <v>54.520751654785741</v>
      </c>
      <c r="I257" s="368">
        <f t="shared" si="29"/>
        <v>39.993135200889526</v>
      </c>
      <c r="J257" s="365">
        <f t="shared" si="30"/>
        <v>15.780441111062501</v>
      </c>
      <c r="K257" s="360">
        <f t="shared" si="31"/>
        <v>0</v>
      </c>
      <c r="L257" s="364">
        <f t="shared" si="32"/>
        <v>23.870598654817087</v>
      </c>
      <c r="M257" s="113">
        <f>L257*D257*'B) D RI'!S258</f>
        <v>1522657.7469934723</v>
      </c>
    </row>
    <row r="258" spans="1:13" x14ac:dyDescent="0.25">
      <c r="A258" s="290">
        <f>'A) Base RI'!A259</f>
        <v>5851</v>
      </c>
      <c r="B258" s="32" t="str">
        <f>'A) Base RI'!B259</f>
        <v>Allaman</v>
      </c>
      <c r="C258" s="288">
        <f>'B) D RI'!U259</f>
        <v>24875.935818181821</v>
      </c>
      <c r="D258" s="32">
        <f>'B) D RI'!AA259</f>
        <v>430</v>
      </c>
      <c r="E258" s="199">
        <f t="shared" si="25"/>
        <v>57.851013530655393</v>
      </c>
      <c r="F258" s="357">
        <f t="shared" si="26"/>
        <v>1.1946422260165077</v>
      </c>
      <c r="G258" s="368">
        <f t="shared" si="27"/>
        <v>9.4256253510013437</v>
      </c>
      <c r="H258" s="365">
        <f t="shared" si="28"/>
        <v>0</v>
      </c>
      <c r="I258" s="368">
        <f t="shared" si="29"/>
        <v>0</v>
      </c>
      <c r="J258" s="365">
        <f t="shared" si="30"/>
        <v>0</v>
      </c>
      <c r="K258" s="360">
        <f t="shared" si="31"/>
        <v>0</v>
      </c>
      <c r="L258" s="364">
        <f t="shared" si="32"/>
        <v>1.8851250702002689</v>
      </c>
      <c r="M258" s="113">
        <f>L258*D258*'B) D RI'!S259</f>
        <v>48636.22681116694</v>
      </c>
    </row>
    <row r="259" spans="1:13" x14ac:dyDescent="0.25">
      <c r="A259" s="290">
        <f>'A) Base RI'!A260</f>
        <v>5852</v>
      </c>
      <c r="B259" s="32" t="str">
        <f>'A) Base RI'!B260</f>
        <v>Bursinel</v>
      </c>
      <c r="C259" s="288">
        <f>'B) D RI'!U260</f>
        <v>34636.657688172039</v>
      </c>
      <c r="D259" s="32">
        <f>'B) D RI'!AA260</f>
        <v>515</v>
      </c>
      <c r="E259" s="199">
        <f t="shared" si="25"/>
        <v>67.255645996450568</v>
      </c>
      <c r="F259" s="357">
        <f t="shared" si="26"/>
        <v>1.3888509421326241</v>
      </c>
      <c r="G259" s="368">
        <f t="shared" si="27"/>
        <v>18.830257816796518</v>
      </c>
      <c r="H259" s="365">
        <f t="shared" si="28"/>
        <v>9.1451801808657081</v>
      </c>
      <c r="I259" s="368">
        <f t="shared" si="29"/>
        <v>0</v>
      </c>
      <c r="J259" s="365">
        <f t="shared" si="30"/>
        <v>0</v>
      </c>
      <c r="K259" s="360">
        <f t="shared" si="31"/>
        <v>0</v>
      </c>
      <c r="L259" s="364">
        <f t="shared" si="32"/>
        <v>4.6805695814458748</v>
      </c>
      <c r="M259" s="113">
        <f>L259*D259*'B) D RI'!S260</f>
        <v>149450.58673556679</v>
      </c>
    </row>
    <row r="260" spans="1:13" x14ac:dyDescent="0.25">
      <c r="A260" s="290">
        <f>'A) Base RI'!A261</f>
        <v>5853</v>
      </c>
      <c r="B260" s="32" t="str">
        <f>'A) Base RI'!B261</f>
        <v>Bursins</v>
      </c>
      <c r="C260" s="288">
        <f>'B) D RI'!U261</f>
        <v>44486.311690140843</v>
      </c>
      <c r="D260" s="32">
        <f>'B) D RI'!AA261</f>
        <v>773</v>
      </c>
      <c r="E260" s="199">
        <f t="shared" si="25"/>
        <v>57.550209172239121</v>
      </c>
      <c r="F260" s="357">
        <f t="shared" si="26"/>
        <v>1.1884305182796422</v>
      </c>
      <c r="G260" s="368">
        <f t="shared" si="27"/>
        <v>9.1248209925850716</v>
      </c>
      <c r="H260" s="365">
        <f t="shared" si="28"/>
        <v>0</v>
      </c>
      <c r="I260" s="368">
        <f t="shared" si="29"/>
        <v>0</v>
      </c>
      <c r="J260" s="365">
        <f t="shared" si="30"/>
        <v>0</v>
      </c>
      <c r="K260" s="360">
        <f t="shared" si="31"/>
        <v>0</v>
      </c>
      <c r="L260" s="364">
        <f t="shared" si="32"/>
        <v>1.8249641985170144</v>
      </c>
      <c r="M260" s="113">
        <f>L260*D260*'B) D RI'!S261</f>
        <v>100159.51010720931</v>
      </c>
    </row>
    <row r="261" spans="1:13" x14ac:dyDescent="0.25">
      <c r="A261" s="290">
        <f>'A) Base RI'!A262</f>
        <v>5854</v>
      </c>
      <c r="B261" s="32" t="str">
        <f>'A) Base RI'!B262</f>
        <v>Burtigny</v>
      </c>
      <c r="C261" s="288">
        <f>'B) D RI'!U262</f>
        <v>15255.967208333332</v>
      </c>
      <c r="D261" s="32">
        <f>'B) D RI'!AA262</f>
        <v>416</v>
      </c>
      <c r="E261" s="199">
        <f t="shared" si="25"/>
        <v>36.672998096955126</v>
      </c>
      <c r="F261" s="357">
        <f t="shared" si="26"/>
        <v>0.75730932627532976</v>
      </c>
      <c r="G261" s="368">
        <f t="shared" si="27"/>
        <v>0</v>
      </c>
      <c r="H261" s="365">
        <f t="shared" si="28"/>
        <v>0</v>
      </c>
      <c r="I261" s="368">
        <f t="shared" si="29"/>
        <v>0</v>
      </c>
      <c r="J261" s="365">
        <f t="shared" si="30"/>
        <v>0</v>
      </c>
      <c r="K261" s="360">
        <f t="shared" si="31"/>
        <v>0</v>
      </c>
      <c r="L261" s="364">
        <f t="shared" si="32"/>
        <v>0</v>
      </c>
      <c r="M261" s="113">
        <f>L261*D261*'B) D RI'!S262</f>
        <v>0</v>
      </c>
    </row>
    <row r="262" spans="1:13" x14ac:dyDescent="0.25">
      <c r="A262" s="290">
        <f>'A) Base RI'!A263</f>
        <v>5855</v>
      </c>
      <c r="B262" s="32" t="str">
        <f>'A) Base RI'!B263</f>
        <v>Dully</v>
      </c>
      <c r="C262" s="288">
        <f>'B) D RI'!U263</f>
        <v>93684.152857142864</v>
      </c>
      <c r="D262" s="32">
        <f>'B) D RI'!AA263</f>
        <v>634</v>
      </c>
      <c r="E262" s="199">
        <f t="shared" ref="E262:E313" si="33">C262/D262</f>
        <v>147.76680261379002</v>
      </c>
      <c r="F262" s="357">
        <f t="shared" ref="F262:F313" si="34">E262/$E$314</f>
        <v>3.0514324854885584</v>
      </c>
      <c r="G262" s="368">
        <f t="shared" ref="G262:G313" si="35">IF(E262-$G$3&lt;0,0,E262-$G$3)</f>
        <v>99.34141443413597</v>
      </c>
      <c r="H262" s="365">
        <f t="shared" ref="H262:H313" si="36">IF(E262-$H$3&lt;0,0,E262-$H$3)</f>
        <v>89.65633679820516</v>
      </c>
      <c r="I262" s="368">
        <f t="shared" ref="I262:I313" si="37">IF(E262-$I$3&lt;0,0,E262-$I$3)</f>
        <v>75.128720344308945</v>
      </c>
      <c r="J262" s="365">
        <f t="shared" ref="J262:J313" si="38">IF(E262-$J$3&lt;0,0,E262-$J$3)</f>
        <v>50.91602625448192</v>
      </c>
      <c r="K262" s="360">
        <f t="shared" ref="K262:K313" si="39">IF(E262-$K$3&lt;0,0,E262-$K$3)</f>
        <v>2.4906380748278707</v>
      </c>
      <c r="L262" s="364">
        <f t="shared" ref="L262:L313" si="40">(G262-H262)*$G$4+(H262-I262)*$H$4+(I262-J262)*$I$4+(J262-K262)*$J$4+(K262*$K$4)</f>
        <v>41.687455034009581</v>
      </c>
      <c r="M262" s="113">
        <f>L262*D262*'B) D RI'!S263</f>
        <v>1295062.4780865416</v>
      </c>
    </row>
    <row r="263" spans="1:13" x14ac:dyDescent="0.25">
      <c r="A263" s="290">
        <f>'A) Base RI'!A264</f>
        <v>5856</v>
      </c>
      <c r="B263" s="32" t="str">
        <f>'A) Base RI'!B264</f>
        <v>Essertines-sur-Rolle</v>
      </c>
      <c r="C263" s="288">
        <f>'B) D RI'!U264</f>
        <v>42220.114424522842</v>
      </c>
      <c r="D263" s="32">
        <f>'B) D RI'!AA264</f>
        <v>753</v>
      </c>
      <c r="E263" s="199">
        <f t="shared" si="33"/>
        <v>56.069209063111344</v>
      </c>
      <c r="F263" s="357">
        <f t="shared" si="34"/>
        <v>1.157847384828375</v>
      </c>
      <c r="G263" s="368">
        <f t="shared" si="35"/>
        <v>7.6438208834572947</v>
      </c>
      <c r="H263" s="365">
        <f t="shared" si="36"/>
        <v>0</v>
      </c>
      <c r="I263" s="368">
        <f t="shared" si="37"/>
        <v>0</v>
      </c>
      <c r="J263" s="365">
        <f t="shared" si="38"/>
        <v>0</v>
      </c>
      <c r="K263" s="360">
        <f t="shared" si="39"/>
        <v>0</v>
      </c>
      <c r="L263" s="364">
        <f t="shared" si="40"/>
        <v>1.528764176691459</v>
      </c>
      <c r="M263" s="113">
        <f>L263*D263*'B) D RI'!S264</f>
        <v>76552.101765736472</v>
      </c>
    </row>
    <row r="264" spans="1:13" x14ac:dyDescent="0.25">
      <c r="A264" s="290">
        <f>'A) Base RI'!A265</f>
        <v>5857</v>
      </c>
      <c r="B264" s="32" t="str">
        <f>'A) Base RI'!B265</f>
        <v>Gilly</v>
      </c>
      <c r="C264" s="288">
        <f>'B) D RI'!U265</f>
        <v>88866.553953488372</v>
      </c>
      <c r="D264" s="32">
        <f>'B) D RI'!AA265</f>
        <v>1438</v>
      </c>
      <c r="E264" s="199">
        <f t="shared" si="33"/>
        <v>61.798716240256169</v>
      </c>
      <c r="F264" s="357">
        <f t="shared" si="34"/>
        <v>1.2761635696339328</v>
      </c>
      <c r="G264" s="368">
        <f t="shared" si="35"/>
        <v>13.37332806060212</v>
      </c>
      <c r="H264" s="365">
        <f t="shared" si="36"/>
        <v>3.6882504246713097</v>
      </c>
      <c r="I264" s="368">
        <f t="shared" si="37"/>
        <v>0</v>
      </c>
      <c r="J264" s="365">
        <f t="shared" si="38"/>
        <v>0</v>
      </c>
      <c r="K264" s="360">
        <f t="shared" si="39"/>
        <v>0</v>
      </c>
      <c r="L264" s="364">
        <f t="shared" si="40"/>
        <v>3.0434906545875551</v>
      </c>
      <c r="M264" s="113">
        <f>L264*D264*'B) D RI'!S265</f>
        <v>282286.80170365033</v>
      </c>
    </row>
    <row r="265" spans="1:13" x14ac:dyDescent="0.25">
      <c r="A265" s="290">
        <f>'A) Base RI'!A266</f>
        <v>5858</v>
      </c>
      <c r="B265" s="32" t="str">
        <f>'A) Base RI'!B266</f>
        <v>Luins</v>
      </c>
      <c r="C265" s="288">
        <f>'B) D RI'!U266</f>
        <v>38253.397207977199</v>
      </c>
      <c r="D265" s="32">
        <f>'B) D RI'!AA266</f>
        <v>630</v>
      </c>
      <c r="E265" s="199">
        <f t="shared" si="33"/>
        <v>60.719678107900315</v>
      </c>
      <c r="F265" s="357">
        <f t="shared" si="34"/>
        <v>1.2538810816061092</v>
      </c>
      <c r="G265" s="368">
        <f t="shared" si="35"/>
        <v>12.294289928246265</v>
      </c>
      <c r="H265" s="365">
        <f t="shared" si="36"/>
        <v>2.6092122923154548</v>
      </c>
      <c r="I265" s="368">
        <f t="shared" si="37"/>
        <v>0</v>
      </c>
      <c r="J265" s="365">
        <f t="shared" si="38"/>
        <v>0</v>
      </c>
      <c r="K265" s="360">
        <f t="shared" si="39"/>
        <v>0</v>
      </c>
      <c r="L265" s="364">
        <f t="shared" si="40"/>
        <v>2.7197792148807984</v>
      </c>
      <c r="M265" s="113">
        <f>L265*D265*'B) D RI'!S266</f>
        <v>100237.46296443182</v>
      </c>
    </row>
    <row r="266" spans="1:13" x14ac:dyDescent="0.25">
      <c r="A266" s="290">
        <f>'A) Base RI'!A267</f>
        <v>5859</v>
      </c>
      <c r="B266" s="32" t="str">
        <f>'A) Base RI'!B267</f>
        <v>Mont-sur-Rolle</v>
      </c>
      <c r="C266" s="288">
        <f>'B) D RI'!U267</f>
        <v>160910.93779527559</v>
      </c>
      <c r="D266" s="32">
        <f>'B) D RI'!AA267</f>
        <v>2739</v>
      </c>
      <c r="E266" s="199">
        <f t="shared" si="33"/>
        <v>58.748060531316391</v>
      </c>
      <c r="F266" s="357">
        <f t="shared" si="34"/>
        <v>1.2131665380433525</v>
      </c>
      <c r="G266" s="368">
        <f t="shared" si="35"/>
        <v>10.322672351662341</v>
      </c>
      <c r="H266" s="365">
        <f t="shared" si="36"/>
        <v>0.63759471573153093</v>
      </c>
      <c r="I266" s="368">
        <f t="shared" si="37"/>
        <v>0</v>
      </c>
      <c r="J266" s="365">
        <f t="shared" si="38"/>
        <v>0</v>
      </c>
      <c r="K266" s="360">
        <f t="shared" si="39"/>
        <v>0</v>
      </c>
      <c r="L266" s="364">
        <f t="shared" si="40"/>
        <v>2.1282939419056213</v>
      </c>
      <c r="M266" s="113">
        <f>L266*D266*'B) D RI'!S267</f>
        <v>370166.71628684801</v>
      </c>
    </row>
    <row r="267" spans="1:13" x14ac:dyDescent="0.25">
      <c r="A267" s="290">
        <f>'A) Base RI'!A268</f>
        <v>5860</v>
      </c>
      <c r="B267" s="32" t="str">
        <f>'A) Base RI'!B268</f>
        <v>Perroy</v>
      </c>
      <c r="C267" s="288">
        <f>'B) D RI'!U268</f>
        <v>124242.10120973046</v>
      </c>
      <c r="D267" s="32">
        <f>'B) D RI'!AA268</f>
        <v>1514</v>
      </c>
      <c r="E267" s="199">
        <f t="shared" si="33"/>
        <v>82.062154035489073</v>
      </c>
      <c r="F267" s="357">
        <f t="shared" si="34"/>
        <v>1.6946101439816135</v>
      </c>
      <c r="G267" s="368">
        <f t="shared" si="35"/>
        <v>33.636765855835023</v>
      </c>
      <c r="H267" s="365">
        <f t="shared" si="36"/>
        <v>23.951688219904213</v>
      </c>
      <c r="I267" s="368">
        <f t="shared" si="37"/>
        <v>9.424071766007998</v>
      </c>
      <c r="J267" s="365">
        <f t="shared" si="38"/>
        <v>0</v>
      </c>
      <c r="K267" s="360">
        <f t="shared" si="39"/>
        <v>0</v>
      </c>
      <c r="L267" s="364">
        <f t="shared" si="40"/>
        <v>10.064929169758226</v>
      </c>
      <c r="M267" s="113">
        <f>L267*D267*'B) D RI'!S268</f>
        <v>891440.71163631638</v>
      </c>
    </row>
    <row r="268" spans="1:13" x14ac:dyDescent="0.25">
      <c r="A268" s="290">
        <f>'A) Base RI'!A269</f>
        <v>5861</v>
      </c>
      <c r="B268" s="32" t="str">
        <f>'A) Base RI'!B269</f>
        <v>Rolle</v>
      </c>
      <c r="C268" s="288">
        <f>'B) D RI'!U269</f>
        <v>638128.58403361356</v>
      </c>
      <c r="D268" s="32">
        <f>'B) D RI'!AA269</f>
        <v>6291</v>
      </c>
      <c r="E268" s="199">
        <f t="shared" si="33"/>
        <v>101.43515880362638</v>
      </c>
      <c r="F268" s="357">
        <f t="shared" si="34"/>
        <v>2.0946689870055479</v>
      </c>
      <c r="G268" s="368">
        <f t="shared" si="35"/>
        <v>53.009770623972329</v>
      </c>
      <c r="H268" s="365">
        <f t="shared" si="36"/>
        <v>43.324692988041519</v>
      </c>
      <c r="I268" s="368">
        <f t="shared" si="37"/>
        <v>28.797076534145305</v>
      </c>
      <c r="J268" s="365">
        <f t="shared" si="38"/>
        <v>4.5843824443182797</v>
      </c>
      <c r="K268" s="360">
        <f t="shared" si="39"/>
        <v>0</v>
      </c>
      <c r="L268" s="364">
        <f t="shared" si="40"/>
        <v>18.272569321444976</v>
      </c>
      <c r="M268" s="113">
        <f>L268*D268*'B) D RI'!S269</f>
        <v>6839687.6492720153</v>
      </c>
    </row>
    <row r="269" spans="1:13" x14ac:dyDescent="0.25">
      <c r="A269" s="290">
        <f>'A) Base RI'!A270</f>
        <v>5862</v>
      </c>
      <c r="B269" s="32" t="str">
        <f>'A) Base RI'!B270</f>
        <v>Tartegnin</v>
      </c>
      <c r="C269" s="288">
        <f>'B) D RI'!U270</f>
        <v>7891.022278481013</v>
      </c>
      <c r="D269" s="32">
        <f>'B) D RI'!AA270</f>
        <v>241</v>
      </c>
      <c r="E269" s="199">
        <f t="shared" si="33"/>
        <v>32.742831031041547</v>
      </c>
      <c r="F269" s="357">
        <f t="shared" si="34"/>
        <v>0.67615009939762261</v>
      </c>
      <c r="G269" s="368">
        <f t="shared" si="35"/>
        <v>0</v>
      </c>
      <c r="H269" s="365">
        <f t="shared" si="36"/>
        <v>0</v>
      </c>
      <c r="I269" s="368">
        <f t="shared" si="37"/>
        <v>0</v>
      </c>
      <c r="J269" s="365">
        <f t="shared" si="38"/>
        <v>0</v>
      </c>
      <c r="K269" s="360">
        <f t="shared" si="39"/>
        <v>0</v>
      </c>
      <c r="L269" s="364">
        <f t="shared" si="40"/>
        <v>0</v>
      </c>
      <c r="M269" s="113">
        <f>L269*D269*'B) D RI'!S270</f>
        <v>0</v>
      </c>
    </row>
    <row r="270" spans="1:13" x14ac:dyDescent="0.25">
      <c r="A270" s="290">
        <f>'A) Base RI'!A271</f>
        <v>5863</v>
      </c>
      <c r="B270" s="32" t="str">
        <f>'A) Base RI'!B271</f>
        <v>Vinzel</v>
      </c>
      <c r="C270" s="288">
        <f>'B) D RI'!U271</f>
        <v>21424.128507462683</v>
      </c>
      <c r="D270" s="32">
        <f>'B) D RI'!AA271</f>
        <v>369</v>
      </c>
      <c r="E270" s="199">
        <f t="shared" si="33"/>
        <v>58.05996885491242</v>
      </c>
      <c r="F270" s="357">
        <f t="shared" si="34"/>
        <v>1.1989572213549409</v>
      </c>
      <c r="G270" s="368">
        <f t="shared" si="35"/>
        <v>9.6345806752583698</v>
      </c>
      <c r="H270" s="365">
        <f t="shared" si="36"/>
        <v>0</v>
      </c>
      <c r="I270" s="368">
        <f t="shared" si="37"/>
        <v>0</v>
      </c>
      <c r="J270" s="365">
        <f t="shared" si="38"/>
        <v>0</v>
      </c>
      <c r="K270" s="360">
        <f t="shared" si="39"/>
        <v>0</v>
      </c>
      <c r="L270" s="364">
        <f t="shared" si="40"/>
        <v>1.9269161350516741</v>
      </c>
      <c r="M270" s="113">
        <f>L270*D270*'B) D RI'!S271</f>
        <v>47639.147606882536</v>
      </c>
    </row>
    <row r="271" spans="1:13" x14ac:dyDescent="0.25">
      <c r="A271" s="290">
        <f>'A) Base RI'!A272</f>
        <v>5871</v>
      </c>
      <c r="B271" s="32" t="str">
        <f>'A) Base RI'!B272</f>
        <v>L'Abbaye</v>
      </c>
      <c r="C271" s="288">
        <f>'B) D RI'!U272</f>
        <v>53269.472631578945</v>
      </c>
      <c r="D271" s="32">
        <f>'B) D RI'!AA272</f>
        <v>1521</v>
      </c>
      <c r="E271" s="199">
        <f t="shared" si="33"/>
        <v>35.022664452057164</v>
      </c>
      <c r="F271" s="357">
        <f t="shared" si="34"/>
        <v>0.72322940029155935</v>
      </c>
      <c r="G271" s="368">
        <f t="shared" si="35"/>
        <v>0</v>
      </c>
      <c r="H271" s="365">
        <f t="shared" si="36"/>
        <v>0</v>
      </c>
      <c r="I271" s="368">
        <f t="shared" si="37"/>
        <v>0</v>
      </c>
      <c r="J271" s="365">
        <f t="shared" si="38"/>
        <v>0</v>
      </c>
      <c r="K271" s="360">
        <f t="shared" si="39"/>
        <v>0</v>
      </c>
      <c r="L271" s="364">
        <f t="shared" si="40"/>
        <v>0</v>
      </c>
      <c r="M271" s="113">
        <f>L271*D271*'B) D RI'!S272</f>
        <v>0</v>
      </c>
    </row>
    <row r="272" spans="1:13" x14ac:dyDescent="0.25">
      <c r="A272" s="290">
        <f>'A) Base RI'!A273</f>
        <v>5872</v>
      </c>
      <c r="B272" s="32" t="str">
        <f>'A) Base RI'!B273</f>
        <v>Le Chenit</v>
      </c>
      <c r="C272" s="288">
        <f>'B) D RI'!U273</f>
        <v>228048.33794871799</v>
      </c>
      <c r="D272" s="32">
        <f>'B) D RI'!AA273</f>
        <v>4569</v>
      </c>
      <c r="E272" s="199">
        <f t="shared" si="33"/>
        <v>49.912089723947908</v>
      </c>
      <c r="F272" s="357">
        <f t="shared" si="34"/>
        <v>1.0307008699399234</v>
      </c>
      <c r="G272" s="368">
        <f t="shared" si="35"/>
        <v>1.486701544293858</v>
      </c>
      <c r="H272" s="365">
        <f t="shared" si="36"/>
        <v>0</v>
      </c>
      <c r="I272" s="368">
        <f t="shared" si="37"/>
        <v>0</v>
      </c>
      <c r="J272" s="365">
        <f t="shared" si="38"/>
        <v>0</v>
      </c>
      <c r="K272" s="360">
        <f t="shared" si="39"/>
        <v>0</v>
      </c>
      <c r="L272" s="364">
        <f t="shared" si="40"/>
        <v>0.29734030885877161</v>
      </c>
      <c r="M272" s="113">
        <f>L272*D272*'B) D RI'!S273</f>
        <v>79475.050463780062</v>
      </c>
    </row>
    <row r="273" spans="1:13" x14ac:dyDescent="0.25">
      <c r="A273" s="290">
        <f>'A) Base RI'!A274</f>
        <v>5873</v>
      </c>
      <c r="B273" s="32" t="str">
        <f>'A) Base RI'!B274</f>
        <v>Le Lieu</v>
      </c>
      <c r="C273" s="288">
        <f>'B) D RI'!U274</f>
        <v>31475.129392857143</v>
      </c>
      <c r="D273" s="32">
        <f>'B) D RI'!AA274</f>
        <v>881</v>
      </c>
      <c r="E273" s="199">
        <f t="shared" si="33"/>
        <v>35.726594089508673</v>
      </c>
      <c r="F273" s="357">
        <f t="shared" si="34"/>
        <v>0.73776577602157911</v>
      </c>
      <c r="G273" s="368">
        <f t="shared" si="35"/>
        <v>0</v>
      </c>
      <c r="H273" s="365">
        <f t="shared" si="36"/>
        <v>0</v>
      </c>
      <c r="I273" s="368">
        <f t="shared" si="37"/>
        <v>0</v>
      </c>
      <c r="J273" s="365">
        <f t="shared" si="38"/>
        <v>0</v>
      </c>
      <c r="K273" s="360">
        <f t="shared" si="39"/>
        <v>0</v>
      </c>
      <c r="L273" s="364">
        <f t="shared" si="40"/>
        <v>0</v>
      </c>
      <c r="M273" s="113">
        <f>L273*D273*'B) D RI'!S274</f>
        <v>0</v>
      </c>
    </row>
    <row r="274" spans="1:13" x14ac:dyDescent="0.25">
      <c r="A274" s="290">
        <f>'A) Base RI'!A275</f>
        <v>5881</v>
      </c>
      <c r="B274" s="32" t="str">
        <f>'A) Base RI'!B275</f>
        <v>Blonay</v>
      </c>
      <c r="C274" s="288">
        <f>'B) D RI'!U275</f>
        <v>371401.9382481752</v>
      </c>
      <c r="D274" s="32">
        <f>'B) D RI'!AA275</f>
        <v>6291</v>
      </c>
      <c r="E274" s="199">
        <f t="shared" si="33"/>
        <v>59.037027221137372</v>
      </c>
      <c r="F274" s="357">
        <f t="shared" si="34"/>
        <v>1.2191337940775002</v>
      </c>
      <c r="G274" s="368">
        <f t="shared" si="35"/>
        <v>10.611639041483322</v>
      </c>
      <c r="H274" s="365">
        <f t="shared" si="36"/>
        <v>0.92656140555251199</v>
      </c>
      <c r="I274" s="368">
        <f t="shared" si="37"/>
        <v>0</v>
      </c>
      <c r="J274" s="365">
        <f t="shared" si="38"/>
        <v>0</v>
      </c>
      <c r="K274" s="360">
        <f t="shared" si="39"/>
        <v>0</v>
      </c>
      <c r="L274" s="364">
        <f t="shared" si="40"/>
        <v>2.2149839488519154</v>
      </c>
      <c r="M274" s="113">
        <f>L274*D274*'B) D RI'!S275</f>
        <v>954510.78552257689</v>
      </c>
    </row>
    <row r="275" spans="1:13" x14ac:dyDescent="0.25">
      <c r="A275" s="290">
        <f>'A) Base RI'!A276</f>
        <v>5882</v>
      </c>
      <c r="B275" s="32" t="str">
        <f>'A) Base RI'!B276</f>
        <v>Chardonne</v>
      </c>
      <c r="C275" s="288">
        <f>'B) D RI'!U276</f>
        <v>186952.68588235296</v>
      </c>
      <c r="D275" s="32">
        <f>'B) D RI'!AA276</f>
        <v>3078</v>
      </c>
      <c r="E275" s="199">
        <f t="shared" si="33"/>
        <v>60.738364484195245</v>
      </c>
      <c r="F275" s="357">
        <f t="shared" si="34"/>
        <v>1.2542669613480661</v>
      </c>
      <c r="G275" s="368">
        <f t="shared" si="35"/>
        <v>12.312976304541195</v>
      </c>
      <c r="H275" s="365">
        <f t="shared" si="36"/>
        <v>2.6278986686103849</v>
      </c>
      <c r="I275" s="368">
        <f t="shared" si="37"/>
        <v>0</v>
      </c>
      <c r="J275" s="365">
        <f t="shared" si="38"/>
        <v>0</v>
      </c>
      <c r="K275" s="360">
        <f t="shared" si="39"/>
        <v>0</v>
      </c>
      <c r="L275" s="364">
        <f t="shared" si="40"/>
        <v>2.7253851277692775</v>
      </c>
      <c r="M275" s="113">
        <f>L275*D275*'B) D RI'!S276</f>
        <v>570434.00878262089</v>
      </c>
    </row>
    <row r="276" spans="1:13" x14ac:dyDescent="0.25">
      <c r="A276" s="290">
        <f>'A) Base RI'!A277</f>
        <v>5883</v>
      </c>
      <c r="B276" s="32" t="str">
        <f>'A) Base RI'!B277</f>
        <v>Corseaux</v>
      </c>
      <c r="C276" s="288">
        <f>'B) D RI'!U277</f>
        <v>193095.30118518518</v>
      </c>
      <c r="D276" s="32">
        <f>'B) D RI'!AA277</f>
        <v>2330</v>
      </c>
      <c r="E276" s="199">
        <f t="shared" si="33"/>
        <v>82.873519821967889</v>
      </c>
      <c r="F276" s="357">
        <f t="shared" si="34"/>
        <v>1.711365111096564</v>
      </c>
      <c r="G276" s="368">
        <f t="shared" si="35"/>
        <v>34.44813164231384</v>
      </c>
      <c r="H276" s="365">
        <f t="shared" si="36"/>
        <v>24.76305400638303</v>
      </c>
      <c r="I276" s="368">
        <f t="shared" si="37"/>
        <v>10.235437552486815</v>
      </c>
      <c r="J276" s="365">
        <f t="shared" si="38"/>
        <v>0</v>
      </c>
      <c r="K276" s="360">
        <f t="shared" si="39"/>
        <v>0</v>
      </c>
      <c r="L276" s="364">
        <f t="shared" si="40"/>
        <v>10.389475484349752</v>
      </c>
      <c r="M276" s="113">
        <f>L276*D276*'B) D RI'!S277</f>
        <v>1634004.7568011072</v>
      </c>
    </row>
    <row r="277" spans="1:13" x14ac:dyDescent="0.25">
      <c r="A277" s="290">
        <f>'A) Base RI'!A278</f>
        <v>5884</v>
      </c>
      <c r="B277" s="32" t="str">
        <f>'A) Base RI'!B278</f>
        <v>Corsier-sur-Vevey</v>
      </c>
      <c r="C277" s="288">
        <f>'B) D RI'!U278</f>
        <v>148896.79012919901</v>
      </c>
      <c r="D277" s="32">
        <f>'B) D RI'!AA278</f>
        <v>3390</v>
      </c>
      <c r="E277" s="199">
        <f t="shared" si="33"/>
        <v>43.922356970265199</v>
      </c>
      <c r="F277" s="357">
        <f t="shared" si="34"/>
        <v>0.90701094242790603</v>
      </c>
      <c r="G277" s="368">
        <f t="shared" si="35"/>
        <v>0</v>
      </c>
      <c r="H277" s="365">
        <f t="shared" si="36"/>
        <v>0</v>
      </c>
      <c r="I277" s="368">
        <f t="shared" si="37"/>
        <v>0</v>
      </c>
      <c r="J277" s="365">
        <f t="shared" si="38"/>
        <v>0</v>
      </c>
      <c r="K277" s="360">
        <f t="shared" si="39"/>
        <v>0</v>
      </c>
      <c r="L277" s="364">
        <f t="shared" si="40"/>
        <v>0</v>
      </c>
      <c r="M277" s="113">
        <f>L277*D277*'B) D RI'!S278</f>
        <v>0</v>
      </c>
    </row>
    <row r="278" spans="1:13" x14ac:dyDescent="0.25">
      <c r="A278" s="290">
        <f>'A) Base RI'!A279</f>
        <v>5885</v>
      </c>
      <c r="B278" s="32" t="str">
        <f>'A) Base RI'!B279</f>
        <v>Jongny</v>
      </c>
      <c r="C278" s="288">
        <f>'B) D RI'!U279</f>
        <v>97076.940527577928</v>
      </c>
      <c r="D278" s="32">
        <f>'B) D RI'!AA279</f>
        <v>1805</v>
      </c>
      <c r="E278" s="199">
        <f t="shared" si="33"/>
        <v>53.782238519433754</v>
      </c>
      <c r="F278" s="357">
        <f t="shared" si="34"/>
        <v>1.110620700032517</v>
      </c>
      <c r="G278" s="368">
        <f t="shared" si="35"/>
        <v>5.3568503397797045</v>
      </c>
      <c r="H278" s="365">
        <f t="shared" si="36"/>
        <v>0</v>
      </c>
      <c r="I278" s="368">
        <f t="shared" si="37"/>
        <v>0</v>
      </c>
      <c r="J278" s="365">
        <f t="shared" si="38"/>
        <v>0</v>
      </c>
      <c r="K278" s="360">
        <f t="shared" si="39"/>
        <v>0</v>
      </c>
      <c r="L278" s="364">
        <f t="shared" si="40"/>
        <v>1.071370067955941</v>
      </c>
      <c r="M278" s="113">
        <f>L278*D278*'B) D RI'!S279</f>
        <v>134400.69659990291</v>
      </c>
    </row>
    <row r="279" spans="1:13" x14ac:dyDescent="0.25">
      <c r="A279" s="290">
        <f>'A) Base RI'!A280</f>
        <v>5886</v>
      </c>
      <c r="B279" s="32" t="str">
        <f>'A) Base RI'!B280</f>
        <v>Montreux</v>
      </c>
      <c r="C279" s="288">
        <f>'B) D RI'!U280</f>
        <v>1223405.0430769229</v>
      </c>
      <c r="D279" s="32">
        <f>'B) D RI'!AA280</f>
        <v>26012</v>
      </c>
      <c r="E279" s="199">
        <f t="shared" si="33"/>
        <v>47.032332887779596</v>
      </c>
      <c r="F279" s="357">
        <f t="shared" si="34"/>
        <v>0.97123295559952272</v>
      </c>
      <c r="G279" s="368">
        <f t="shared" si="35"/>
        <v>0</v>
      </c>
      <c r="H279" s="365">
        <f t="shared" si="36"/>
        <v>0</v>
      </c>
      <c r="I279" s="368">
        <f t="shared" si="37"/>
        <v>0</v>
      </c>
      <c r="J279" s="365">
        <f t="shared" si="38"/>
        <v>0</v>
      </c>
      <c r="K279" s="360">
        <f t="shared" si="39"/>
        <v>0</v>
      </c>
      <c r="L279" s="364">
        <f t="shared" si="40"/>
        <v>0</v>
      </c>
      <c r="M279" s="113">
        <f>L279*D279*'B) D RI'!S280</f>
        <v>0</v>
      </c>
    </row>
    <row r="280" spans="1:13" x14ac:dyDescent="0.25">
      <c r="A280" s="290">
        <f>'A) Base RI'!A281</f>
        <v>5888</v>
      </c>
      <c r="B280" s="32" t="str">
        <f>'A) Base RI'!B281</f>
        <v>Saint-Légier-La Chiésaz</v>
      </c>
      <c r="C280" s="288">
        <f>'B) D RI'!U281</f>
        <v>334017.18953771284</v>
      </c>
      <c r="D280" s="32">
        <f>'B) D RI'!AA281</f>
        <v>5634</v>
      </c>
      <c r="E280" s="199">
        <f t="shared" si="33"/>
        <v>59.28597613377935</v>
      </c>
      <c r="F280" s="357">
        <f t="shared" si="34"/>
        <v>1.2242746700105624</v>
      </c>
      <c r="G280" s="368">
        <f t="shared" si="35"/>
        <v>10.8605879541253</v>
      </c>
      <c r="H280" s="365">
        <f t="shared" si="36"/>
        <v>1.1755103181944904</v>
      </c>
      <c r="I280" s="368">
        <f t="shared" si="37"/>
        <v>0</v>
      </c>
      <c r="J280" s="365">
        <f t="shared" si="38"/>
        <v>0</v>
      </c>
      <c r="K280" s="360">
        <f t="shared" si="39"/>
        <v>0</v>
      </c>
      <c r="L280" s="364">
        <f t="shared" si="40"/>
        <v>2.2896686226445091</v>
      </c>
      <c r="M280" s="113">
        <f>L280*D280*'B) D RI'!S281</f>
        <v>883649.52186857269</v>
      </c>
    </row>
    <row r="281" spans="1:13" x14ac:dyDescent="0.25">
      <c r="A281" s="290">
        <f>'A) Base RI'!A282</f>
        <v>5889</v>
      </c>
      <c r="B281" s="32" t="str">
        <f>'A) Base RI'!B282</f>
        <v>La Tour-de-Peilz</v>
      </c>
      <c r="C281" s="288">
        <f>'B) D RI'!U282</f>
        <v>740535.59942708339</v>
      </c>
      <c r="D281" s="32">
        <f>'B) D RI'!AA282</f>
        <v>12222</v>
      </c>
      <c r="E281" s="199">
        <f t="shared" si="33"/>
        <v>60.590377959997006</v>
      </c>
      <c r="F281" s="357">
        <f t="shared" si="34"/>
        <v>1.2512109915404681</v>
      </c>
      <c r="G281" s="368">
        <f t="shared" si="35"/>
        <v>12.164989780342957</v>
      </c>
      <c r="H281" s="365">
        <f t="shared" si="36"/>
        <v>2.4799121444121468</v>
      </c>
      <c r="I281" s="368">
        <f t="shared" si="37"/>
        <v>0</v>
      </c>
      <c r="J281" s="365">
        <f t="shared" si="38"/>
        <v>0</v>
      </c>
      <c r="K281" s="360">
        <f t="shared" si="39"/>
        <v>0</v>
      </c>
      <c r="L281" s="364">
        <f t="shared" si="40"/>
        <v>2.6809891705098061</v>
      </c>
      <c r="M281" s="113">
        <f>L281*D281*'B) D RI'!S282</f>
        <v>2097091.1770861344</v>
      </c>
    </row>
    <row r="282" spans="1:13" x14ac:dyDescent="0.25">
      <c r="A282" s="290">
        <f>'A) Base RI'!A283</f>
        <v>5890</v>
      </c>
      <c r="B282" s="32" t="str">
        <f>'A) Base RI'!B283</f>
        <v>Vevey</v>
      </c>
      <c r="C282" s="288">
        <f>'B) D RI'!U283</f>
        <v>969776.79771812086</v>
      </c>
      <c r="D282" s="32">
        <f>'B) D RI'!AA283</f>
        <v>19721</v>
      </c>
      <c r="E282" s="199">
        <f t="shared" si="33"/>
        <v>49.174828746925655</v>
      </c>
      <c r="F282" s="357">
        <f t="shared" si="34"/>
        <v>1.0154761912179464</v>
      </c>
      <c r="G282" s="368">
        <f t="shared" si="35"/>
        <v>0.74944056727160557</v>
      </c>
      <c r="H282" s="365">
        <f t="shared" si="36"/>
        <v>0</v>
      </c>
      <c r="I282" s="368">
        <f t="shared" si="37"/>
        <v>0</v>
      </c>
      <c r="J282" s="365">
        <f t="shared" si="38"/>
        <v>0</v>
      </c>
      <c r="K282" s="360">
        <f t="shared" si="39"/>
        <v>0</v>
      </c>
      <c r="L282" s="364">
        <f t="shared" si="40"/>
        <v>0.14988811345432113</v>
      </c>
      <c r="M282" s="113">
        <f>L282*D282*'B) D RI'!S283</f>
        <v>220217.78966473369</v>
      </c>
    </row>
    <row r="283" spans="1:13" x14ac:dyDescent="0.25">
      <c r="A283" s="290">
        <f>'A) Base RI'!A284</f>
        <v>5891</v>
      </c>
      <c r="B283" s="32" t="str">
        <f>'A) Base RI'!B284</f>
        <v>Veytaux</v>
      </c>
      <c r="C283" s="288">
        <f>'B) D RI'!U284</f>
        <v>39123.353381294961</v>
      </c>
      <c r="D283" s="32">
        <f>'B) D RI'!AA284</f>
        <v>952</v>
      </c>
      <c r="E283" s="199">
        <f t="shared" si="33"/>
        <v>41.095959434133363</v>
      </c>
      <c r="F283" s="357">
        <f t="shared" si="34"/>
        <v>0.84864491497044625</v>
      </c>
      <c r="G283" s="368">
        <f t="shared" si="35"/>
        <v>0</v>
      </c>
      <c r="H283" s="365">
        <f t="shared" si="36"/>
        <v>0</v>
      </c>
      <c r="I283" s="368">
        <f t="shared" si="37"/>
        <v>0</v>
      </c>
      <c r="J283" s="365">
        <f t="shared" si="38"/>
        <v>0</v>
      </c>
      <c r="K283" s="360">
        <f t="shared" si="39"/>
        <v>0</v>
      </c>
      <c r="L283" s="364">
        <f t="shared" si="40"/>
        <v>0</v>
      </c>
      <c r="M283" s="113">
        <f>L283*D283*'B) D RI'!S284</f>
        <v>0</v>
      </c>
    </row>
    <row r="284" spans="1:13" x14ac:dyDescent="0.25">
      <c r="A284" s="290">
        <f>'A) Base RI'!A285</f>
        <v>5902</v>
      </c>
      <c r="B284" s="32" t="str">
        <f>'A) Base RI'!B285</f>
        <v>Belmont-sur-Yverdon</v>
      </c>
      <c r="C284" s="288">
        <f>'B) D RI'!U285</f>
        <v>12109.15</v>
      </c>
      <c r="D284" s="32">
        <f>'B) D RI'!AA285</f>
        <v>415</v>
      </c>
      <c r="E284" s="199">
        <f t="shared" si="33"/>
        <v>29.178674698795181</v>
      </c>
      <c r="F284" s="357">
        <f t="shared" si="34"/>
        <v>0.60254911309218195</v>
      </c>
      <c r="G284" s="368">
        <f t="shared" si="35"/>
        <v>0</v>
      </c>
      <c r="H284" s="365">
        <f t="shared" si="36"/>
        <v>0</v>
      </c>
      <c r="I284" s="368">
        <f t="shared" si="37"/>
        <v>0</v>
      </c>
      <c r="J284" s="365">
        <f t="shared" si="38"/>
        <v>0</v>
      </c>
      <c r="K284" s="360">
        <f t="shared" si="39"/>
        <v>0</v>
      </c>
      <c r="L284" s="364">
        <f t="shared" si="40"/>
        <v>0</v>
      </c>
      <c r="M284" s="113">
        <f>L284*D284*'B) D RI'!S285</f>
        <v>0</v>
      </c>
    </row>
    <row r="285" spans="1:13" x14ac:dyDescent="0.25">
      <c r="A285" s="290">
        <f>'A) Base RI'!A286</f>
        <v>5903</v>
      </c>
      <c r="B285" s="32" t="str">
        <f>'A) Base RI'!B286</f>
        <v>Bioley-Magnoux</v>
      </c>
      <c r="C285" s="288">
        <f>'B) D RI'!U286</f>
        <v>6059.1993849206356</v>
      </c>
      <c r="D285" s="32">
        <f>'B) D RI'!AA286</f>
        <v>234</v>
      </c>
      <c r="E285" s="199">
        <f t="shared" si="33"/>
        <v>25.8940144654728</v>
      </c>
      <c r="F285" s="357">
        <f t="shared" si="34"/>
        <v>0.53471981204173769</v>
      </c>
      <c r="G285" s="368">
        <f t="shared" si="35"/>
        <v>0</v>
      </c>
      <c r="H285" s="365">
        <f t="shared" si="36"/>
        <v>0</v>
      </c>
      <c r="I285" s="368">
        <f t="shared" si="37"/>
        <v>0</v>
      </c>
      <c r="J285" s="365">
        <f t="shared" si="38"/>
        <v>0</v>
      </c>
      <c r="K285" s="360">
        <f t="shared" si="39"/>
        <v>0</v>
      </c>
      <c r="L285" s="364">
        <f t="shared" si="40"/>
        <v>0</v>
      </c>
      <c r="M285" s="113">
        <f>L285*D285*'B) D RI'!S286</f>
        <v>0</v>
      </c>
    </row>
    <row r="286" spans="1:13" x14ac:dyDescent="0.25">
      <c r="A286" s="290">
        <f>'A) Base RI'!A287</f>
        <v>5904</v>
      </c>
      <c r="B286" s="32" t="str">
        <f>'A) Base RI'!B287</f>
        <v>Chamblon</v>
      </c>
      <c r="C286" s="288">
        <f>'B) D RI'!U287</f>
        <v>22178.215151515149</v>
      </c>
      <c r="D286" s="32">
        <f>'B) D RI'!AA287</f>
        <v>561</v>
      </c>
      <c r="E286" s="199">
        <f t="shared" si="33"/>
        <v>39.53336034138173</v>
      </c>
      <c r="F286" s="357">
        <f t="shared" si="34"/>
        <v>0.81637673599468819</v>
      </c>
      <c r="G286" s="368">
        <f t="shared" si="35"/>
        <v>0</v>
      </c>
      <c r="H286" s="365">
        <f t="shared" si="36"/>
        <v>0</v>
      </c>
      <c r="I286" s="368">
        <f t="shared" si="37"/>
        <v>0</v>
      </c>
      <c r="J286" s="365">
        <f t="shared" si="38"/>
        <v>0</v>
      </c>
      <c r="K286" s="360">
        <f t="shared" si="39"/>
        <v>0</v>
      </c>
      <c r="L286" s="364">
        <f t="shared" si="40"/>
        <v>0</v>
      </c>
      <c r="M286" s="113">
        <f>L286*D286*'B) D RI'!S287</f>
        <v>0</v>
      </c>
    </row>
    <row r="287" spans="1:13" x14ac:dyDescent="0.25">
      <c r="A287" s="290">
        <f>'A) Base RI'!A288</f>
        <v>5905</v>
      </c>
      <c r="B287" s="32" t="str">
        <f>'A) Base RI'!B288</f>
        <v>Champvent</v>
      </c>
      <c r="C287" s="288">
        <f>'B) D RI'!U288</f>
        <v>23236.229714285717</v>
      </c>
      <c r="D287" s="32">
        <f>'B) D RI'!AA288</f>
        <v>712</v>
      </c>
      <c r="E287" s="199">
        <f t="shared" si="33"/>
        <v>32.635154093097917</v>
      </c>
      <c r="F287" s="357">
        <f t="shared" si="34"/>
        <v>0.67392653564333416</v>
      </c>
      <c r="G287" s="368">
        <f t="shared" si="35"/>
        <v>0</v>
      </c>
      <c r="H287" s="365">
        <f t="shared" si="36"/>
        <v>0</v>
      </c>
      <c r="I287" s="368">
        <f t="shared" si="37"/>
        <v>0</v>
      </c>
      <c r="J287" s="365">
        <f t="shared" si="38"/>
        <v>0</v>
      </c>
      <c r="K287" s="360">
        <f t="shared" si="39"/>
        <v>0</v>
      </c>
      <c r="L287" s="364">
        <f t="shared" si="40"/>
        <v>0</v>
      </c>
      <c r="M287" s="113">
        <f>L287*D287*'B) D RI'!S288</f>
        <v>0</v>
      </c>
    </row>
    <row r="288" spans="1:13" x14ac:dyDescent="0.25">
      <c r="A288" s="290">
        <f>'A) Base RI'!A289</f>
        <v>5907</v>
      </c>
      <c r="B288" s="32" t="str">
        <f>'A) Base RI'!B289</f>
        <v>Chavannes-le-Chêne</v>
      </c>
      <c r="C288" s="288">
        <f>'B) D RI'!U289</f>
        <v>7818.3477333333331</v>
      </c>
      <c r="D288" s="32">
        <f>'B) D RI'!AA289</f>
        <v>325</v>
      </c>
      <c r="E288" s="199">
        <f t="shared" si="33"/>
        <v>24.056454564102562</v>
      </c>
      <c r="F288" s="357">
        <f t="shared" si="34"/>
        <v>0.49677360302936907</v>
      </c>
      <c r="G288" s="368">
        <f t="shared" si="35"/>
        <v>0</v>
      </c>
      <c r="H288" s="365">
        <f t="shared" si="36"/>
        <v>0</v>
      </c>
      <c r="I288" s="368">
        <f t="shared" si="37"/>
        <v>0</v>
      </c>
      <c r="J288" s="365">
        <f t="shared" si="38"/>
        <v>0</v>
      </c>
      <c r="K288" s="360">
        <f t="shared" si="39"/>
        <v>0</v>
      </c>
      <c r="L288" s="364">
        <f t="shared" si="40"/>
        <v>0</v>
      </c>
      <c r="M288" s="113">
        <f>L288*D288*'B) D RI'!S289</f>
        <v>0</v>
      </c>
    </row>
    <row r="289" spans="1:13" x14ac:dyDescent="0.25">
      <c r="A289" s="290">
        <f>'A) Base RI'!A290</f>
        <v>5908</v>
      </c>
      <c r="B289" s="32" t="str">
        <f>'A) Base RI'!B290</f>
        <v>Chêne-Pâquier</v>
      </c>
      <c r="C289" s="288">
        <f>'B) D RI'!U290</f>
        <v>4413.8781012658228</v>
      </c>
      <c r="D289" s="32">
        <f>'B) D RI'!AA290</f>
        <v>153</v>
      </c>
      <c r="E289" s="199">
        <f t="shared" si="33"/>
        <v>28.848876478861587</v>
      </c>
      <c r="F289" s="357">
        <f t="shared" si="34"/>
        <v>0.59573867269447012</v>
      </c>
      <c r="G289" s="368">
        <f t="shared" si="35"/>
        <v>0</v>
      </c>
      <c r="H289" s="365">
        <f t="shared" si="36"/>
        <v>0</v>
      </c>
      <c r="I289" s="368">
        <f t="shared" si="37"/>
        <v>0</v>
      </c>
      <c r="J289" s="365">
        <f t="shared" si="38"/>
        <v>0</v>
      </c>
      <c r="K289" s="360">
        <f t="shared" si="39"/>
        <v>0</v>
      </c>
      <c r="L289" s="364">
        <f t="shared" si="40"/>
        <v>0</v>
      </c>
      <c r="M289" s="113">
        <f>L289*D289*'B) D RI'!S290</f>
        <v>0</v>
      </c>
    </row>
    <row r="290" spans="1:13" x14ac:dyDescent="0.25">
      <c r="A290" s="290">
        <f>'A) Base RI'!A291</f>
        <v>5909</v>
      </c>
      <c r="B290" s="32" t="str">
        <f>'A) Base RI'!B291</f>
        <v>Cheseaux-Noréaz</v>
      </c>
      <c r="C290" s="288">
        <f>'B) D RI'!U291</f>
        <v>36898.573134328355</v>
      </c>
      <c r="D290" s="32">
        <f>'B) D RI'!AA291</f>
        <v>728</v>
      </c>
      <c r="E290" s="199">
        <f t="shared" si="33"/>
        <v>50.684853206494992</v>
      </c>
      <c r="F290" s="357">
        <f t="shared" si="34"/>
        <v>1.0466586869362517</v>
      </c>
      <c r="G290" s="368">
        <f t="shared" si="35"/>
        <v>2.2594650268409424</v>
      </c>
      <c r="H290" s="365">
        <f t="shared" si="36"/>
        <v>0</v>
      </c>
      <c r="I290" s="368">
        <f t="shared" si="37"/>
        <v>0</v>
      </c>
      <c r="J290" s="365">
        <f t="shared" si="38"/>
        <v>0</v>
      </c>
      <c r="K290" s="360">
        <f t="shared" si="39"/>
        <v>0</v>
      </c>
      <c r="L290" s="364">
        <f t="shared" si="40"/>
        <v>0.45189300536818849</v>
      </c>
      <c r="M290" s="113">
        <f>L290*D290*'B) D RI'!S291</f>
        <v>22041.533229838762</v>
      </c>
    </row>
    <row r="291" spans="1:13" x14ac:dyDescent="0.25">
      <c r="A291" s="290">
        <f>'A) Base RI'!A292</f>
        <v>5910</v>
      </c>
      <c r="B291" s="32" t="str">
        <f>'A) Base RI'!B292</f>
        <v>Cronay</v>
      </c>
      <c r="C291" s="288">
        <f>'B) D RI'!U292</f>
        <v>10600.416103896103</v>
      </c>
      <c r="D291" s="32">
        <f>'B) D RI'!AA292</f>
        <v>403</v>
      </c>
      <c r="E291" s="199">
        <f t="shared" si="33"/>
        <v>26.303762044407204</v>
      </c>
      <c r="F291" s="357">
        <f t="shared" si="34"/>
        <v>0.54318123267948815</v>
      </c>
      <c r="G291" s="368">
        <f t="shared" si="35"/>
        <v>0</v>
      </c>
      <c r="H291" s="365">
        <f t="shared" si="36"/>
        <v>0</v>
      </c>
      <c r="I291" s="368">
        <f t="shared" si="37"/>
        <v>0</v>
      </c>
      <c r="J291" s="365">
        <f t="shared" si="38"/>
        <v>0</v>
      </c>
      <c r="K291" s="360">
        <f t="shared" si="39"/>
        <v>0</v>
      </c>
      <c r="L291" s="364">
        <f t="shared" si="40"/>
        <v>0</v>
      </c>
      <c r="M291" s="113">
        <f>L291*D291*'B) D RI'!S292</f>
        <v>0</v>
      </c>
    </row>
    <row r="292" spans="1:13" x14ac:dyDescent="0.25">
      <c r="A292" s="290">
        <f>'A) Base RI'!A293</f>
        <v>5911</v>
      </c>
      <c r="B292" s="32" t="str">
        <f>'A) Base RI'!B293</f>
        <v>Cuarny</v>
      </c>
      <c r="C292" s="288">
        <f>'B) D RI'!U293</f>
        <v>7504.0945454545454</v>
      </c>
      <c r="D292" s="32">
        <f>'B) D RI'!AA293</f>
        <v>245</v>
      </c>
      <c r="E292" s="199">
        <f t="shared" si="33"/>
        <v>30.628957328385898</v>
      </c>
      <c r="F292" s="357">
        <f t="shared" si="34"/>
        <v>0.6324979206104675</v>
      </c>
      <c r="G292" s="368">
        <f t="shared" si="35"/>
        <v>0</v>
      </c>
      <c r="H292" s="365">
        <f t="shared" si="36"/>
        <v>0</v>
      </c>
      <c r="I292" s="368">
        <f t="shared" si="37"/>
        <v>0</v>
      </c>
      <c r="J292" s="365">
        <f t="shared" si="38"/>
        <v>0</v>
      </c>
      <c r="K292" s="360">
        <f t="shared" si="39"/>
        <v>0</v>
      </c>
      <c r="L292" s="364">
        <f t="shared" si="40"/>
        <v>0</v>
      </c>
      <c r="M292" s="113">
        <f>L292*D292*'B) D RI'!S293</f>
        <v>0</v>
      </c>
    </row>
    <row r="293" spans="1:13" x14ac:dyDescent="0.25">
      <c r="A293" s="290">
        <f>'A) Base RI'!A294</f>
        <v>5912</v>
      </c>
      <c r="B293" s="32" t="str">
        <f>'A) Base RI'!B294</f>
        <v>Démoret</v>
      </c>
      <c r="C293" s="288">
        <f>'B) D RI'!U294</f>
        <v>4722.5551851851851</v>
      </c>
      <c r="D293" s="32">
        <f>'B) D RI'!AA294</f>
        <v>164</v>
      </c>
      <c r="E293" s="199">
        <f t="shared" si="33"/>
        <v>28.796068202348689</v>
      </c>
      <c r="F293" s="357">
        <f t="shared" si="34"/>
        <v>0.59464816462632653</v>
      </c>
      <c r="G293" s="368">
        <f t="shared" si="35"/>
        <v>0</v>
      </c>
      <c r="H293" s="365">
        <f t="shared" si="36"/>
        <v>0</v>
      </c>
      <c r="I293" s="368">
        <f t="shared" si="37"/>
        <v>0</v>
      </c>
      <c r="J293" s="365">
        <f t="shared" si="38"/>
        <v>0</v>
      </c>
      <c r="K293" s="360">
        <f t="shared" si="39"/>
        <v>0</v>
      </c>
      <c r="L293" s="364">
        <f t="shared" si="40"/>
        <v>0</v>
      </c>
      <c r="M293" s="113">
        <f>L293*D293*'B) D RI'!S294</f>
        <v>0</v>
      </c>
    </row>
    <row r="294" spans="1:13" x14ac:dyDescent="0.25">
      <c r="A294" s="290">
        <f>'A) Base RI'!A295</f>
        <v>5913</v>
      </c>
      <c r="B294" s="32" t="str">
        <f>'A) Base RI'!B295</f>
        <v>Donneloye</v>
      </c>
      <c r="C294" s="288">
        <f>'B) D RI'!U295</f>
        <v>23893.322465753423</v>
      </c>
      <c r="D294" s="32">
        <f>'B) D RI'!AA295</f>
        <v>891</v>
      </c>
      <c r="E294" s="199">
        <f t="shared" si="33"/>
        <v>26.816299063696324</v>
      </c>
      <c r="F294" s="357">
        <f t="shared" si="34"/>
        <v>0.55376528865829933</v>
      </c>
      <c r="G294" s="368">
        <f t="shared" si="35"/>
        <v>0</v>
      </c>
      <c r="H294" s="365">
        <f t="shared" si="36"/>
        <v>0</v>
      </c>
      <c r="I294" s="368">
        <f t="shared" si="37"/>
        <v>0</v>
      </c>
      <c r="J294" s="365">
        <f t="shared" si="38"/>
        <v>0</v>
      </c>
      <c r="K294" s="360">
        <f t="shared" si="39"/>
        <v>0</v>
      </c>
      <c r="L294" s="364">
        <f t="shared" si="40"/>
        <v>0</v>
      </c>
      <c r="M294" s="113">
        <f>L294*D294*'B) D RI'!S295</f>
        <v>0</v>
      </c>
    </row>
    <row r="295" spans="1:13" x14ac:dyDescent="0.25">
      <c r="A295" s="290">
        <f>'A) Base RI'!A296</f>
        <v>5914</v>
      </c>
      <c r="B295" s="32" t="str">
        <f>'A) Base RI'!B296</f>
        <v>Ependes</v>
      </c>
      <c r="C295" s="288">
        <f>'B) D RI'!U296</f>
        <v>9829.5133333333324</v>
      </c>
      <c r="D295" s="32">
        <f>'B) D RI'!AA296</f>
        <v>381</v>
      </c>
      <c r="E295" s="199">
        <f t="shared" si="33"/>
        <v>25.79924759405074</v>
      </c>
      <c r="F295" s="357">
        <f t="shared" si="34"/>
        <v>0.53276284535578189</v>
      </c>
      <c r="G295" s="368">
        <f t="shared" si="35"/>
        <v>0</v>
      </c>
      <c r="H295" s="365">
        <f t="shared" si="36"/>
        <v>0</v>
      </c>
      <c r="I295" s="368">
        <f t="shared" si="37"/>
        <v>0</v>
      </c>
      <c r="J295" s="365">
        <f t="shared" si="38"/>
        <v>0</v>
      </c>
      <c r="K295" s="360">
        <f t="shared" si="39"/>
        <v>0</v>
      </c>
      <c r="L295" s="364">
        <f t="shared" si="40"/>
        <v>0</v>
      </c>
      <c r="M295" s="113">
        <f>L295*D295*'B) D RI'!S296</f>
        <v>0</v>
      </c>
    </row>
    <row r="296" spans="1:13" x14ac:dyDescent="0.25">
      <c r="A296" s="290">
        <f>'A) Base RI'!A297</f>
        <v>5919</v>
      </c>
      <c r="B296" s="32" t="str">
        <f>'A) Base RI'!B297</f>
        <v>Mathod</v>
      </c>
      <c r="C296" s="288">
        <f>'B) D RI'!U297</f>
        <v>18684.885972222222</v>
      </c>
      <c r="D296" s="32">
        <f>'B) D RI'!AA297</f>
        <v>655</v>
      </c>
      <c r="E296" s="199">
        <f t="shared" si="33"/>
        <v>28.52654346904156</v>
      </c>
      <c r="F296" s="357">
        <f t="shared" si="34"/>
        <v>0.58908239131115525</v>
      </c>
      <c r="G296" s="368">
        <f t="shared" si="35"/>
        <v>0</v>
      </c>
      <c r="H296" s="365">
        <f t="shared" si="36"/>
        <v>0</v>
      </c>
      <c r="I296" s="368">
        <f t="shared" si="37"/>
        <v>0</v>
      </c>
      <c r="J296" s="365">
        <f t="shared" si="38"/>
        <v>0</v>
      </c>
      <c r="K296" s="360">
        <f t="shared" si="39"/>
        <v>0</v>
      </c>
      <c r="L296" s="364">
        <f t="shared" si="40"/>
        <v>0</v>
      </c>
      <c r="M296" s="113">
        <f>L296*D296*'B) D RI'!S297</f>
        <v>0</v>
      </c>
    </row>
    <row r="297" spans="1:13" x14ac:dyDescent="0.25">
      <c r="A297" s="290">
        <f>'A) Base RI'!A298</f>
        <v>5921</v>
      </c>
      <c r="B297" s="32" t="str">
        <f>'A) Base RI'!B298</f>
        <v>Molondin</v>
      </c>
      <c r="C297" s="288">
        <f>'B) D RI'!U298</f>
        <v>5874.9966666666678</v>
      </c>
      <c r="D297" s="32">
        <f>'B) D RI'!AA298</f>
        <v>239</v>
      </c>
      <c r="E297" s="199">
        <f t="shared" si="33"/>
        <v>24.581576011157605</v>
      </c>
      <c r="F297" s="357">
        <f t="shared" si="34"/>
        <v>0.50761753153040423</v>
      </c>
      <c r="G297" s="368">
        <f t="shared" si="35"/>
        <v>0</v>
      </c>
      <c r="H297" s="365">
        <f t="shared" si="36"/>
        <v>0</v>
      </c>
      <c r="I297" s="368">
        <f t="shared" si="37"/>
        <v>0</v>
      </c>
      <c r="J297" s="365">
        <f t="shared" si="38"/>
        <v>0</v>
      </c>
      <c r="K297" s="360">
        <f t="shared" si="39"/>
        <v>0</v>
      </c>
      <c r="L297" s="364">
        <f t="shared" si="40"/>
        <v>0</v>
      </c>
      <c r="M297" s="113">
        <f>L297*D297*'B) D RI'!S298</f>
        <v>0</v>
      </c>
    </row>
    <row r="298" spans="1:13" x14ac:dyDescent="0.25">
      <c r="A298" s="290">
        <f>'A) Base RI'!A299</f>
        <v>5922</v>
      </c>
      <c r="B298" s="32" t="str">
        <f>'A) Base RI'!B299</f>
        <v>Montagny-près-Yverdon</v>
      </c>
      <c r="C298" s="288">
        <f>'B) D RI'!U299</f>
        <v>39614.024961240313</v>
      </c>
      <c r="D298" s="32">
        <f>'B) D RI'!AA299</f>
        <v>775</v>
      </c>
      <c r="E298" s="199">
        <f t="shared" si="33"/>
        <v>51.114870917729434</v>
      </c>
      <c r="F298" s="357">
        <f t="shared" si="34"/>
        <v>1.0555386923920493</v>
      </c>
      <c r="G298" s="368">
        <f t="shared" si="35"/>
        <v>2.6894827380753838</v>
      </c>
      <c r="H298" s="365">
        <f t="shared" si="36"/>
        <v>0</v>
      </c>
      <c r="I298" s="368">
        <f t="shared" si="37"/>
        <v>0</v>
      </c>
      <c r="J298" s="365">
        <f t="shared" si="38"/>
        <v>0</v>
      </c>
      <c r="K298" s="360">
        <f t="shared" si="39"/>
        <v>0</v>
      </c>
      <c r="L298" s="364">
        <f t="shared" si="40"/>
        <v>0.53789654761507677</v>
      </c>
      <c r="M298" s="113">
        <f>L298*D298*'B) D RI'!S299</f>
        <v>26888.103673908648</v>
      </c>
    </row>
    <row r="299" spans="1:13" x14ac:dyDescent="0.25">
      <c r="A299" s="290">
        <f>'A) Base RI'!A300</f>
        <v>5923</v>
      </c>
      <c r="B299" s="32" t="str">
        <f>'A) Base RI'!B300</f>
        <v>Oppens</v>
      </c>
      <c r="C299" s="288">
        <f>'B) D RI'!U300</f>
        <v>5094.8359259259259</v>
      </c>
      <c r="D299" s="32">
        <f>'B) D RI'!AA300</f>
        <v>201</v>
      </c>
      <c r="E299" s="199">
        <f t="shared" si="33"/>
        <v>25.34744241754192</v>
      </c>
      <c r="F299" s="357">
        <f t="shared" si="34"/>
        <v>0.52343292166301436</v>
      </c>
      <c r="G299" s="368">
        <f t="shared" si="35"/>
        <v>0</v>
      </c>
      <c r="H299" s="365">
        <f t="shared" si="36"/>
        <v>0</v>
      </c>
      <c r="I299" s="368">
        <f t="shared" si="37"/>
        <v>0</v>
      </c>
      <c r="J299" s="365">
        <f t="shared" si="38"/>
        <v>0</v>
      </c>
      <c r="K299" s="360">
        <f t="shared" si="39"/>
        <v>0</v>
      </c>
      <c r="L299" s="364">
        <f t="shared" si="40"/>
        <v>0</v>
      </c>
      <c r="M299" s="113">
        <f>L299*D299*'B) D RI'!S300</f>
        <v>0</v>
      </c>
    </row>
    <row r="300" spans="1:13" x14ac:dyDescent="0.25">
      <c r="A300" s="290">
        <f>'A) Base RI'!A301</f>
        <v>5924</v>
      </c>
      <c r="B300" s="32" t="str">
        <f>'A) Base RI'!B301</f>
        <v>Orges</v>
      </c>
      <c r="C300" s="288">
        <f>'B) D RI'!U301</f>
        <v>13110.169864864867</v>
      </c>
      <c r="D300" s="32">
        <f>'B) D RI'!AA301</f>
        <v>367</v>
      </c>
      <c r="E300" s="199">
        <f t="shared" si="33"/>
        <v>35.722533691729886</v>
      </c>
      <c r="F300" s="357">
        <f t="shared" si="34"/>
        <v>0.73768192748816674</v>
      </c>
      <c r="G300" s="368">
        <f t="shared" si="35"/>
        <v>0</v>
      </c>
      <c r="H300" s="365">
        <f t="shared" si="36"/>
        <v>0</v>
      </c>
      <c r="I300" s="368">
        <f t="shared" si="37"/>
        <v>0</v>
      </c>
      <c r="J300" s="365">
        <f t="shared" si="38"/>
        <v>0</v>
      </c>
      <c r="K300" s="360">
        <f t="shared" si="39"/>
        <v>0</v>
      </c>
      <c r="L300" s="364">
        <f t="shared" si="40"/>
        <v>0</v>
      </c>
      <c r="M300" s="113">
        <f>L300*D300*'B) D RI'!S301</f>
        <v>0</v>
      </c>
    </row>
    <row r="301" spans="1:13" x14ac:dyDescent="0.25">
      <c r="A301" s="290">
        <f>'A) Base RI'!A302</f>
        <v>5925</v>
      </c>
      <c r="B301" s="32" t="str">
        <f>'A) Base RI'!B302</f>
        <v>Orzens</v>
      </c>
      <c r="C301" s="288">
        <f>'B) D RI'!U302</f>
        <v>5230.5868354430377</v>
      </c>
      <c r="D301" s="32">
        <f>'B) D RI'!AA302</f>
        <v>202</v>
      </c>
      <c r="E301" s="199">
        <f t="shared" si="33"/>
        <v>25.893994234866522</v>
      </c>
      <c r="F301" s="357">
        <f t="shared" si="34"/>
        <v>0.53471939427314485</v>
      </c>
      <c r="G301" s="368">
        <f t="shared" si="35"/>
        <v>0</v>
      </c>
      <c r="H301" s="365">
        <f t="shared" si="36"/>
        <v>0</v>
      </c>
      <c r="I301" s="368">
        <f t="shared" si="37"/>
        <v>0</v>
      </c>
      <c r="J301" s="365">
        <f t="shared" si="38"/>
        <v>0</v>
      </c>
      <c r="K301" s="360">
        <f t="shared" si="39"/>
        <v>0</v>
      </c>
      <c r="L301" s="364">
        <f t="shared" si="40"/>
        <v>0</v>
      </c>
      <c r="M301" s="113">
        <f>L301*D301*'B) D RI'!S302</f>
        <v>0</v>
      </c>
    </row>
    <row r="302" spans="1:13" x14ac:dyDescent="0.25">
      <c r="A302" s="290">
        <f>'A) Base RI'!A303</f>
        <v>5926</v>
      </c>
      <c r="B302" s="32" t="str">
        <f>'A) Base RI'!B303</f>
        <v>Pomy</v>
      </c>
      <c r="C302" s="288">
        <f>'B) D RI'!U303</f>
        <v>27875.103943661972</v>
      </c>
      <c r="D302" s="32">
        <f>'B) D RI'!AA303</f>
        <v>838</v>
      </c>
      <c r="E302" s="199">
        <f t="shared" si="33"/>
        <v>33.26384718814078</v>
      </c>
      <c r="F302" s="357">
        <f t="shared" si="34"/>
        <v>0.6869092523272039</v>
      </c>
      <c r="G302" s="368">
        <f t="shared" si="35"/>
        <v>0</v>
      </c>
      <c r="H302" s="365">
        <f t="shared" si="36"/>
        <v>0</v>
      </c>
      <c r="I302" s="368">
        <f t="shared" si="37"/>
        <v>0</v>
      </c>
      <c r="J302" s="365">
        <f t="shared" si="38"/>
        <v>0</v>
      </c>
      <c r="K302" s="360">
        <f t="shared" si="39"/>
        <v>0</v>
      </c>
      <c r="L302" s="364">
        <f t="shared" si="40"/>
        <v>0</v>
      </c>
      <c r="M302" s="113">
        <f>L302*D302*'B) D RI'!S303</f>
        <v>0</v>
      </c>
    </row>
    <row r="303" spans="1:13" x14ac:dyDescent="0.25">
      <c r="A303" s="290">
        <f>'A) Base RI'!A304</f>
        <v>5928</v>
      </c>
      <c r="B303" s="32" t="str">
        <f>'A) Base RI'!B304</f>
        <v>Rovray</v>
      </c>
      <c r="C303" s="288">
        <f>'B) D RI'!U304</f>
        <v>5459.4606993006983</v>
      </c>
      <c r="D303" s="32">
        <f>'B) D RI'!AA304</f>
        <v>206</v>
      </c>
      <c r="E303" s="199">
        <f t="shared" si="33"/>
        <v>26.502236404372322</v>
      </c>
      <c r="F303" s="357">
        <f t="shared" si="34"/>
        <v>0.5472797926998807</v>
      </c>
      <c r="G303" s="368">
        <f t="shared" si="35"/>
        <v>0</v>
      </c>
      <c r="H303" s="365">
        <f t="shared" si="36"/>
        <v>0</v>
      </c>
      <c r="I303" s="368">
        <f t="shared" si="37"/>
        <v>0</v>
      </c>
      <c r="J303" s="365">
        <f t="shared" si="38"/>
        <v>0</v>
      </c>
      <c r="K303" s="360">
        <f t="shared" si="39"/>
        <v>0</v>
      </c>
      <c r="L303" s="364">
        <f t="shared" si="40"/>
        <v>0</v>
      </c>
      <c r="M303" s="113">
        <f>L303*D303*'B) D RI'!S304</f>
        <v>0</v>
      </c>
    </row>
    <row r="304" spans="1:13" x14ac:dyDescent="0.25">
      <c r="A304" s="290">
        <f>'A) Base RI'!A305</f>
        <v>5929</v>
      </c>
      <c r="B304" s="32" t="str">
        <f>'A) Base RI'!B305</f>
        <v>Suchy</v>
      </c>
      <c r="C304" s="288">
        <f>'B) D RI'!U305</f>
        <v>20266.988392857143</v>
      </c>
      <c r="D304" s="32">
        <f>'B) D RI'!AA305</f>
        <v>656</v>
      </c>
      <c r="E304" s="199">
        <f t="shared" si="33"/>
        <v>30.894799379355401</v>
      </c>
      <c r="F304" s="357">
        <f t="shared" si="34"/>
        <v>0.63798764533881147</v>
      </c>
      <c r="G304" s="368">
        <f t="shared" si="35"/>
        <v>0</v>
      </c>
      <c r="H304" s="365">
        <f t="shared" si="36"/>
        <v>0</v>
      </c>
      <c r="I304" s="368">
        <f t="shared" si="37"/>
        <v>0</v>
      </c>
      <c r="J304" s="365">
        <f t="shared" si="38"/>
        <v>0</v>
      </c>
      <c r="K304" s="360">
        <f t="shared" si="39"/>
        <v>0</v>
      </c>
      <c r="L304" s="364">
        <f t="shared" si="40"/>
        <v>0</v>
      </c>
      <c r="M304" s="113">
        <f>L304*D304*'B) D RI'!S305</f>
        <v>0</v>
      </c>
    </row>
    <row r="305" spans="1:13" x14ac:dyDescent="0.25">
      <c r="A305" s="290">
        <f>'A) Base RI'!A306</f>
        <v>5930</v>
      </c>
      <c r="B305" s="32" t="str">
        <f>'A) Base RI'!B306</f>
        <v>Suscévaz</v>
      </c>
      <c r="C305" s="288">
        <f>'B) D RI'!U306</f>
        <v>6661.8138888888889</v>
      </c>
      <c r="D305" s="32">
        <f>'B) D RI'!AA306</f>
        <v>215</v>
      </c>
      <c r="E305" s="199">
        <f t="shared" si="33"/>
        <v>30.985180878552971</v>
      </c>
      <c r="F305" s="357">
        <f t="shared" si="34"/>
        <v>0.6398540526634624</v>
      </c>
      <c r="G305" s="368">
        <f t="shared" si="35"/>
        <v>0</v>
      </c>
      <c r="H305" s="365">
        <f t="shared" si="36"/>
        <v>0</v>
      </c>
      <c r="I305" s="368">
        <f t="shared" si="37"/>
        <v>0</v>
      </c>
      <c r="J305" s="365">
        <f t="shared" si="38"/>
        <v>0</v>
      </c>
      <c r="K305" s="360">
        <f t="shared" si="39"/>
        <v>0</v>
      </c>
      <c r="L305" s="364">
        <f t="shared" si="40"/>
        <v>0</v>
      </c>
      <c r="M305" s="113">
        <f>L305*D305*'B) D RI'!S306</f>
        <v>0</v>
      </c>
    </row>
    <row r="306" spans="1:13" x14ac:dyDescent="0.25">
      <c r="A306" s="290">
        <f>'A) Base RI'!A307</f>
        <v>5931</v>
      </c>
      <c r="B306" s="32" t="str">
        <f>'A) Base RI'!B307</f>
        <v>Treycovagnes</v>
      </c>
      <c r="C306" s="288">
        <f>'B) D RI'!U307</f>
        <v>15271.093466666664</v>
      </c>
      <c r="D306" s="32">
        <f>'B) D RI'!AA307</f>
        <v>490</v>
      </c>
      <c r="E306" s="199">
        <f t="shared" si="33"/>
        <v>31.165496870748292</v>
      </c>
      <c r="F306" s="357">
        <f t="shared" si="34"/>
        <v>0.64357763648949939</v>
      </c>
      <c r="G306" s="368">
        <f t="shared" si="35"/>
        <v>0</v>
      </c>
      <c r="H306" s="365">
        <f t="shared" si="36"/>
        <v>0</v>
      </c>
      <c r="I306" s="368">
        <f t="shared" si="37"/>
        <v>0</v>
      </c>
      <c r="J306" s="365">
        <f t="shared" si="38"/>
        <v>0</v>
      </c>
      <c r="K306" s="360">
        <f t="shared" si="39"/>
        <v>0</v>
      </c>
      <c r="L306" s="364">
        <f t="shared" si="40"/>
        <v>0</v>
      </c>
      <c r="M306" s="113">
        <f>L306*D306*'B) D RI'!S307</f>
        <v>0</v>
      </c>
    </row>
    <row r="307" spans="1:13" x14ac:dyDescent="0.25">
      <c r="A307" s="290">
        <f>'A) Base RI'!A308</f>
        <v>5932</v>
      </c>
      <c r="B307" s="32" t="str">
        <f>'A) Base RI'!B308</f>
        <v>Ursins</v>
      </c>
      <c r="C307" s="288">
        <f>'B) D RI'!U308</f>
        <v>7703.3244000000022</v>
      </c>
      <c r="D307" s="32">
        <f>'B) D RI'!AA308</f>
        <v>228</v>
      </c>
      <c r="E307" s="199">
        <f t="shared" si="33"/>
        <v>33.786510526315801</v>
      </c>
      <c r="F307" s="357">
        <f t="shared" si="34"/>
        <v>0.69770242008119243</v>
      </c>
      <c r="G307" s="368">
        <f t="shared" si="35"/>
        <v>0</v>
      </c>
      <c r="H307" s="365">
        <f t="shared" si="36"/>
        <v>0</v>
      </c>
      <c r="I307" s="368">
        <f t="shared" si="37"/>
        <v>0</v>
      </c>
      <c r="J307" s="365">
        <f t="shared" si="38"/>
        <v>0</v>
      </c>
      <c r="K307" s="360">
        <f t="shared" si="39"/>
        <v>0</v>
      </c>
      <c r="L307" s="364">
        <f t="shared" si="40"/>
        <v>0</v>
      </c>
      <c r="M307" s="113">
        <f>L307*D307*'B) D RI'!S308</f>
        <v>0</v>
      </c>
    </row>
    <row r="308" spans="1:13" x14ac:dyDescent="0.25">
      <c r="A308" s="290">
        <f>'A) Base RI'!A309</f>
        <v>5933</v>
      </c>
      <c r="B308" s="32" t="str">
        <f>'A) Base RI'!B309</f>
        <v>Valeyres-sous-Montagny</v>
      </c>
      <c r="C308" s="288">
        <f>'B) D RI'!U309</f>
        <v>19607.073049645387</v>
      </c>
      <c r="D308" s="32">
        <f>'B) D RI'!AA309</f>
        <v>697</v>
      </c>
      <c r="E308" s="199">
        <f t="shared" si="33"/>
        <v>28.130664346693525</v>
      </c>
      <c r="F308" s="357">
        <f t="shared" si="34"/>
        <v>0.58090735880797006</v>
      </c>
      <c r="G308" s="368">
        <f t="shared" si="35"/>
        <v>0</v>
      </c>
      <c r="H308" s="365">
        <f t="shared" si="36"/>
        <v>0</v>
      </c>
      <c r="I308" s="368">
        <f t="shared" si="37"/>
        <v>0</v>
      </c>
      <c r="J308" s="365">
        <f t="shared" si="38"/>
        <v>0</v>
      </c>
      <c r="K308" s="360">
        <f t="shared" si="39"/>
        <v>0</v>
      </c>
      <c r="L308" s="364">
        <f t="shared" si="40"/>
        <v>0</v>
      </c>
      <c r="M308" s="113">
        <f>L308*D308*'B) D RI'!S309</f>
        <v>0</v>
      </c>
    </row>
    <row r="309" spans="1:13" x14ac:dyDescent="0.25">
      <c r="A309" s="290">
        <f>'A) Base RI'!A310</f>
        <v>5934</v>
      </c>
      <c r="B309" s="32" t="str">
        <f>'A) Base RI'!B310</f>
        <v>Valeyres-sous-Ursins</v>
      </c>
      <c r="C309" s="288">
        <f>'B) D RI'!U310</f>
        <v>7018.283636363637</v>
      </c>
      <c r="D309" s="32">
        <f>'B) D RI'!AA310</f>
        <v>247</v>
      </c>
      <c r="E309" s="199">
        <f t="shared" si="33"/>
        <v>28.414103790945898</v>
      </c>
      <c r="F309" s="357">
        <f t="shared" si="34"/>
        <v>0.58676047542524601</v>
      </c>
      <c r="G309" s="368">
        <f t="shared" si="35"/>
        <v>0</v>
      </c>
      <c r="H309" s="365">
        <f t="shared" si="36"/>
        <v>0</v>
      </c>
      <c r="I309" s="368">
        <f t="shared" si="37"/>
        <v>0</v>
      </c>
      <c r="J309" s="365">
        <f t="shared" si="38"/>
        <v>0</v>
      </c>
      <c r="K309" s="360">
        <f t="shared" si="39"/>
        <v>0</v>
      </c>
      <c r="L309" s="364">
        <f t="shared" si="40"/>
        <v>0</v>
      </c>
      <c r="M309" s="113">
        <f>L309*D309*'B) D RI'!S310</f>
        <v>0</v>
      </c>
    </row>
    <row r="310" spans="1:13" x14ac:dyDescent="0.25">
      <c r="A310" s="290">
        <f>'A) Base RI'!A311</f>
        <v>5935</v>
      </c>
      <c r="B310" s="32" t="str">
        <f>'A) Base RI'!B311</f>
        <v>Villars-Epeney</v>
      </c>
      <c r="C310" s="288">
        <f>'B) D RI'!U311</f>
        <v>3448.2304999999997</v>
      </c>
      <c r="D310" s="32">
        <f>'B) D RI'!AA311</f>
        <v>95</v>
      </c>
      <c r="E310" s="199">
        <f t="shared" si="33"/>
        <v>36.297163157894737</v>
      </c>
      <c r="F310" s="357">
        <f t="shared" si="34"/>
        <v>0.74954821266967164</v>
      </c>
      <c r="G310" s="368">
        <f t="shared" si="35"/>
        <v>0</v>
      </c>
      <c r="H310" s="365">
        <f t="shared" si="36"/>
        <v>0</v>
      </c>
      <c r="I310" s="368">
        <f t="shared" si="37"/>
        <v>0</v>
      </c>
      <c r="J310" s="365">
        <f t="shared" si="38"/>
        <v>0</v>
      </c>
      <c r="K310" s="360">
        <f t="shared" si="39"/>
        <v>0</v>
      </c>
      <c r="L310" s="364">
        <f t="shared" si="40"/>
        <v>0</v>
      </c>
      <c r="M310" s="113">
        <f>L310*D310*'B) D RI'!S311</f>
        <v>0</v>
      </c>
    </row>
    <row r="311" spans="1:13" x14ac:dyDescent="0.25">
      <c r="A311" s="290">
        <f>'A) Base RI'!A312</f>
        <v>5937</v>
      </c>
      <c r="B311" s="32" t="str">
        <f>'A) Base RI'!B312</f>
        <v>Vugelles-La Mothe</v>
      </c>
      <c r="C311" s="288">
        <f>'B) D RI'!U312</f>
        <v>3471.6885918367348</v>
      </c>
      <c r="D311" s="32">
        <f>'B) D RI'!AA312</f>
        <v>140</v>
      </c>
      <c r="E311" s="199">
        <f t="shared" si="33"/>
        <v>24.797775655976675</v>
      </c>
      <c r="F311" s="357">
        <f t="shared" si="34"/>
        <v>0.51208212444222534</v>
      </c>
      <c r="G311" s="368">
        <f t="shared" si="35"/>
        <v>0</v>
      </c>
      <c r="H311" s="365">
        <f t="shared" si="36"/>
        <v>0</v>
      </c>
      <c r="I311" s="368">
        <f t="shared" si="37"/>
        <v>0</v>
      </c>
      <c r="J311" s="365">
        <f t="shared" si="38"/>
        <v>0</v>
      </c>
      <c r="K311" s="360">
        <f t="shared" si="39"/>
        <v>0</v>
      </c>
      <c r="L311" s="364">
        <f t="shared" si="40"/>
        <v>0</v>
      </c>
      <c r="M311" s="113">
        <f>L311*D311*'B) D RI'!S312</f>
        <v>0</v>
      </c>
    </row>
    <row r="312" spans="1:13" x14ac:dyDescent="0.25">
      <c r="A312" s="290">
        <f>'A) Base RI'!A313</f>
        <v>5938</v>
      </c>
      <c r="B312" s="32" t="str">
        <f>'A) Base RI'!B313</f>
        <v>Yverdon-les-Bains</v>
      </c>
      <c r="C312" s="288">
        <f>'B) D RI'!U313</f>
        <v>762770.29813333345</v>
      </c>
      <c r="D312" s="32">
        <f>'B) D RI'!AA313</f>
        <v>29710</v>
      </c>
      <c r="E312" s="199">
        <f t="shared" si="33"/>
        <v>25.673857224279146</v>
      </c>
      <c r="F312" s="357">
        <f t="shared" si="34"/>
        <v>0.53017349347890264</v>
      </c>
      <c r="G312" s="368">
        <f t="shared" si="35"/>
        <v>0</v>
      </c>
      <c r="H312" s="365">
        <f t="shared" si="36"/>
        <v>0</v>
      </c>
      <c r="I312" s="368">
        <f t="shared" si="37"/>
        <v>0</v>
      </c>
      <c r="J312" s="365">
        <f t="shared" si="38"/>
        <v>0</v>
      </c>
      <c r="K312" s="360">
        <f t="shared" si="39"/>
        <v>0</v>
      </c>
      <c r="L312" s="364">
        <f t="shared" si="40"/>
        <v>0</v>
      </c>
      <c r="M312" s="113">
        <f>L312*D312*'B) D RI'!S313</f>
        <v>0</v>
      </c>
    </row>
    <row r="313" spans="1:13" x14ac:dyDescent="0.25">
      <c r="A313" s="290">
        <f>'A) Base RI'!A314</f>
        <v>5939</v>
      </c>
      <c r="B313" s="32" t="str">
        <f>'A) Base RI'!B314</f>
        <v>Yvonand</v>
      </c>
      <c r="C313" s="288">
        <f>'B) D RI'!U314</f>
        <v>105336.86867132869</v>
      </c>
      <c r="D313" s="32">
        <f>'B) D RI'!AA314</f>
        <v>3512</v>
      </c>
      <c r="E313" s="199">
        <f t="shared" si="33"/>
        <v>29.99341363078835</v>
      </c>
      <c r="F313" s="357">
        <f t="shared" si="34"/>
        <v>0.61937373675798635</v>
      </c>
      <c r="G313" s="369">
        <f t="shared" si="35"/>
        <v>0</v>
      </c>
      <c r="H313" s="365">
        <f t="shared" si="36"/>
        <v>0</v>
      </c>
      <c r="I313" s="369">
        <f t="shared" si="37"/>
        <v>0</v>
      </c>
      <c r="J313" s="365">
        <f t="shared" si="38"/>
        <v>0</v>
      </c>
      <c r="K313" s="361">
        <f t="shared" si="39"/>
        <v>0</v>
      </c>
      <c r="L313" s="370">
        <f t="shared" si="40"/>
        <v>0</v>
      </c>
      <c r="M313" s="113">
        <f>L313*D313*'B) D RI'!S314</f>
        <v>0</v>
      </c>
    </row>
    <row r="314" spans="1:13" x14ac:dyDescent="0.25">
      <c r="A314" s="7"/>
      <c r="B314" s="118">
        <f>COUNTA(B6:B313)</f>
        <v>308</v>
      </c>
      <c r="C314" s="289">
        <f>SUM(C6:C313)</f>
        <v>39896757.238841556</v>
      </c>
      <c r="D314" s="269">
        <f>SUM(D6:D313)</f>
        <v>823881</v>
      </c>
      <c r="E314" s="59">
        <f>C314/D314</f>
        <v>48.42538817965405</v>
      </c>
      <c r="F314" s="60">
        <v>1</v>
      </c>
      <c r="G314" s="30"/>
      <c r="H314" s="30"/>
      <c r="I314" s="30"/>
      <c r="J314" s="30"/>
      <c r="K314" s="30"/>
      <c r="L314" s="363"/>
      <c r="M314" s="37">
        <f>SUM(M6:M313)</f>
        <v>122739972.62232283</v>
      </c>
    </row>
    <row r="315" spans="1:13" x14ac:dyDescent="0.25">
      <c r="M315" s="6"/>
    </row>
    <row r="317" spans="1:13" x14ac:dyDescent="0.25">
      <c r="F317" s="15"/>
    </row>
    <row r="318" spans="1:13" x14ac:dyDescent="0.25">
      <c r="F318" s="15"/>
    </row>
    <row r="319" spans="1:13" x14ac:dyDescent="0.25">
      <c r="F319" s="15"/>
      <c r="G319" s="17"/>
      <c r="H319" s="17"/>
    </row>
    <row r="320" spans="1:13" x14ac:dyDescent="0.25">
      <c r="E320" s="28"/>
    </row>
  </sheetData>
  <mergeCells count="6">
    <mergeCell ref="A4:A5"/>
    <mergeCell ref="B4:B5"/>
    <mergeCell ref="F4:F5"/>
    <mergeCell ref="C4:E4"/>
    <mergeCell ref="M4:M5"/>
    <mergeCell ref="L4:L5"/>
  </mergeCells>
  <phoneticPr fontId="21" type="noConversion"/>
  <pageMargins left="0.78740157499999996" right="0.78740157499999996" top="0.984251969" bottom="0.984251969" header="0.4921259845" footer="0.4921259845"/>
  <pageSetup paperSize="9" orientation="portrait" horizontalDpi="4294967292" verticalDpi="4294967292"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Feuil8">
    <tabColor rgb="FF00B050"/>
  </sheetPr>
  <dimension ref="A1:AG332"/>
  <sheetViews>
    <sheetView workbookViewId="0">
      <selection activeCell="A2" sqref="A2"/>
    </sheetView>
  </sheetViews>
  <sheetFormatPr baseColWidth="10" defaultColWidth="10.75" defaultRowHeight="15" x14ac:dyDescent="0.25"/>
  <cols>
    <col min="1" max="1" width="7.25" style="13" customWidth="1"/>
    <col min="2" max="2" width="18" style="13" customWidth="1"/>
    <col min="3" max="3" width="13.625" style="13" customWidth="1"/>
    <col min="4" max="4" width="12.75" style="13" customWidth="1"/>
    <col min="5" max="5" width="10.75" style="13" bestFit="1" customWidth="1"/>
    <col min="6" max="6" width="15.125" style="13" customWidth="1"/>
    <col min="7" max="7" width="12.125" style="13" customWidth="1"/>
    <col min="8" max="8" width="9.25" style="13" customWidth="1"/>
    <col min="9" max="10" width="12.125" style="13" customWidth="1"/>
    <col min="11" max="11" width="9.25" style="13" customWidth="1"/>
    <col min="12" max="12" width="13" style="13" bestFit="1" customWidth="1"/>
    <col min="13" max="13" width="12.125" style="13" customWidth="1"/>
    <col min="14" max="14" width="14" style="13" customWidth="1"/>
    <col min="15" max="20" width="12.125" style="13" customWidth="1"/>
    <col min="21" max="23" width="8.125" style="13" customWidth="1"/>
    <col min="24" max="31" width="11" style="13" customWidth="1"/>
    <col min="32" max="32" width="9.25" style="13" customWidth="1"/>
    <col min="33" max="33" width="11" style="13" customWidth="1"/>
    <col min="34" max="16384" width="10.75" style="13"/>
  </cols>
  <sheetData>
    <row r="1" spans="1:33" s="43" customFormat="1" ht="20.25" customHeight="1" x14ac:dyDescent="0.25">
      <c r="A1" s="51" t="s">
        <v>563</v>
      </c>
      <c r="B1" s="42"/>
      <c r="C1" s="68"/>
      <c r="D1" s="68"/>
      <c r="E1" s="68"/>
      <c r="F1" s="68"/>
      <c r="G1" s="68"/>
      <c r="H1" s="68"/>
      <c r="I1" s="68"/>
      <c r="J1" s="68"/>
      <c r="K1" s="13"/>
      <c r="L1" s="13"/>
      <c r="M1" s="68"/>
      <c r="N1" s="13"/>
      <c r="O1" s="13"/>
      <c r="P1" s="13"/>
      <c r="Q1" s="13"/>
      <c r="R1" s="13"/>
      <c r="S1" s="13"/>
      <c r="T1" s="13"/>
      <c r="U1" s="13"/>
      <c r="V1" s="13"/>
      <c r="W1" s="13"/>
      <c r="X1" s="13"/>
      <c r="Y1" s="13"/>
      <c r="Z1" s="13"/>
      <c r="AA1" s="13"/>
      <c r="AB1" s="13"/>
      <c r="AC1" s="13"/>
      <c r="AD1" s="13"/>
      <c r="AE1" s="13"/>
      <c r="AF1" s="13"/>
      <c r="AG1" s="13"/>
    </row>
    <row r="2" spans="1:33" s="43" customFormat="1" ht="20.25" customHeight="1" x14ac:dyDescent="0.25">
      <c r="A2" s="200" t="str">
        <f>Paramètres!B5</f>
        <v>décompte provisoire 2021</v>
      </c>
      <c r="B2" s="42"/>
      <c r="C2" s="404"/>
      <c r="D2" s="404"/>
      <c r="E2" s="404"/>
      <c r="F2" s="404"/>
      <c r="G2" s="404"/>
      <c r="H2" s="404"/>
      <c r="I2" s="404"/>
      <c r="J2" s="404"/>
      <c r="K2" s="400"/>
      <c r="L2" s="400"/>
      <c r="M2" s="404"/>
      <c r="N2" s="400"/>
      <c r="O2" s="400"/>
      <c r="P2" s="400"/>
      <c r="Q2" s="400"/>
      <c r="R2" s="400"/>
      <c r="S2" s="400"/>
      <c r="T2" s="400"/>
      <c r="U2" s="400"/>
      <c r="V2" s="400"/>
      <c r="W2" s="400"/>
      <c r="X2" s="400"/>
      <c r="Y2" s="400"/>
      <c r="Z2" s="400"/>
      <c r="AA2" s="400"/>
      <c r="AB2" s="400"/>
      <c r="AC2" s="400"/>
      <c r="AD2" s="400"/>
      <c r="AE2" s="400"/>
      <c r="AF2" s="400"/>
      <c r="AG2" s="400"/>
    </row>
    <row r="3" spans="1:33" s="53" customFormat="1" x14ac:dyDescent="0.25">
      <c r="A3" s="27"/>
      <c r="D3" s="13"/>
      <c r="E3" s="13"/>
      <c r="F3" s="13"/>
      <c r="G3" s="13"/>
      <c r="K3" s="13"/>
      <c r="L3" s="13"/>
      <c r="N3" s="13"/>
      <c r="O3" s="13"/>
      <c r="P3" s="13"/>
      <c r="Q3" s="13"/>
      <c r="R3" s="13"/>
      <c r="S3" s="13"/>
      <c r="T3" s="13"/>
      <c r="U3" s="13"/>
      <c r="V3" s="13"/>
      <c r="W3" s="13"/>
      <c r="X3" s="13"/>
      <c r="Y3" s="13"/>
      <c r="Z3" s="13"/>
      <c r="AA3" s="13"/>
      <c r="AB3" s="13"/>
      <c r="AC3" s="13"/>
      <c r="AD3" s="13"/>
      <c r="AE3" s="13"/>
      <c r="AF3" s="13"/>
      <c r="AG3" s="13"/>
    </row>
    <row r="4" spans="1:33" s="53" customFormat="1" x14ac:dyDescent="0.25">
      <c r="A4" s="592" t="s">
        <v>91</v>
      </c>
      <c r="B4" s="593"/>
      <c r="C4" s="594"/>
      <c r="D4" s="61" t="s">
        <v>513</v>
      </c>
      <c r="E4" s="64" t="s">
        <v>513</v>
      </c>
      <c r="F4" s="13"/>
      <c r="G4" s="13"/>
      <c r="K4" s="13"/>
      <c r="L4" s="13"/>
      <c r="N4" s="13"/>
      <c r="O4" s="13"/>
      <c r="P4" s="13"/>
      <c r="Q4" s="13"/>
      <c r="R4" s="13"/>
      <c r="S4" s="13"/>
      <c r="T4" s="13"/>
      <c r="U4" s="13"/>
      <c r="V4" s="13"/>
      <c r="W4" s="13"/>
      <c r="X4" s="13"/>
      <c r="Y4" s="13"/>
      <c r="Z4" s="13"/>
      <c r="AA4" s="13"/>
      <c r="AB4" s="13"/>
      <c r="AC4" s="13"/>
      <c r="AD4" s="13"/>
      <c r="AE4" s="13"/>
      <c r="AF4" s="13"/>
      <c r="AG4" s="13"/>
    </row>
    <row r="5" spans="1:33" s="53" customFormat="1" x14ac:dyDescent="0.25">
      <c r="A5" s="79" t="s">
        <v>394</v>
      </c>
      <c r="B5" s="80"/>
      <c r="C5" s="89">
        <f>+Paramètres!B52</f>
        <v>795342044</v>
      </c>
      <c r="D5" s="87">
        <f>C5/$E$5</f>
        <v>19.935004723283459</v>
      </c>
      <c r="E5" s="92">
        <f>+'D) Ecrêtage'!C314</f>
        <v>39896757.238841556</v>
      </c>
      <c r="F5" s="13"/>
      <c r="G5" s="13"/>
      <c r="K5" s="13"/>
      <c r="L5" s="362"/>
      <c r="N5" s="13"/>
      <c r="O5" s="13"/>
      <c r="P5" s="13"/>
      <c r="Q5" s="13"/>
      <c r="R5" s="13"/>
      <c r="S5" s="13"/>
      <c r="T5" s="13"/>
      <c r="U5" s="13"/>
      <c r="V5" s="13"/>
      <c r="W5" s="13"/>
      <c r="X5" s="13"/>
      <c r="Y5" s="13"/>
      <c r="Z5" s="13"/>
      <c r="AA5" s="13"/>
      <c r="AB5" s="13"/>
      <c r="AC5" s="13"/>
      <c r="AD5" s="13"/>
      <c r="AE5" s="13"/>
      <c r="AF5" s="13"/>
      <c r="AG5" s="13"/>
    </row>
    <row r="6" spans="1:33" s="53" customFormat="1" x14ac:dyDescent="0.25">
      <c r="A6" s="81" t="s">
        <v>364</v>
      </c>
      <c r="B6" s="82"/>
      <c r="C6" s="9">
        <f>-'C) Prél. conj.'!H314</f>
        <v>-186127479.94500002</v>
      </c>
      <c r="D6" s="33">
        <f>C6/$E$5</f>
        <v>-4.6652282748382188</v>
      </c>
      <c r="E6" s="72"/>
      <c r="F6" s="13"/>
      <c r="G6" s="13"/>
      <c r="K6" s="13"/>
      <c r="L6" s="13"/>
      <c r="N6" s="13"/>
      <c r="O6" s="13"/>
      <c r="P6" s="13"/>
      <c r="Q6" s="13"/>
      <c r="R6" s="13"/>
      <c r="S6" s="13"/>
      <c r="T6" s="13"/>
      <c r="U6" s="13"/>
      <c r="V6" s="13"/>
      <c r="W6" s="13"/>
      <c r="X6" s="13"/>
      <c r="Y6" s="13"/>
      <c r="Z6" s="13"/>
      <c r="AA6" s="13"/>
      <c r="AB6" s="13"/>
      <c r="AC6" s="13"/>
      <c r="AD6" s="13"/>
      <c r="AE6" s="13"/>
      <c r="AF6" s="13"/>
      <c r="AG6" s="13"/>
    </row>
    <row r="7" spans="1:33" s="53" customFormat="1" x14ac:dyDescent="0.25">
      <c r="A7" s="83" t="s">
        <v>365</v>
      </c>
      <c r="B7" s="84"/>
      <c r="C7" s="90">
        <f>-'D) Ecrêtage'!M314</f>
        <v>-122739972.62232283</v>
      </c>
      <c r="D7" s="33">
        <f>C7/$E$5</f>
        <v>-3.0764398190945985</v>
      </c>
      <c r="E7" s="72"/>
      <c r="F7" s="13"/>
      <c r="G7" s="13"/>
      <c r="K7" s="13"/>
      <c r="L7" s="13"/>
      <c r="N7" s="13"/>
      <c r="O7" s="13"/>
      <c r="P7" s="13"/>
      <c r="Q7" s="13"/>
      <c r="R7" s="13"/>
      <c r="S7" s="13"/>
      <c r="T7" s="13"/>
      <c r="U7" s="13"/>
      <c r="V7" s="13"/>
      <c r="W7" s="13"/>
      <c r="X7" s="13"/>
      <c r="Y7" s="13"/>
      <c r="Z7" s="13"/>
      <c r="AA7" s="13"/>
      <c r="AB7" s="13"/>
      <c r="AC7" s="13"/>
      <c r="AD7" s="13"/>
      <c r="AE7" s="13"/>
      <c r="AF7" s="13"/>
      <c r="AG7" s="13"/>
    </row>
    <row r="8" spans="1:33" s="53" customFormat="1" x14ac:dyDescent="0.25">
      <c r="A8" s="75" t="s">
        <v>283</v>
      </c>
      <c r="B8" s="77"/>
      <c r="C8" s="91">
        <f>C5+C7+C6</f>
        <v>486474591.43267715</v>
      </c>
      <c r="D8" s="19">
        <f>C8/$E$5</f>
        <v>12.193336629350643</v>
      </c>
      <c r="E8" s="72"/>
      <c r="F8" s="13"/>
      <c r="G8" s="13"/>
      <c r="K8" s="13"/>
      <c r="L8" s="13"/>
      <c r="N8" s="13"/>
      <c r="O8" s="13"/>
      <c r="P8" s="13"/>
      <c r="Q8" s="13"/>
      <c r="R8" s="13"/>
      <c r="S8" s="13"/>
      <c r="T8" s="13"/>
      <c r="U8" s="13"/>
      <c r="V8" s="13"/>
      <c r="W8" s="13"/>
      <c r="X8" s="13"/>
      <c r="Y8" s="13"/>
      <c r="Z8" s="13"/>
      <c r="AA8" s="13"/>
      <c r="AB8" s="13"/>
      <c r="AC8" s="13"/>
      <c r="AD8" s="13"/>
      <c r="AE8" s="13"/>
      <c r="AF8" s="13"/>
      <c r="AG8" s="13"/>
    </row>
    <row r="9" spans="1:33" s="53" customFormat="1" x14ac:dyDescent="0.25">
      <c r="A9" s="27"/>
      <c r="D9" s="13"/>
      <c r="E9" s="13"/>
      <c r="F9" s="13"/>
      <c r="G9" s="13"/>
      <c r="K9" s="13"/>
      <c r="L9" s="13"/>
      <c r="N9" s="13"/>
      <c r="O9" s="13"/>
      <c r="P9" s="13"/>
      <c r="Q9" s="13"/>
      <c r="R9" s="13"/>
      <c r="S9" s="13"/>
      <c r="T9" s="13"/>
      <c r="U9" s="13"/>
      <c r="V9" s="13"/>
      <c r="W9" s="13"/>
      <c r="X9" s="13"/>
      <c r="Y9" s="13"/>
      <c r="Z9" s="13"/>
      <c r="AA9" s="13"/>
      <c r="AB9" s="13"/>
      <c r="AC9" s="13"/>
      <c r="AD9" s="13"/>
      <c r="AE9" s="13"/>
      <c r="AF9" s="13"/>
      <c r="AG9" s="13"/>
    </row>
    <row r="10" spans="1:33" ht="38.25" customHeight="1" x14ac:dyDescent="0.25">
      <c r="A10" s="581" t="s">
        <v>46</v>
      </c>
      <c r="B10" s="581" t="s">
        <v>94</v>
      </c>
      <c r="C10" s="581" t="s">
        <v>297</v>
      </c>
      <c r="D10" s="581" t="s">
        <v>421</v>
      </c>
      <c r="E10" s="597" t="s">
        <v>457</v>
      </c>
      <c r="F10" s="280" t="s">
        <v>512</v>
      </c>
      <c r="G10" s="595" t="s">
        <v>558</v>
      </c>
    </row>
    <row r="11" spans="1:33" x14ac:dyDescent="0.25">
      <c r="A11" s="583"/>
      <c r="B11" s="583"/>
      <c r="C11" s="583"/>
      <c r="D11" s="583"/>
      <c r="E11" s="598"/>
      <c r="F11" s="294">
        <f>D8</f>
        <v>12.193336629350643</v>
      </c>
      <c r="G11" s="596"/>
    </row>
    <row r="12" spans="1:33" x14ac:dyDescent="0.25">
      <c r="A12" s="49">
        <f>'A) Base RI'!A7</f>
        <v>5401</v>
      </c>
      <c r="B12" s="286" t="str">
        <f>'A) Base RI'!B7</f>
        <v>Aigle</v>
      </c>
      <c r="C12" s="10">
        <f>'A) Base RI'!V7</f>
        <v>10828</v>
      </c>
      <c r="D12" s="14">
        <f>'C) Prél. conj.'!H6</f>
        <v>1461504.595</v>
      </c>
      <c r="E12" s="10">
        <f>'D) Ecrêtage'!M6</f>
        <v>0</v>
      </c>
      <c r="F12" s="14">
        <f>$F$11*'D) Ecrêtage'!C6</f>
        <v>3426223.5248747868</v>
      </c>
      <c r="G12" s="55">
        <f>D12+F12+E12</f>
        <v>4887728.1198747866</v>
      </c>
      <c r="I12" s="36"/>
      <c r="J12" s="397"/>
    </row>
    <row r="13" spans="1:33" x14ac:dyDescent="0.25">
      <c r="A13" s="49">
        <f>'A) Base RI'!A8</f>
        <v>5402</v>
      </c>
      <c r="B13" s="286" t="str">
        <f>'A) Base RI'!B8</f>
        <v>Bex</v>
      </c>
      <c r="C13" s="10">
        <f>'A) Base RI'!V8</f>
        <v>8063</v>
      </c>
      <c r="D13" s="432">
        <f>'C) Prél. conj.'!H7</f>
        <v>901214.87</v>
      </c>
      <c r="E13" s="10">
        <f>'D) Ecrêtage'!M7</f>
        <v>0</v>
      </c>
      <c r="F13" s="432">
        <f>$F$11*'D) Ecrêtage'!C7</f>
        <v>2349741.0882697701</v>
      </c>
      <c r="G13" s="55">
        <f t="shared" ref="G13:G75" si="0">D13+F13+E13</f>
        <v>3250955.9582697703</v>
      </c>
      <c r="I13" s="36"/>
      <c r="J13" s="397"/>
    </row>
    <row r="14" spans="1:33" x14ac:dyDescent="0.25">
      <c r="A14" s="49">
        <f>'A) Base RI'!A9</f>
        <v>5403</v>
      </c>
      <c r="B14" s="286" t="str">
        <f>'A) Base RI'!B9</f>
        <v>Chessel</v>
      </c>
      <c r="C14" s="10">
        <f>'A) Base RI'!V9</f>
        <v>497</v>
      </c>
      <c r="D14" s="432">
        <f>'C) Prél. conj.'!H8</f>
        <v>40554.074999999997</v>
      </c>
      <c r="E14" s="10">
        <f>'D) Ecrêtage'!M8</f>
        <v>0</v>
      </c>
      <c r="F14" s="432">
        <f>$F$11*'D) Ecrêtage'!C8</f>
        <v>147421.49660490084</v>
      </c>
      <c r="G14" s="55">
        <f t="shared" si="0"/>
        <v>187975.57160490082</v>
      </c>
      <c r="I14" s="36"/>
      <c r="J14" s="397"/>
    </row>
    <row r="15" spans="1:33" x14ac:dyDescent="0.25">
      <c r="A15" s="49">
        <f>'A) Base RI'!A10</f>
        <v>5404</v>
      </c>
      <c r="B15" s="286" t="str">
        <f>'A) Base RI'!B10</f>
        <v>Corbeyrier</v>
      </c>
      <c r="C15" s="10">
        <f>'A) Base RI'!V10</f>
        <v>439</v>
      </c>
      <c r="D15" s="432">
        <f>'C) Prél. conj.'!H9</f>
        <v>54748.78</v>
      </c>
      <c r="E15" s="10">
        <f>'D) Ecrêtage'!M9</f>
        <v>0</v>
      </c>
      <c r="F15" s="432">
        <f>$F$11*'D) Ecrêtage'!C9</f>
        <v>141212.47987517159</v>
      </c>
      <c r="G15" s="55">
        <f t="shared" si="0"/>
        <v>195961.25987517159</v>
      </c>
      <c r="I15" s="36"/>
      <c r="J15" s="397"/>
    </row>
    <row r="16" spans="1:33" x14ac:dyDescent="0.25">
      <c r="A16" s="49">
        <f>'A) Base RI'!A11</f>
        <v>5405</v>
      </c>
      <c r="B16" s="286" t="str">
        <f>'A) Base RI'!B11</f>
        <v>Gryon</v>
      </c>
      <c r="C16" s="10">
        <f>'A) Base RI'!V11</f>
        <v>1382</v>
      </c>
      <c r="D16" s="432">
        <f>'C) Prél. conj.'!H10</f>
        <v>727966.4</v>
      </c>
      <c r="E16" s="10">
        <f>'D) Ecrêtage'!M10</f>
        <v>164452.55497505621</v>
      </c>
      <c r="F16" s="432">
        <f>$F$11*'D) Ecrêtage'!C10</f>
        <v>952435.36479987111</v>
      </c>
      <c r="G16" s="55">
        <f t="shared" si="0"/>
        <v>1844854.3197749271</v>
      </c>
      <c r="I16" s="36"/>
      <c r="J16" s="397"/>
    </row>
    <row r="17" spans="1:10" x14ac:dyDescent="0.25">
      <c r="A17" s="49">
        <f>'A) Base RI'!A12</f>
        <v>5406</v>
      </c>
      <c r="B17" s="286" t="str">
        <f>'A) Base RI'!B12</f>
        <v>Lavey-Morcles</v>
      </c>
      <c r="C17" s="10">
        <f>'A) Base RI'!V12</f>
        <v>966</v>
      </c>
      <c r="D17" s="432">
        <f>'C) Prél. conj.'!H11</f>
        <v>50582.71</v>
      </c>
      <c r="E17" s="10">
        <f>'D) Ecrêtage'!M11</f>
        <v>0</v>
      </c>
      <c r="F17" s="432">
        <f>$F$11*'D) Ecrêtage'!C11</f>
        <v>262325.27607313637</v>
      </c>
      <c r="G17" s="55">
        <f t="shared" si="0"/>
        <v>312907.98607313639</v>
      </c>
      <c r="I17" s="36"/>
      <c r="J17" s="397"/>
    </row>
    <row r="18" spans="1:10" x14ac:dyDescent="0.25">
      <c r="A18" s="49">
        <f>'A) Base RI'!A13</f>
        <v>5407</v>
      </c>
      <c r="B18" s="286" t="str">
        <f>'A) Base RI'!B13</f>
        <v>Leysin</v>
      </c>
      <c r="C18" s="10">
        <f>'A) Base RI'!V13</f>
        <v>3637</v>
      </c>
      <c r="D18" s="432">
        <f>'C) Prél. conj.'!H12</f>
        <v>576848.67499999993</v>
      </c>
      <c r="E18" s="10">
        <f>'D) Ecrêtage'!M12</f>
        <v>0</v>
      </c>
      <c r="F18" s="432">
        <f>$F$11*'D) Ecrêtage'!C12</f>
        <v>1105782.5303504043</v>
      </c>
      <c r="G18" s="55">
        <f t="shared" si="0"/>
        <v>1682631.2053504041</v>
      </c>
      <c r="I18" s="36"/>
      <c r="J18" s="397"/>
    </row>
    <row r="19" spans="1:10" x14ac:dyDescent="0.25">
      <c r="A19" s="49">
        <f>'A) Base RI'!A14</f>
        <v>5408</v>
      </c>
      <c r="B19" s="286" t="str">
        <f>'A) Base RI'!B14</f>
        <v>Noville</v>
      </c>
      <c r="C19" s="10">
        <f>'A) Base RI'!V14</f>
        <v>1169</v>
      </c>
      <c r="D19" s="432">
        <f>'C) Prél. conj.'!H13</f>
        <v>264284.09999999998</v>
      </c>
      <c r="E19" s="10">
        <f>'D) Ecrêtage'!M13</f>
        <v>0</v>
      </c>
      <c r="F19" s="432">
        <f>$F$11*'D) Ecrêtage'!C13</f>
        <v>504675.40692166408</v>
      </c>
      <c r="G19" s="55">
        <f t="shared" si="0"/>
        <v>768959.50692166411</v>
      </c>
    </row>
    <row r="20" spans="1:10" x14ac:dyDescent="0.25">
      <c r="A20" s="49">
        <f>'A) Base RI'!A15</f>
        <v>5409</v>
      </c>
      <c r="B20" s="286" t="str">
        <f>'A) Base RI'!B15</f>
        <v>Ollon</v>
      </c>
      <c r="C20" s="10">
        <f>'A) Base RI'!V15</f>
        <v>7904</v>
      </c>
      <c r="D20" s="432">
        <f>'C) Prél. conj.'!H14</f>
        <v>3933030.0150000001</v>
      </c>
      <c r="E20" s="10">
        <f>'D) Ecrêtage'!M14</f>
        <v>618918.21901484171</v>
      </c>
      <c r="F20" s="432">
        <f>$F$11*'D) Ecrêtage'!C14</f>
        <v>5221954.4462657515</v>
      </c>
      <c r="G20" s="55">
        <f t="shared" si="0"/>
        <v>9773902.6802805942</v>
      </c>
    </row>
    <row r="21" spans="1:10" x14ac:dyDescent="0.25">
      <c r="A21" s="49">
        <f>'A) Base RI'!A16</f>
        <v>5410</v>
      </c>
      <c r="B21" s="286" t="str">
        <f>'A) Base RI'!B16</f>
        <v>Ormont-Dessous</v>
      </c>
      <c r="C21" s="10">
        <f>'A) Base RI'!V16</f>
        <v>1162</v>
      </c>
      <c r="D21" s="432">
        <f>'C) Prél. conj.'!H15</f>
        <v>329089.40000000002</v>
      </c>
      <c r="E21" s="10">
        <f>'D) Ecrêtage'!M15</f>
        <v>0</v>
      </c>
      <c r="F21" s="432">
        <f>$F$11*'D) Ecrêtage'!C15</f>
        <v>470750.64925867465</v>
      </c>
      <c r="G21" s="55">
        <f t="shared" si="0"/>
        <v>799840.04925867473</v>
      </c>
    </row>
    <row r="22" spans="1:10" x14ac:dyDescent="0.25">
      <c r="A22" s="49">
        <f>'A) Base RI'!A17</f>
        <v>5411</v>
      </c>
      <c r="B22" s="286" t="str">
        <f>'A) Base RI'!B17</f>
        <v>Ormont-Dessus</v>
      </c>
      <c r="C22" s="10">
        <f>'A) Base RI'!V17</f>
        <v>1451</v>
      </c>
      <c r="D22" s="432">
        <f>'C) Prél. conj.'!H16</f>
        <v>515396.38500000001</v>
      </c>
      <c r="E22" s="10">
        <f>'D) Ecrêtage'!M16</f>
        <v>108621.82928676075</v>
      </c>
      <c r="F22" s="432">
        <f>$F$11*'D) Ecrêtage'!C16</f>
        <v>943903.39605695382</v>
      </c>
      <c r="G22" s="55">
        <f t="shared" si="0"/>
        <v>1567921.6103437145</v>
      </c>
    </row>
    <row r="23" spans="1:10" x14ac:dyDescent="0.25">
      <c r="A23" s="49">
        <f>'A) Base RI'!A18</f>
        <v>5412</v>
      </c>
      <c r="B23" s="286" t="str">
        <f>'A) Base RI'!B18</f>
        <v>Rennaz</v>
      </c>
      <c r="C23" s="10">
        <f>'A) Base RI'!V18</f>
        <v>883</v>
      </c>
      <c r="D23" s="432">
        <f>'C) Prél. conj.'!H17</f>
        <v>343225.18</v>
      </c>
      <c r="E23" s="10">
        <f>'D) Ecrêtage'!M17</f>
        <v>0</v>
      </c>
      <c r="F23" s="432">
        <f>$F$11*'D) Ecrêtage'!C17</f>
        <v>352094.78144052823</v>
      </c>
      <c r="G23" s="55">
        <f t="shared" si="0"/>
        <v>695319.96144052828</v>
      </c>
    </row>
    <row r="24" spans="1:10" x14ac:dyDescent="0.25">
      <c r="A24" s="49">
        <f>'A) Base RI'!A19</f>
        <v>5413</v>
      </c>
      <c r="B24" s="286" t="str">
        <f>'A) Base RI'!B19</f>
        <v>Roche</v>
      </c>
      <c r="C24" s="10">
        <f>'A) Base RI'!V19</f>
        <v>1874</v>
      </c>
      <c r="D24" s="432">
        <f>'C) Prél. conj.'!H18</f>
        <v>501203.935</v>
      </c>
      <c r="E24" s="10">
        <f>'D) Ecrêtage'!M18</f>
        <v>0</v>
      </c>
      <c r="F24" s="432">
        <f>$F$11*'D) Ecrêtage'!C18</f>
        <v>526124.68852667208</v>
      </c>
      <c r="G24" s="55">
        <f t="shared" si="0"/>
        <v>1027328.6235266721</v>
      </c>
    </row>
    <row r="25" spans="1:10" x14ac:dyDescent="0.25">
      <c r="A25" s="49">
        <f>'A) Base RI'!A20</f>
        <v>5414</v>
      </c>
      <c r="B25" s="286" t="str">
        <f>'A) Base RI'!B20</f>
        <v>Villeneuve</v>
      </c>
      <c r="C25" s="10">
        <f>'A) Base RI'!V20</f>
        <v>5921</v>
      </c>
      <c r="D25" s="432">
        <f>'C) Prél. conj.'!H19</f>
        <v>1291678.075</v>
      </c>
      <c r="E25" s="10">
        <f>'D) Ecrêtage'!M19</f>
        <v>0</v>
      </c>
      <c r="F25" s="432">
        <f>$F$11*'D) Ecrêtage'!C19</f>
        <v>2264451.4574854639</v>
      </c>
      <c r="G25" s="55">
        <f t="shared" si="0"/>
        <v>3556129.5324854637</v>
      </c>
    </row>
    <row r="26" spans="1:10" x14ac:dyDescent="0.25">
      <c r="A26" s="49">
        <f>'A) Base RI'!A21</f>
        <v>5415</v>
      </c>
      <c r="B26" s="286" t="str">
        <f>'A) Base RI'!B21</f>
        <v>Yvorne</v>
      </c>
      <c r="C26" s="10">
        <f>'A) Base RI'!V21</f>
        <v>1038</v>
      </c>
      <c r="D26" s="432">
        <f>'C) Prél. conj.'!H20</f>
        <v>283847.30499999999</v>
      </c>
      <c r="E26" s="10">
        <f>'D) Ecrêtage'!M20</f>
        <v>0</v>
      </c>
      <c r="F26" s="432">
        <f>$F$11*'D) Ecrêtage'!C20</f>
        <v>437866.06712203665</v>
      </c>
      <c r="G26" s="55">
        <f t="shared" si="0"/>
        <v>721713.37212203664</v>
      </c>
    </row>
    <row r="27" spans="1:10" x14ac:dyDescent="0.25">
      <c r="A27" s="49">
        <f>'A) Base RI'!A22</f>
        <v>5421</v>
      </c>
      <c r="B27" s="286" t="str">
        <f>'A) Base RI'!B22</f>
        <v>Apples</v>
      </c>
      <c r="C27" s="10">
        <f>'A) Base RI'!V22</f>
        <v>1469</v>
      </c>
      <c r="D27" s="432">
        <f>'C) Prél. conj.'!H21</f>
        <v>426321.34500000003</v>
      </c>
      <c r="E27" s="10">
        <f>'D) Ecrêtage'!M21</f>
        <v>0</v>
      </c>
      <c r="F27" s="432">
        <f>$F$11*'D) Ecrêtage'!C21</f>
        <v>835629.45679411164</v>
      </c>
      <c r="G27" s="55">
        <f t="shared" si="0"/>
        <v>1261950.8017941117</v>
      </c>
    </row>
    <row r="28" spans="1:10" x14ac:dyDescent="0.25">
      <c r="A28" s="49">
        <f>'A) Base RI'!A23</f>
        <v>5422</v>
      </c>
      <c r="B28" s="286" t="str">
        <f>'A) Base RI'!B23</f>
        <v>Aubonne</v>
      </c>
      <c r="C28" s="10">
        <f>'A) Base RI'!V23</f>
        <v>3781</v>
      </c>
      <c r="D28" s="432">
        <f>'C) Prél. conj.'!H22</f>
        <v>1020498.6950000001</v>
      </c>
      <c r="E28" s="10">
        <f>'D) Ecrêtage'!M22</f>
        <v>4187910.2599307513</v>
      </c>
      <c r="F28" s="432">
        <f>$F$11*'D) Ecrêtage'!C22</f>
        <v>4446988.9425122207</v>
      </c>
      <c r="G28" s="55">
        <f t="shared" si="0"/>
        <v>9655397.8974429723</v>
      </c>
    </row>
    <row r="29" spans="1:10" x14ac:dyDescent="0.25">
      <c r="A29" s="49">
        <f>'A) Base RI'!A24</f>
        <v>5423</v>
      </c>
      <c r="B29" s="286" t="str">
        <f>'A) Base RI'!B24</f>
        <v>Ballens</v>
      </c>
      <c r="C29" s="10">
        <f>'A) Base RI'!V24</f>
        <v>567</v>
      </c>
      <c r="D29" s="432">
        <f>'C) Prél. conj.'!H23</f>
        <v>80051.03</v>
      </c>
      <c r="E29" s="10">
        <f>'D) Ecrêtage'!M23</f>
        <v>0</v>
      </c>
      <c r="F29" s="432">
        <f>$F$11*'D) Ecrêtage'!C23</f>
        <v>197464.26178446139</v>
      </c>
      <c r="G29" s="55">
        <f t="shared" si="0"/>
        <v>277515.29178446135</v>
      </c>
    </row>
    <row r="30" spans="1:10" x14ac:dyDescent="0.25">
      <c r="A30" s="49">
        <f>'A) Base RI'!A25</f>
        <v>5424</v>
      </c>
      <c r="B30" s="286" t="str">
        <f>'A) Base RI'!B25</f>
        <v>Berolle</v>
      </c>
      <c r="C30" s="10">
        <f>'A) Base RI'!V25</f>
        <v>308</v>
      </c>
      <c r="D30" s="432">
        <f>'C) Prél. conj.'!H24</f>
        <v>15784.475</v>
      </c>
      <c r="E30" s="10">
        <f>'D) Ecrêtage'!M24</f>
        <v>0</v>
      </c>
      <c r="F30" s="432">
        <f>$F$11*'D) Ecrêtage'!C24</f>
        <v>101227.47699047526</v>
      </c>
      <c r="G30" s="55">
        <f t="shared" si="0"/>
        <v>117011.95199047527</v>
      </c>
    </row>
    <row r="31" spans="1:10" x14ac:dyDescent="0.25">
      <c r="A31" s="49">
        <f>'A) Base RI'!A26</f>
        <v>5425</v>
      </c>
      <c r="B31" s="286" t="str">
        <f>'A) Base RI'!B26</f>
        <v>Bière</v>
      </c>
      <c r="C31" s="10">
        <f>'A) Base RI'!V26</f>
        <v>1634</v>
      </c>
      <c r="D31" s="432">
        <f>'C) Prél. conj.'!H25</f>
        <v>163090.065</v>
      </c>
      <c r="E31" s="10">
        <f>'D) Ecrêtage'!M25</f>
        <v>0</v>
      </c>
      <c r="F31" s="432">
        <f>$F$11*'D) Ecrêtage'!C25</f>
        <v>539317.3529943492</v>
      </c>
      <c r="G31" s="55">
        <f t="shared" si="0"/>
        <v>702407.41799434926</v>
      </c>
    </row>
    <row r="32" spans="1:10" x14ac:dyDescent="0.25">
      <c r="A32" s="49">
        <f>'A) Base RI'!A27</f>
        <v>5426</v>
      </c>
      <c r="B32" s="286" t="str">
        <f>'A) Base RI'!B27</f>
        <v>Bougy-Villars</v>
      </c>
      <c r="C32" s="10">
        <f>'A) Base RI'!V27</f>
        <v>497</v>
      </c>
      <c r="D32" s="432">
        <f>'C) Prél. conj.'!H26</f>
        <v>1107778.415</v>
      </c>
      <c r="E32" s="10">
        <f>'D) Ecrêtage'!M26</f>
        <v>670586.45352534298</v>
      </c>
      <c r="F32" s="432">
        <f>$F$11*'D) Ecrêtage'!C26</f>
        <v>646779.91481354809</v>
      </c>
      <c r="G32" s="55">
        <f t="shared" si="0"/>
        <v>2425144.7833388913</v>
      </c>
    </row>
    <row r="33" spans="1:7" x14ac:dyDescent="0.25">
      <c r="A33" s="49">
        <f>'A) Base RI'!A28</f>
        <v>5427</v>
      </c>
      <c r="B33" s="286" t="str">
        <f>'A) Base RI'!B28</f>
        <v>Féchy</v>
      </c>
      <c r="C33" s="10">
        <f>'A) Base RI'!V28</f>
        <v>893</v>
      </c>
      <c r="D33" s="432">
        <f>'C) Prél. conj.'!H27</f>
        <v>216669.14500000002</v>
      </c>
      <c r="E33" s="10">
        <f>'D) Ecrêtage'!M27</f>
        <v>968695.06811756501</v>
      </c>
      <c r="F33" s="432">
        <f>$F$11*'D) Ecrêtage'!C27</f>
        <v>1075677.975740165</v>
      </c>
      <c r="G33" s="55">
        <f t="shared" si="0"/>
        <v>2261042.18885773</v>
      </c>
    </row>
    <row r="34" spans="1:7" x14ac:dyDescent="0.25">
      <c r="A34" s="49">
        <f>'A) Base RI'!A29</f>
        <v>5428</v>
      </c>
      <c r="B34" s="286" t="str">
        <f>'A) Base RI'!B29</f>
        <v>Gimel</v>
      </c>
      <c r="C34" s="10">
        <f>'A) Base RI'!V29</f>
        <v>2402</v>
      </c>
      <c r="D34" s="432">
        <f>'C) Prél. conj.'!H28</f>
        <v>420157.20999999996</v>
      </c>
      <c r="E34" s="10">
        <f>'D) Ecrêtage'!M28</f>
        <v>0</v>
      </c>
      <c r="F34" s="432">
        <f>$F$11*'D) Ecrêtage'!C28</f>
        <v>860345.96759028407</v>
      </c>
      <c r="G34" s="55">
        <f t="shared" si="0"/>
        <v>1280503.177590284</v>
      </c>
    </row>
    <row r="35" spans="1:7" x14ac:dyDescent="0.25">
      <c r="A35" s="49">
        <f>'A) Base RI'!A30</f>
        <v>5429</v>
      </c>
      <c r="B35" s="286" t="str">
        <f>'A) Base RI'!B30</f>
        <v>Longirod</v>
      </c>
      <c r="C35" s="10">
        <f>'A) Base RI'!V30</f>
        <v>520</v>
      </c>
      <c r="D35" s="432">
        <f>'C) Prél. conj.'!H29</f>
        <v>81308.294999999998</v>
      </c>
      <c r="E35" s="10">
        <f>'D) Ecrêtage'!M29</f>
        <v>0</v>
      </c>
      <c r="F35" s="432">
        <f>$F$11*'D) Ecrêtage'!C29</f>
        <v>226484.55066171655</v>
      </c>
      <c r="G35" s="55">
        <f t="shared" si="0"/>
        <v>307792.84566171654</v>
      </c>
    </row>
    <row r="36" spans="1:7" x14ac:dyDescent="0.25">
      <c r="A36" s="49">
        <f>'A) Base RI'!A31</f>
        <v>5430</v>
      </c>
      <c r="B36" s="286" t="str">
        <f>'A) Base RI'!B31</f>
        <v>Marchissy</v>
      </c>
      <c r="C36" s="10">
        <f>'A) Base RI'!V31</f>
        <v>485</v>
      </c>
      <c r="D36" s="432">
        <f>'C) Prél. conj.'!H30</f>
        <v>47785.535000000003</v>
      </c>
      <c r="E36" s="10">
        <f>'D) Ecrêtage'!M30</f>
        <v>0</v>
      </c>
      <c r="F36" s="432">
        <f>$F$11*'D) Ecrêtage'!C30</f>
        <v>189984.15303518492</v>
      </c>
      <c r="G36" s="55">
        <f t="shared" si="0"/>
        <v>237769.68803518492</v>
      </c>
    </row>
    <row r="37" spans="1:7" x14ac:dyDescent="0.25">
      <c r="A37" s="49">
        <f>'A) Base RI'!A32</f>
        <v>5431</v>
      </c>
      <c r="B37" s="286" t="str">
        <f>'A) Base RI'!B32</f>
        <v>Mollens</v>
      </c>
      <c r="C37" s="10">
        <f>'A) Base RI'!V32</f>
        <v>319</v>
      </c>
      <c r="D37" s="432">
        <f>'C) Prél. conj.'!H31</f>
        <v>17167.309999999998</v>
      </c>
      <c r="E37" s="10">
        <f>'D) Ecrêtage'!M31</f>
        <v>0</v>
      </c>
      <c r="F37" s="432">
        <f>$F$11*'D) Ecrêtage'!C31</f>
        <v>127602.93333327127</v>
      </c>
      <c r="G37" s="55">
        <f t="shared" si="0"/>
        <v>144770.24333327127</v>
      </c>
    </row>
    <row r="38" spans="1:7" x14ac:dyDescent="0.25">
      <c r="A38" s="49">
        <f>'A) Base RI'!A33</f>
        <v>5434</v>
      </c>
      <c r="B38" s="286" t="str">
        <f>'A) Base RI'!B33</f>
        <v>Saint-George</v>
      </c>
      <c r="C38" s="10">
        <f>'A) Base RI'!V33</f>
        <v>1072</v>
      </c>
      <c r="D38" s="432">
        <f>'C) Prél. conj.'!H32</f>
        <v>142668.755</v>
      </c>
      <c r="E38" s="10">
        <f>'D) Ecrêtage'!M32</f>
        <v>0</v>
      </c>
      <c r="F38" s="432">
        <f>$F$11*'D) Ecrêtage'!C32</f>
        <v>530955.77706173481</v>
      </c>
      <c r="G38" s="55">
        <f t="shared" si="0"/>
        <v>673624.53206173482</v>
      </c>
    </row>
    <row r="39" spans="1:7" x14ac:dyDescent="0.25">
      <c r="A39" s="49">
        <f>'A) Base RI'!A34</f>
        <v>5435</v>
      </c>
      <c r="B39" s="286" t="str">
        <f>'A) Base RI'!B34</f>
        <v>Saint-Livres</v>
      </c>
      <c r="C39" s="10">
        <f>'A) Base RI'!V34</f>
        <v>674</v>
      </c>
      <c r="D39" s="432">
        <f>'C) Prél. conj.'!H33</f>
        <v>136982.72500000001</v>
      </c>
      <c r="E39" s="10">
        <f>'D) Ecrêtage'!M33</f>
        <v>0</v>
      </c>
      <c r="F39" s="432">
        <f>$F$11*'D) Ecrêtage'!C33</f>
        <v>315250.30338243645</v>
      </c>
      <c r="G39" s="55">
        <f t="shared" si="0"/>
        <v>452233.02838243649</v>
      </c>
    </row>
    <row r="40" spans="1:7" x14ac:dyDescent="0.25">
      <c r="A40" s="49">
        <f>'A) Base RI'!A35</f>
        <v>5436</v>
      </c>
      <c r="B40" s="286" t="str">
        <f>'A) Base RI'!B35</f>
        <v>Saint-Oyens</v>
      </c>
      <c r="C40" s="10">
        <f>'A) Base RI'!V35</f>
        <v>458</v>
      </c>
      <c r="D40" s="432">
        <f>'C) Prél. conj.'!H34</f>
        <v>75821</v>
      </c>
      <c r="E40" s="10">
        <f>'D) Ecrêtage'!M34</f>
        <v>0</v>
      </c>
      <c r="F40" s="432">
        <f>$F$11*'D) Ecrêtage'!C34</f>
        <v>205681.34348229005</v>
      </c>
      <c r="G40" s="55">
        <f t="shared" si="0"/>
        <v>281502.34348229005</v>
      </c>
    </row>
    <row r="41" spans="1:7" x14ac:dyDescent="0.25">
      <c r="A41" s="49">
        <f>'A) Base RI'!A36</f>
        <v>5437</v>
      </c>
      <c r="B41" s="286" t="str">
        <f>'A) Base RI'!B36</f>
        <v>Saubraz</v>
      </c>
      <c r="C41" s="10">
        <f>'A) Base RI'!V36</f>
        <v>444</v>
      </c>
      <c r="D41" s="432">
        <f>'C) Prél. conj.'!H35</f>
        <v>158530.1</v>
      </c>
      <c r="E41" s="10">
        <f>'D) Ecrêtage'!M35</f>
        <v>0</v>
      </c>
      <c r="F41" s="432">
        <f>$F$11*'D) Ecrêtage'!C35</f>
        <v>165241.13959266018</v>
      </c>
      <c r="G41" s="55">
        <f t="shared" si="0"/>
        <v>323771.23959266022</v>
      </c>
    </row>
    <row r="42" spans="1:7" x14ac:dyDescent="0.25">
      <c r="A42" s="49">
        <f>'A) Base RI'!A37</f>
        <v>5451</v>
      </c>
      <c r="B42" s="286" t="str">
        <f>'A) Base RI'!B37</f>
        <v>Avenches</v>
      </c>
      <c r="C42" s="10">
        <f>'A) Base RI'!V37</f>
        <v>4616</v>
      </c>
      <c r="D42" s="432">
        <f>'C) Prél. conj.'!H36</f>
        <v>565829.245</v>
      </c>
      <c r="E42" s="10">
        <f>'D) Ecrêtage'!M36</f>
        <v>0</v>
      </c>
      <c r="F42" s="432">
        <f>$F$11*'D) Ecrêtage'!C36</f>
        <v>1681349.5683539577</v>
      </c>
      <c r="G42" s="55">
        <f t="shared" si="0"/>
        <v>2247178.8133539576</v>
      </c>
    </row>
    <row r="43" spans="1:7" x14ac:dyDescent="0.25">
      <c r="A43" s="49">
        <f>'A) Base RI'!A38</f>
        <v>5456</v>
      </c>
      <c r="B43" s="286" t="str">
        <f>'A) Base RI'!B38</f>
        <v>Cudrefin</v>
      </c>
      <c r="C43" s="10">
        <f>'A) Base RI'!V38</f>
        <v>1836</v>
      </c>
      <c r="D43" s="432">
        <f>'C) Prél. conj.'!H37</f>
        <v>199471.22500000001</v>
      </c>
      <c r="E43" s="10">
        <f>'D) Ecrêtage'!M37</f>
        <v>0</v>
      </c>
      <c r="F43" s="432">
        <f>$F$11*'D) Ecrêtage'!C37</f>
        <v>782140.98908953776</v>
      </c>
      <c r="G43" s="55">
        <f t="shared" si="0"/>
        <v>981612.21408953774</v>
      </c>
    </row>
    <row r="44" spans="1:7" x14ac:dyDescent="0.25">
      <c r="A44" s="49">
        <f>'A) Base RI'!A39</f>
        <v>5458</v>
      </c>
      <c r="B44" s="286" t="str">
        <f>'A) Base RI'!B39</f>
        <v>Faoug</v>
      </c>
      <c r="C44" s="10">
        <f>'A) Base RI'!V39</f>
        <v>866</v>
      </c>
      <c r="D44" s="432">
        <f>'C) Prél. conj.'!H38</f>
        <v>124140.73</v>
      </c>
      <c r="E44" s="10">
        <f>'D) Ecrêtage'!M38</f>
        <v>0</v>
      </c>
      <c r="F44" s="432">
        <f>$F$11*'D) Ecrêtage'!C38</f>
        <v>423369.14254166681</v>
      </c>
      <c r="G44" s="55">
        <f t="shared" si="0"/>
        <v>547509.87254166685</v>
      </c>
    </row>
    <row r="45" spans="1:7" x14ac:dyDescent="0.25">
      <c r="A45" s="49">
        <f>'A) Base RI'!A40</f>
        <v>5464</v>
      </c>
      <c r="B45" s="286" t="str">
        <f>'A) Base RI'!B40</f>
        <v>Vully-les-Lacs</v>
      </c>
      <c r="C45" s="10">
        <f>'A) Base RI'!V40</f>
        <v>3465</v>
      </c>
      <c r="D45" s="432">
        <f>'C) Prél. conj.'!H39</f>
        <v>740401.38500000001</v>
      </c>
      <c r="E45" s="10">
        <f>'D) Ecrêtage'!M39</f>
        <v>0</v>
      </c>
      <c r="F45" s="432">
        <f>$F$11*'D) Ecrêtage'!C39</f>
        <v>1453071.4708597194</v>
      </c>
      <c r="G45" s="55">
        <f t="shared" si="0"/>
        <v>2193472.8558597192</v>
      </c>
    </row>
    <row r="46" spans="1:7" x14ac:dyDescent="0.25">
      <c r="A46" s="49">
        <f>'A) Base RI'!A41</f>
        <v>5471</v>
      </c>
      <c r="B46" s="286" t="str">
        <f>'A) Base RI'!B41</f>
        <v>Bettens</v>
      </c>
      <c r="C46" s="10">
        <f>'A) Base RI'!V41</f>
        <v>626</v>
      </c>
      <c r="D46" s="432">
        <f>'C) Prél. conj.'!H40</f>
        <v>40449.915000000001</v>
      </c>
      <c r="E46" s="10">
        <f>'D) Ecrêtage'!M40</f>
        <v>0</v>
      </c>
      <c r="F46" s="432">
        <f>$F$11*'D) Ecrêtage'!C40</f>
        <v>279142.34441844781</v>
      </c>
      <c r="G46" s="55">
        <f t="shared" si="0"/>
        <v>319592.25941844779</v>
      </c>
    </row>
    <row r="47" spans="1:7" x14ac:dyDescent="0.25">
      <c r="A47" s="49">
        <f>'A) Base RI'!A42</f>
        <v>5472</v>
      </c>
      <c r="B47" s="286" t="str">
        <f>'A) Base RI'!B42</f>
        <v>Bournens</v>
      </c>
      <c r="C47" s="10">
        <f>'A) Base RI'!V42</f>
        <v>507</v>
      </c>
      <c r="D47" s="432">
        <f>'C) Prél. conj.'!H41</f>
        <v>98376.15</v>
      </c>
      <c r="E47" s="10">
        <f>'D) Ecrêtage'!M41</f>
        <v>0</v>
      </c>
      <c r="F47" s="432">
        <f>$F$11*'D) Ecrêtage'!C41</f>
        <v>270429.20854312117</v>
      </c>
      <c r="G47" s="55">
        <f t="shared" si="0"/>
        <v>368805.35854312114</v>
      </c>
    </row>
    <row r="48" spans="1:7" x14ac:dyDescent="0.25">
      <c r="A48" s="49">
        <f>'A) Base RI'!A43</f>
        <v>5473</v>
      </c>
      <c r="B48" s="286" t="str">
        <f>'A) Base RI'!B43</f>
        <v>Boussens</v>
      </c>
      <c r="C48" s="10">
        <f>'A) Base RI'!V43</f>
        <v>1001</v>
      </c>
      <c r="D48" s="432">
        <f>'C) Prél. conj.'!H42</f>
        <v>128215.41500000001</v>
      </c>
      <c r="E48" s="10">
        <f>'D) Ecrêtage'!M42</f>
        <v>0</v>
      </c>
      <c r="F48" s="432">
        <f>$F$11*'D) Ecrêtage'!C42</f>
        <v>451873.01930566656</v>
      </c>
      <c r="G48" s="55">
        <f t="shared" si="0"/>
        <v>580088.4343056666</v>
      </c>
    </row>
    <row r="49" spans="1:7" x14ac:dyDescent="0.25">
      <c r="A49" s="49">
        <f>'A) Base RI'!A44</f>
        <v>5474</v>
      </c>
      <c r="B49" s="286" t="str">
        <f>'A) Base RI'!B44</f>
        <v>La Chaux (Cossonay)</v>
      </c>
      <c r="C49" s="10">
        <f>'A) Base RI'!V44</f>
        <v>398</v>
      </c>
      <c r="D49" s="432">
        <f>'C) Prél. conj.'!H43</f>
        <v>47314.42</v>
      </c>
      <c r="E49" s="10">
        <f>'D) Ecrêtage'!M43</f>
        <v>0</v>
      </c>
      <c r="F49" s="432">
        <f>$F$11*'D) Ecrêtage'!C43</f>
        <v>157355.21563282001</v>
      </c>
      <c r="G49" s="55">
        <f t="shared" si="0"/>
        <v>204669.63563282002</v>
      </c>
    </row>
    <row r="50" spans="1:7" x14ac:dyDescent="0.25">
      <c r="A50" s="49">
        <f>'A) Base RI'!A45</f>
        <v>5475</v>
      </c>
      <c r="B50" s="286" t="str">
        <f>'A) Base RI'!B45</f>
        <v>Chavannes-le-Veyron</v>
      </c>
      <c r="C50" s="10">
        <f>'A) Base RI'!V45</f>
        <v>155</v>
      </c>
      <c r="D50" s="432">
        <f>'C) Prél. conj.'!H44</f>
        <v>4700.2750000000005</v>
      </c>
      <c r="E50" s="10">
        <f>'D) Ecrêtage'!M44</f>
        <v>0</v>
      </c>
      <c r="F50" s="432">
        <f>$F$11*'D) Ecrêtage'!C44</f>
        <v>52154.220602852321</v>
      </c>
      <c r="G50" s="55">
        <f t="shared" si="0"/>
        <v>56854.495602852323</v>
      </c>
    </row>
    <row r="51" spans="1:7" x14ac:dyDescent="0.25">
      <c r="A51" s="49">
        <f>'A) Base RI'!A46</f>
        <v>5476</v>
      </c>
      <c r="B51" s="286" t="str">
        <f>'A) Base RI'!B46</f>
        <v>Chevilly</v>
      </c>
      <c r="C51" s="10">
        <f>'A) Base RI'!V46</f>
        <v>322</v>
      </c>
      <c r="D51" s="432">
        <f>'C) Prél. conj.'!H45</f>
        <v>44611.025000000001</v>
      </c>
      <c r="E51" s="10">
        <f>'D) Ecrêtage'!M45</f>
        <v>0</v>
      </c>
      <c r="F51" s="432">
        <f>$F$11*'D) Ecrêtage'!C45</f>
        <v>147238.29030157227</v>
      </c>
      <c r="G51" s="55">
        <f t="shared" si="0"/>
        <v>191849.31530157226</v>
      </c>
    </row>
    <row r="52" spans="1:7" x14ac:dyDescent="0.25">
      <c r="A52" s="49">
        <f>'A) Base RI'!A47</f>
        <v>5477</v>
      </c>
      <c r="B52" s="286" t="str">
        <f>'A) Base RI'!B47</f>
        <v>Cossonay</v>
      </c>
      <c r="C52" s="10">
        <f>'A) Base RI'!V47</f>
        <v>4326</v>
      </c>
      <c r="D52" s="432">
        <f>'C) Prél. conj.'!H46</f>
        <v>568329.30000000005</v>
      </c>
      <c r="E52" s="10">
        <f>'D) Ecrêtage'!M46</f>
        <v>0</v>
      </c>
      <c r="F52" s="432">
        <f>$F$11*'D) Ecrêtage'!C46</f>
        <v>1738745.2166663336</v>
      </c>
      <c r="G52" s="55">
        <f t="shared" si="0"/>
        <v>2307074.5166663337</v>
      </c>
    </row>
    <row r="53" spans="1:7" x14ac:dyDescent="0.25">
      <c r="A53" s="49">
        <f>'A) Base RI'!A48</f>
        <v>5478</v>
      </c>
      <c r="B53" s="286" t="str">
        <f>'A) Base RI'!B48</f>
        <v>Cottens</v>
      </c>
      <c r="C53" s="10">
        <f>'A) Base RI'!V48</f>
        <v>484</v>
      </c>
      <c r="D53" s="432">
        <f>'C) Prél. conj.'!H47</f>
        <v>25558.775000000001</v>
      </c>
      <c r="E53" s="10">
        <f>'D) Ecrêtage'!M47</f>
        <v>0</v>
      </c>
      <c r="F53" s="432">
        <f>$F$11*'D) Ecrêtage'!C47</f>
        <v>191938.10646354407</v>
      </c>
      <c r="G53" s="55">
        <f t="shared" si="0"/>
        <v>217496.88146354406</v>
      </c>
    </row>
    <row r="54" spans="1:7" x14ac:dyDescent="0.25">
      <c r="A54" s="49">
        <f>'A) Base RI'!A49</f>
        <v>5479</v>
      </c>
      <c r="B54" s="286" t="str">
        <f>'A) Base RI'!B49</f>
        <v>Cuarnens</v>
      </c>
      <c r="C54" s="10">
        <f>'A) Base RI'!V49</f>
        <v>531</v>
      </c>
      <c r="D54" s="432">
        <f>'C) Prél. conj.'!H48</f>
        <v>60078.47</v>
      </c>
      <c r="E54" s="10">
        <f>'D) Ecrêtage'!M48</f>
        <v>0</v>
      </c>
      <c r="F54" s="432">
        <f>$F$11*'D) Ecrêtage'!C48</f>
        <v>219295.65332262003</v>
      </c>
      <c r="G54" s="55">
        <f t="shared" si="0"/>
        <v>279374.12332262006</v>
      </c>
    </row>
    <row r="55" spans="1:7" x14ac:dyDescent="0.25">
      <c r="A55" s="49">
        <f>'A) Base RI'!A50</f>
        <v>5480</v>
      </c>
      <c r="B55" s="286" t="str">
        <f>'A) Base RI'!B50</f>
        <v>Daillens</v>
      </c>
      <c r="C55" s="10">
        <f>'A) Base RI'!V50</f>
        <v>1051</v>
      </c>
      <c r="D55" s="432">
        <f>'C) Prél. conj.'!H49</f>
        <v>218335.16999999998</v>
      </c>
      <c r="E55" s="10">
        <f>'D) Ecrêtage'!M49</f>
        <v>0</v>
      </c>
      <c r="F55" s="432">
        <f>$F$11*'D) Ecrêtage'!C49</f>
        <v>503397.76870896388</v>
      </c>
      <c r="G55" s="55">
        <f t="shared" si="0"/>
        <v>721732.9387089638</v>
      </c>
    </row>
    <row r="56" spans="1:7" x14ac:dyDescent="0.25">
      <c r="A56" s="49">
        <f>'A) Base RI'!A51</f>
        <v>5481</v>
      </c>
      <c r="B56" s="286" t="str">
        <f>'A) Base RI'!B51</f>
        <v>Dizy</v>
      </c>
      <c r="C56" s="10">
        <f>'A) Base RI'!V51</f>
        <v>225</v>
      </c>
      <c r="D56" s="432">
        <f>'C) Prél. conj.'!H50</f>
        <v>8969.5750000000007</v>
      </c>
      <c r="E56" s="10">
        <f>'D) Ecrêtage'!M50</f>
        <v>0</v>
      </c>
      <c r="F56" s="432">
        <f>$F$11*'D) Ecrêtage'!C50</f>
        <v>99020.71298436301</v>
      </c>
      <c r="G56" s="55">
        <f t="shared" si="0"/>
        <v>107990.28798436301</v>
      </c>
    </row>
    <row r="57" spans="1:7" x14ac:dyDescent="0.25">
      <c r="A57" s="49">
        <f>'A) Base RI'!A52</f>
        <v>5482</v>
      </c>
      <c r="B57" s="286" t="str">
        <f>'A) Base RI'!B52</f>
        <v>Eclépens</v>
      </c>
      <c r="C57" s="10">
        <f>'A) Base RI'!V52</f>
        <v>1198</v>
      </c>
      <c r="D57" s="432">
        <f>'C) Prél. conj.'!H51</f>
        <v>196321.815</v>
      </c>
      <c r="E57" s="10">
        <f>'D) Ecrêtage'!M51</f>
        <v>0</v>
      </c>
      <c r="F57" s="432">
        <f>$F$11*'D) Ecrêtage'!C51</f>
        <v>660834.16998568503</v>
      </c>
      <c r="G57" s="55">
        <f t="shared" si="0"/>
        <v>857155.98498568498</v>
      </c>
    </row>
    <row r="58" spans="1:7" x14ac:dyDescent="0.25">
      <c r="A58" s="49">
        <f>'A) Base RI'!A53</f>
        <v>5483</v>
      </c>
      <c r="B58" s="286" t="str">
        <f>'A) Base RI'!B53</f>
        <v>Ferreyres</v>
      </c>
      <c r="C58" s="10">
        <f>'A) Base RI'!V53</f>
        <v>319</v>
      </c>
      <c r="D58" s="432">
        <f>'C) Prél. conj.'!H52</f>
        <v>6548.3250000000007</v>
      </c>
      <c r="E58" s="10">
        <f>'D) Ecrêtage'!M52</f>
        <v>0</v>
      </c>
      <c r="F58" s="432">
        <f>$F$11*'D) Ecrêtage'!C52</f>
        <v>128482.68174720484</v>
      </c>
      <c r="G58" s="55">
        <f t="shared" si="0"/>
        <v>135031.00674720484</v>
      </c>
    </row>
    <row r="59" spans="1:7" x14ac:dyDescent="0.25">
      <c r="A59" s="49">
        <f>'A) Base RI'!A54</f>
        <v>5484</v>
      </c>
      <c r="B59" s="286" t="str">
        <f>'A) Base RI'!B54</f>
        <v>Gollion</v>
      </c>
      <c r="C59" s="10">
        <f>'A) Base RI'!V54</f>
        <v>1018</v>
      </c>
      <c r="D59" s="432">
        <f>'C) Prél. conj.'!H53</f>
        <v>129107.52</v>
      </c>
      <c r="E59" s="10">
        <f>'D) Ecrêtage'!M53</f>
        <v>0</v>
      </c>
      <c r="F59" s="432">
        <f>$F$11*'D) Ecrêtage'!C53</f>
        <v>438358.57357599982</v>
      </c>
      <c r="G59" s="55">
        <f t="shared" si="0"/>
        <v>567466.09357599984</v>
      </c>
    </row>
    <row r="60" spans="1:7" x14ac:dyDescent="0.25">
      <c r="A60" s="49">
        <f>'A) Base RI'!A55</f>
        <v>5485</v>
      </c>
      <c r="B60" s="286" t="str">
        <f>'A) Base RI'!B55</f>
        <v>Grancy</v>
      </c>
      <c r="C60" s="10">
        <f>'A) Base RI'!V55</f>
        <v>445</v>
      </c>
      <c r="D60" s="432">
        <f>'C) Prél. conj.'!H54</f>
        <v>75124.83</v>
      </c>
      <c r="E60" s="10">
        <f>'D) Ecrêtage'!M54</f>
        <v>41151.065640755267</v>
      </c>
      <c r="F60" s="432">
        <f>$F$11*'D) Ecrêtage'!C54</f>
        <v>298598.46975599823</v>
      </c>
      <c r="G60" s="55">
        <f t="shared" si="0"/>
        <v>414874.36539675354</v>
      </c>
    </row>
    <row r="61" spans="1:7" x14ac:dyDescent="0.25">
      <c r="A61" s="49">
        <f>'A) Base RI'!A56</f>
        <v>5486</v>
      </c>
      <c r="B61" s="286" t="str">
        <f>'A) Base RI'!B56</f>
        <v>L'Isle</v>
      </c>
      <c r="C61" s="10">
        <f>'A) Base RI'!V56</f>
        <v>1079</v>
      </c>
      <c r="D61" s="432">
        <f>'C) Prél. conj.'!H55</f>
        <v>177178.465</v>
      </c>
      <c r="E61" s="10">
        <f>'D) Ecrêtage'!M55</f>
        <v>0</v>
      </c>
      <c r="F61" s="432">
        <f>$F$11*'D) Ecrêtage'!C55</f>
        <v>356415.95906475332</v>
      </c>
      <c r="G61" s="55">
        <f t="shared" si="0"/>
        <v>533594.42406475334</v>
      </c>
    </row>
    <row r="62" spans="1:7" x14ac:dyDescent="0.25">
      <c r="A62" s="49">
        <f>'A) Base RI'!A57</f>
        <v>5487</v>
      </c>
      <c r="B62" s="286" t="str">
        <f>'A) Base RI'!B57</f>
        <v>Lussery-Villars</v>
      </c>
      <c r="C62" s="10">
        <f>'A) Base RI'!V57</f>
        <v>475</v>
      </c>
      <c r="D62" s="432">
        <f>'C) Prél. conj.'!H56</f>
        <v>17544.25</v>
      </c>
      <c r="E62" s="10">
        <f>'D) Ecrêtage'!M56</f>
        <v>0</v>
      </c>
      <c r="F62" s="432">
        <f>$F$11*'D) Ecrêtage'!C56</f>
        <v>202683.02928207835</v>
      </c>
      <c r="G62" s="55">
        <f t="shared" si="0"/>
        <v>220227.27928207835</v>
      </c>
    </row>
    <row r="63" spans="1:7" x14ac:dyDescent="0.25">
      <c r="A63" s="49">
        <f>'A) Base RI'!A58</f>
        <v>5488</v>
      </c>
      <c r="B63" s="286" t="str">
        <f>'A) Base RI'!B58</f>
        <v>Mauraz</v>
      </c>
      <c r="C63" s="10">
        <f>'A) Base RI'!V58</f>
        <v>60</v>
      </c>
      <c r="D63" s="432">
        <f>'C) Prél. conj.'!H57</f>
        <v>0</v>
      </c>
      <c r="E63" s="10">
        <f>'D) Ecrêtage'!M57</f>
        <v>0</v>
      </c>
      <c r="F63" s="432">
        <f>$F$11*'D) Ecrêtage'!C57</f>
        <v>21084.543508949853</v>
      </c>
      <c r="G63" s="55">
        <f t="shared" si="0"/>
        <v>21084.543508949853</v>
      </c>
    </row>
    <row r="64" spans="1:7" x14ac:dyDescent="0.25">
      <c r="A64" s="49">
        <f>'A) Base RI'!A59</f>
        <v>5489</v>
      </c>
      <c r="B64" s="286" t="str">
        <f>'A) Base RI'!B59</f>
        <v>Mex</v>
      </c>
      <c r="C64" s="10">
        <f>'A) Base RI'!V59</f>
        <v>795</v>
      </c>
      <c r="D64" s="432">
        <f>'C) Prél. conj.'!H58</f>
        <v>191666.26499999998</v>
      </c>
      <c r="E64" s="10">
        <f>'D) Ecrêtage'!M58</f>
        <v>175201.33320221241</v>
      </c>
      <c r="F64" s="432">
        <f>$F$11*'D) Ecrêtage'!C58</f>
        <v>620396.11314314639</v>
      </c>
      <c r="G64" s="55">
        <f t="shared" si="0"/>
        <v>987263.71134535875</v>
      </c>
    </row>
    <row r="65" spans="1:7" x14ac:dyDescent="0.25">
      <c r="A65" s="49">
        <f>'A) Base RI'!A60</f>
        <v>5490</v>
      </c>
      <c r="B65" s="286" t="str">
        <f>'A) Base RI'!B60</f>
        <v>Moiry</v>
      </c>
      <c r="C65" s="10">
        <f>'A) Base RI'!V60</f>
        <v>301</v>
      </c>
      <c r="D65" s="432">
        <f>'C) Prél. conj.'!H59</f>
        <v>19367.150000000001</v>
      </c>
      <c r="E65" s="10">
        <f>'D) Ecrêtage'!M59</f>
        <v>0</v>
      </c>
      <c r="F65" s="432">
        <f>$F$11*'D) Ecrêtage'!C59</f>
        <v>110433.83051836584</v>
      </c>
      <c r="G65" s="55">
        <f t="shared" si="0"/>
        <v>129800.98051836583</v>
      </c>
    </row>
    <row r="66" spans="1:7" x14ac:dyDescent="0.25">
      <c r="A66" s="49">
        <f>'A) Base RI'!A61</f>
        <v>5491</v>
      </c>
      <c r="B66" s="286" t="str">
        <f>'A) Base RI'!B61</f>
        <v>Mont-la-Ville</v>
      </c>
      <c r="C66" s="10">
        <f>'A) Base RI'!V61</f>
        <v>508</v>
      </c>
      <c r="D66" s="432">
        <f>'C) Prél. conj.'!H60</f>
        <v>23805.965</v>
      </c>
      <c r="E66" s="10">
        <f>'D) Ecrêtage'!M60</f>
        <v>0</v>
      </c>
      <c r="F66" s="432">
        <f>$F$11*'D) Ecrêtage'!C60</f>
        <v>166426.00774676129</v>
      </c>
      <c r="G66" s="55">
        <f t="shared" si="0"/>
        <v>190231.97274676128</v>
      </c>
    </row>
    <row r="67" spans="1:7" x14ac:dyDescent="0.25">
      <c r="A67" s="49">
        <f>'A) Base RI'!A62</f>
        <v>5492</v>
      </c>
      <c r="B67" s="286" t="str">
        <f>'A) Base RI'!B62</f>
        <v>Montricher</v>
      </c>
      <c r="C67" s="10">
        <f>'A) Base RI'!V62</f>
        <v>981</v>
      </c>
      <c r="D67" s="432">
        <f>'C) Prél. conj.'!H61</f>
        <v>211797.64</v>
      </c>
      <c r="E67" s="10">
        <f>'D) Ecrêtage'!M61</f>
        <v>3781179.2996727424</v>
      </c>
      <c r="F67" s="432">
        <f>$F$11*'D) Ecrêtage'!C61</f>
        <v>2137107.2761316127</v>
      </c>
      <c r="G67" s="55">
        <f t="shared" si="0"/>
        <v>6130084.2158043552</v>
      </c>
    </row>
    <row r="68" spans="1:7" x14ac:dyDescent="0.25">
      <c r="A68" s="49">
        <f>'A) Base RI'!A63</f>
        <v>5493</v>
      </c>
      <c r="B68" s="286" t="str">
        <f>'A) Base RI'!B63</f>
        <v>Orny</v>
      </c>
      <c r="C68" s="10">
        <f>'A) Base RI'!V63</f>
        <v>480</v>
      </c>
      <c r="D68" s="432">
        <f>'C) Prél. conj.'!H62</f>
        <v>95814.74</v>
      </c>
      <c r="E68" s="10">
        <f>'D) Ecrêtage'!M62</f>
        <v>0</v>
      </c>
      <c r="F68" s="432">
        <f>$F$11*'D) Ecrêtage'!C62</f>
        <v>164487.45816327265</v>
      </c>
      <c r="G68" s="55">
        <f t="shared" si="0"/>
        <v>260302.19816327264</v>
      </c>
    </row>
    <row r="69" spans="1:7" x14ac:dyDescent="0.25">
      <c r="A69" s="49">
        <f>'A) Base RI'!A64</f>
        <v>5494</v>
      </c>
      <c r="B69" s="286" t="str">
        <f>'A) Base RI'!B64</f>
        <v>Pampigny</v>
      </c>
      <c r="C69" s="10">
        <f>'A) Base RI'!V64</f>
        <v>1185</v>
      </c>
      <c r="D69" s="432">
        <f>'C) Prél. conj.'!H63</f>
        <v>252027.69</v>
      </c>
      <c r="E69" s="10">
        <f>'D) Ecrêtage'!M63</f>
        <v>0</v>
      </c>
      <c r="F69" s="432">
        <f>$F$11*'D) Ecrêtage'!C63</f>
        <v>526880.89137604448</v>
      </c>
      <c r="G69" s="55">
        <f t="shared" si="0"/>
        <v>778908.58137604455</v>
      </c>
    </row>
    <row r="70" spans="1:7" x14ac:dyDescent="0.25">
      <c r="A70" s="49">
        <f>'A) Base RI'!A65</f>
        <v>5495</v>
      </c>
      <c r="B70" s="286" t="str">
        <f>'A) Base RI'!B65</f>
        <v>Penthalaz</v>
      </c>
      <c r="C70" s="10">
        <f>'A) Base RI'!V65</f>
        <v>3210</v>
      </c>
      <c r="D70" s="432">
        <f>'C) Prél. conj.'!H64</f>
        <v>332355.77</v>
      </c>
      <c r="E70" s="10">
        <f>'D) Ecrêtage'!M64</f>
        <v>0</v>
      </c>
      <c r="F70" s="432">
        <f>$F$11*'D) Ecrêtage'!C64</f>
        <v>1162202.0296727223</v>
      </c>
      <c r="G70" s="55">
        <f t="shared" si="0"/>
        <v>1494557.7996727224</v>
      </c>
    </row>
    <row r="71" spans="1:7" x14ac:dyDescent="0.25">
      <c r="A71" s="49">
        <f>'A) Base RI'!A66</f>
        <v>5496</v>
      </c>
      <c r="B71" s="286" t="str">
        <f>'A) Base RI'!B66</f>
        <v>Penthaz</v>
      </c>
      <c r="C71" s="10">
        <f>'A) Base RI'!V66</f>
        <v>1890</v>
      </c>
      <c r="D71" s="432">
        <f>'C) Prél. conj.'!H65</f>
        <v>244949.84</v>
      </c>
      <c r="E71" s="10">
        <f>'D) Ecrêtage'!M65</f>
        <v>0</v>
      </c>
      <c r="F71" s="432">
        <f>$F$11*'D) Ecrêtage'!C65</f>
        <v>686093.58823603007</v>
      </c>
      <c r="G71" s="55">
        <f t="shared" si="0"/>
        <v>931043.42823603004</v>
      </c>
    </row>
    <row r="72" spans="1:7" x14ac:dyDescent="0.25">
      <c r="A72" s="49">
        <f>'A) Base RI'!A67</f>
        <v>5497</v>
      </c>
      <c r="B72" s="286" t="str">
        <f>'A) Base RI'!B67</f>
        <v>Pompaples</v>
      </c>
      <c r="C72" s="10">
        <f>'A) Base RI'!V67</f>
        <v>849</v>
      </c>
      <c r="D72" s="432">
        <f>'C) Prél. conj.'!H66</f>
        <v>88938.114999999991</v>
      </c>
      <c r="E72" s="10">
        <f>'D) Ecrêtage'!M66</f>
        <v>0</v>
      </c>
      <c r="F72" s="432">
        <f>$F$11*'D) Ecrêtage'!C66</f>
        <v>271344.4092913536</v>
      </c>
      <c r="G72" s="55">
        <f t="shared" si="0"/>
        <v>360282.52429135359</v>
      </c>
    </row>
    <row r="73" spans="1:7" x14ac:dyDescent="0.25">
      <c r="A73" s="49">
        <f>'A) Base RI'!A68</f>
        <v>5498</v>
      </c>
      <c r="B73" s="286" t="str">
        <f>'A) Base RI'!B68</f>
        <v>La Sarraz</v>
      </c>
      <c r="C73" s="10">
        <f>'A) Base RI'!V68</f>
        <v>2620</v>
      </c>
      <c r="D73" s="432">
        <f>'C) Prél. conj.'!H67</f>
        <v>146888.79</v>
      </c>
      <c r="E73" s="10">
        <f>'D) Ecrêtage'!M67</f>
        <v>0</v>
      </c>
      <c r="F73" s="432">
        <f>$F$11*'D) Ecrêtage'!C67</f>
        <v>910624.58406880789</v>
      </c>
      <c r="G73" s="55">
        <f t="shared" si="0"/>
        <v>1057513.3740688078</v>
      </c>
    </row>
    <row r="74" spans="1:7" x14ac:dyDescent="0.25">
      <c r="A74" s="49">
        <f>'A) Base RI'!A69</f>
        <v>5499</v>
      </c>
      <c r="B74" s="286" t="str">
        <f>'A) Base RI'!B69</f>
        <v>Senarclens</v>
      </c>
      <c r="C74" s="10">
        <f>'A) Base RI'!V69</f>
        <v>491</v>
      </c>
      <c r="D74" s="432">
        <f>'C) Prél. conj.'!H68</f>
        <v>224675.60000000003</v>
      </c>
      <c r="E74" s="10">
        <f>'D) Ecrêtage'!M68</f>
        <v>0</v>
      </c>
      <c r="F74" s="432">
        <f>$F$11*'D) Ecrêtage'!C68</f>
        <v>222393.09907048859</v>
      </c>
      <c r="G74" s="55">
        <f t="shared" si="0"/>
        <v>447068.69907048863</v>
      </c>
    </row>
    <row r="75" spans="1:7" x14ac:dyDescent="0.25">
      <c r="A75" s="49">
        <f>'A) Base RI'!A70</f>
        <v>5500</v>
      </c>
      <c r="B75" s="286" t="str">
        <f>'A) Base RI'!B70</f>
        <v>Sévery</v>
      </c>
      <c r="C75" s="10">
        <f>'A) Base RI'!V70</f>
        <v>220</v>
      </c>
      <c r="D75" s="432">
        <f>'C) Prél. conj.'!H69</f>
        <v>54256.705000000002</v>
      </c>
      <c r="E75" s="10">
        <f>'D) Ecrêtage'!M69</f>
        <v>0</v>
      </c>
      <c r="F75" s="432">
        <f>$F$11*'D) Ecrêtage'!C69</f>
        <v>88162.252962300438</v>
      </c>
      <c r="G75" s="55">
        <f t="shared" si="0"/>
        <v>142418.95796230045</v>
      </c>
    </row>
    <row r="76" spans="1:7" x14ac:dyDescent="0.25">
      <c r="A76" s="49">
        <f>'A) Base RI'!A71</f>
        <v>5501</v>
      </c>
      <c r="B76" s="286" t="str">
        <f>'A) Base RI'!B71</f>
        <v>Sullens</v>
      </c>
      <c r="C76" s="10">
        <f>'A) Base RI'!V71</f>
        <v>1143</v>
      </c>
      <c r="D76" s="432">
        <f>'C) Prél. conj.'!H70</f>
        <v>-1336249.3199999998</v>
      </c>
      <c r="E76" s="10">
        <f>'D) Ecrêtage'!M70</f>
        <v>0</v>
      </c>
      <c r="F76" s="432">
        <f>$F$11*'D) Ecrêtage'!C70</f>
        <v>526698.47924643464</v>
      </c>
      <c r="G76" s="55">
        <f t="shared" ref="G76:G139" si="1">D76+F76+E76</f>
        <v>-809550.84075356519</v>
      </c>
    </row>
    <row r="77" spans="1:7" x14ac:dyDescent="0.25">
      <c r="A77" s="49">
        <f>'A) Base RI'!A72</f>
        <v>5503</v>
      </c>
      <c r="B77" s="286" t="str">
        <f>'A) Base RI'!B72</f>
        <v>Vufflens-la-Ville</v>
      </c>
      <c r="C77" s="10">
        <f>'A) Base RI'!V72</f>
        <v>1346</v>
      </c>
      <c r="D77" s="432">
        <f>'C) Prél. conj.'!H71</f>
        <v>208887.55</v>
      </c>
      <c r="E77" s="10">
        <f>'D) Ecrêtage'!M71</f>
        <v>191025.79481838003</v>
      </c>
      <c r="F77" s="432">
        <f>$F$11*'D) Ecrêtage'!C71</f>
        <v>963635.91720005765</v>
      </c>
      <c r="G77" s="55">
        <f t="shared" si="1"/>
        <v>1363549.2620184375</v>
      </c>
    </row>
    <row r="78" spans="1:7" x14ac:dyDescent="0.25">
      <c r="A78" s="49">
        <f>'A) Base RI'!A73</f>
        <v>5511</v>
      </c>
      <c r="B78" s="286" t="str">
        <f>'A) Base RI'!B73</f>
        <v>Assens</v>
      </c>
      <c r="C78" s="10">
        <f>'A) Base RI'!V73</f>
        <v>1151</v>
      </c>
      <c r="D78" s="432">
        <f>'C) Prél. conj.'!H72</f>
        <v>445260.70499999996</v>
      </c>
      <c r="E78" s="10">
        <f>'D) Ecrêtage'!M72</f>
        <v>0</v>
      </c>
      <c r="F78" s="432">
        <f>$F$11*'D) Ecrêtage'!C72</f>
        <v>577152.75238712563</v>
      </c>
      <c r="G78" s="55">
        <f t="shared" si="1"/>
        <v>1022413.4573871256</v>
      </c>
    </row>
    <row r="79" spans="1:7" x14ac:dyDescent="0.25">
      <c r="A79" s="49">
        <f>'A) Base RI'!A74</f>
        <v>5512</v>
      </c>
      <c r="B79" s="286" t="str">
        <f>'A) Base RI'!B74</f>
        <v>Bercher</v>
      </c>
      <c r="C79" s="10">
        <f>'A) Base RI'!V74</f>
        <v>1320</v>
      </c>
      <c r="D79" s="432">
        <f>'C) Prél. conj.'!H73</f>
        <v>226935.43</v>
      </c>
      <c r="E79" s="10">
        <f>'D) Ecrêtage'!M73</f>
        <v>0</v>
      </c>
      <c r="F79" s="432">
        <f>$F$11*'D) Ecrêtage'!C73</f>
        <v>497050.70392803941</v>
      </c>
      <c r="G79" s="55">
        <f t="shared" si="1"/>
        <v>723986.13392803934</v>
      </c>
    </row>
    <row r="80" spans="1:7" x14ac:dyDescent="0.25">
      <c r="A80" s="49">
        <f>'A) Base RI'!A75</f>
        <v>5513</v>
      </c>
      <c r="B80" s="286" t="str">
        <f>'A) Base RI'!B75</f>
        <v>Bioley-Orjulaz</v>
      </c>
      <c r="C80" s="10">
        <f>'A) Base RI'!V75</f>
        <v>518</v>
      </c>
      <c r="D80" s="432">
        <f>'C) Prél. conj.'!H74</f>
        <v>146207.32999999999</v>
      </c>
      <c r="E80" s="10">
        <f>'D) Ecrêtage'!M74</f>
        <v>0</v>
      </c>
      <c r="F80" s="432">
        <f>$F$11*'D) Ecrêtage'!C74</f>
        <v>277264.55775801616</v>
      </c>
      <c r="G80" s="55">
        <f t="shared" si="1"/>
        <v>423471.88775801612</v>
      </c>
    </row>
    <row r="81" spans="1:7" x14ac:dyDescent="0.25">
      <c r="A81" s="49">
        <f>'A) Base RI'!A76</f>
        <v>5514</v>
      </c>
      <c r="B81" s="286" t="str">
        <f>'A) Base RI'!B76</f>
        <v>Bottens</v>
      </c>
      <c r="C81" s="10">
        <f>'A) Base RI'!V76</f>
        <v>1357</v>
      </c>
      <c r="D81" s="432">
        <f>'C) Prél. conj.'!H75</f>
        <v>80092.945000000007</v>
      </c>
      <c r="E81" s="10">
        <f>'D) Ecrêtage'!M75</f>
        <v>0</v>
      </c>
      <c r="F81" s="432">
        <f>$F$11*'D) Ecrêtage'!C75</f>
        <v>539230.99146045314</v>
      </c>
      <c r="G81" s="55">
        <f t="shared" si="1"/>
        <v>619323.93646045309</v>
      </c>
    </row>
    <row r="82" spans="1:7" x14ac:dyDescent="0.25">
      <c r="A82" s="49">
        <f>'A) Base RI'!A77</f>
        <v>5515</v>
      </c>
      <c r="B82" s="286" t="str">
        <f>'A) Base RI'!B77</f>
        <v>Bretigny-sur-Morrens</v>
      </c>
      <c r="C82" s="10">
        <f>'A) Base RI'!V77</f>
        <v>882</v>
      </c>
      <c r="D82" s="432">
        <f>'C) Prél. conj.'!H76</f>
        <v>102524.61499999999</v>
      </c>
      <c r="E82" s="10">
        <f>'D) Ecrêtage'!M76</f>
        <v>0</v>
      </c>
      <c r="F82" s="432">
        <f>$F$11*'D) Ecrêtage'!C76</f>
        <v>394439.50624861888</v>
      </c>
      <c r="G82" s="55">
        <f t="shared" si="1"/>
        <v>496964.12124861887</v>
      </c>
    </row>
    <row r="83" spans="1:7" x14ac:dyDescent="0.25">
      <c r="A83" s="49">
        <f>'A) Base RI'!A78</f>
        <v>5516</v>
      </c>
      <c r="B83" s="286" t="str">
        <f>'A) Base RI'!B78</f>
        <v>Cugy</v>
      </c>
      <c r="C83" s="10">
        <f>'A) Base RI'!V78</f>
        <v>2733</v>
      </c>
      <c r="D83" s="432">
        <f>'C) Prél. conj.'!H77</f>
        <v>314761.53499999997</v>
      </c>
      <c r="E83" s="10">
        <f>'D) Ecrêtage'!M77</f>
        <v>0</v>
      </c>
      <c r="F83" s="432">
        <f>$F$11*'D) Ecrêtage'!C77</f>
        <v>1360836.3129359237</v>
      </c>
      <c r="G83" s="55">
        <f t="shared" si="1"/>
        <v>1675597.8479359236</v>
      </c>
    </row>
    <row r="84" spans="1:7" x14ac:dyDescent="0.25">
      <c r="A84" s="49">
        <f>'A) Base RI'!A79</f>
        <v>5518</v>
      </c>
      <c r="B84" s="286" t="str">
        <f>'A) Base RI'!B79</f>
        <v>Echallens</v>
      </c>
      <c r="C84" s="10">
        <f>'A) Base RI'!V79</f>
        <v>5739</v>
      </c>
      <c r="D84" s="432">
        <f>'C) Prél. conj.'!H78</f>
        <v>543400.91</v>
      </c>
      <c r="E84" s="10">
        <f>'D) Ecrêtage'!M78</f>
        <v>0</v>
      </c>
      <c r="F84" s="432">
        <f>$F$11*'D) Ecrêtage'!C78</f>
        <v>2231752.6412128834</v>
      </c>
      <c r="G84" s="55">
        <f t="shared" si="1"/>
        <v>2775153.5512128836</v>
      </c>
    </row>
    <row r="85" spans="1:7" x14ac:dyDescent="0.25">
      <c r="A85" s="49">
        <f>'A) Base RI'!A80</f>
        <v>5520</v>
      </c>
      <c r="B85" s="286" t="str">
        <f>'A) Base RI'!B80</f>
        <v>Essertines-sur-Yverdon</v>
      </c>
      <c r="C85" s="10">
        <f>'A) Base RI'!V80</f>
        <v>1059</v>
      </c>
      <c r="D85" s="432">
        <f>'C) Prél. conj.'!H79</f>
        <v>58070.04</v>
      </c>
      <c r="E85" s="10">
        <f>'D) Ecrêtage'!M79</f>
        <v>0</v>
      </c>
      <c r="F85" s="432">
        <f>$F$11*'D) Ecrêtage'!C79</f>
        <v>386488.523117618</v>
      </c>
      <c r="G85" s="55">
        <f t="shared" si="1"/>
        <v>444558.56311761797</v>
      </c>
    </row>
    <row r="86" spans="1:7" x14ac:dyDescent="0.25">
      <c r="A86" s="49">
        <f>'A) Base RI'!A81</f>
        <v>5521</v>
      </c>
      <c r="B86" s="286" t="str">
        <f>'A) Base RI'!B81</f>
        <v>Etagnières</v>
      </c>
      <c r="C86" s="10">
        <f>'A) Base RI'!V81</f>
        <v>1148</v>
      </c>
      <c r="D86" s="432">
        <f>'C) Prél. conj.'!H80</f>
        <v>125337.52499999999</v>
      </c>
      <c r="E86" s="10">
        <f>'D) Ecrêtage'!M80</f>
        <v>0</v>
      </c>
      <c r="F86" s="432">
        <f>$F$11*'D) Ecrêtage'!C80</f>
        <v>519989.16668768151</v>
      </c>
      <c r="G86" s="55">
        <f t="shared" si="1"/>
        <v>645326.69168768148</v>
      </c>
    </row>
    <row r="87" spans="1:7" x14ac:dyDescent="0.25">
      <c r="A87" s="49">
        <f>'A) Base RI'!A82</f>
        <v>5522</v>
      </c>
      <c r="B87" s="286" t="str">
        <f>'A) Base RI'!B82</f>
        <v>Fey</v>
      </c>
      <c r="C87" s="10">
        <f>'A) Base RI'!V82</f>
        <v>754</v>
      </c>
      <c r="D87" s="432">
        <f>'C) Prél. conj.'!H81</f>
        <v>42328.985000000001</v>
      </c>
      <c r="E87" s="10">
        <f>'D) Ecrêtage'!M81</f>
        <v>0</v>
      </c>
      <c r="F87" s="432">
        <f>$F$11*'D) Ecrêtage'!C81</f>
        <v>291717.44346301502</v>
      </c>
      <c r="G87" s="55">
        <f t="shared" si="1"/>
        <v>334046.42846301501</v>
      </c>
    </row>
    <row r="88" spans="1:7" x14ac:dyDescent="0.25">
      <c r="A88" s="49">
        <f>'A) Base RI'!A83</f>
        <v>5523</v>
      </c>
      <c r="B88" s="286" t="str">
        <f>'A) Base RI'!B83</f>
        <v>Froideville</v>
      </c>
      <c r="C88" s="10">
        <f>'A) Base RI'!V83</f>
        <v>2673</v>
      </c>
      <c r="D88" s="432">
        <f>'C) Prél. conj.'!H82</f>
        <v>415406.85500000004</v>
      </c>
      <c r="E88" s="10">
        <f>'D) Ecrêtage'!M82</f>
        <v>0</v>
      </c>
      <c r="F88" s="432">
        <f>$F$11*'D) Ecrêtage'!C82</f>
        <v>1140367.9485007168</v>
      </c>
      <c r="G88" s="55">
        <f t="shared" si="1"/>
        <v>1555774.8035007168</v>
      </c>
    </row>
    <row r="89" spans="1:7" x14ac:dyDescent="0.25">
      <c r="A89" s="49">
        <f>'A) Base RI'!A84</f>
        <v>5527</v>
      </c>
      <c r="B89" s="286" t="str">
        <f>'A) Base RI'!B84</f>
        <v>Morrens</v>
      </c>
      <c r="C89" s="10">
        <f>'A) Base RI'!V84</f>
        <v>1156</v>
      </c>
      <c r="D89" s="432">
        <f>'C) Prél. conj.'!H83</f>
        <v>132841.17500000002</v>
      </c>
      <c r="E89" s="10">
        <f>'D) Ecrêtage'!M83</f>
        <v>0</v>
      </c>
      <c r="F89" s="432">
        <f>$F$11*'D) Ecrêtage'!C83</f>
        <v>479323.74561698548</v>
      </c>
      <c r="G89" s="55">
        <f t="shared" si="1"/>
        <v>612164.92061698553</v>
      </c>
    </row>
    <row r="90" spans="1:7" x14ac:dyDescent="0.25">
      <c r="A90" s="49">
        <f>'A) Base RI'!A85</f>
        <v>5529</v>
      </c>
      <c r="B90" s="286" t="str">
        <f>'A) Base RI'!B85</f>
        <v>Oulens-sous-Echallens</v>
      </c>
      <c r="C90" s="10">
        <f>'A) Base RI'!V85</f>
        <v>619</v>
      </c>
      <c r="D90" s="432">
        <f>'C) Prél. conj.'!H84</f>
        <v>142918.875</v>
      </c>
      <c r="E90" s="10">
        <f>'D) Ecrêtage'!M84</f>
        <v>0</v>
      </c>
      <c r="F90" s="432">
        <f>$F$11*'D) Ecrêtage'!C84</f>
        <v>258038.21686251109</v>
      </c>
      <c r="G90" s="55">
        <f t="shared" si="1"/>
        <v>400957.09186251112</v>
      </c>
    </row>
    <row r="91" spans="1:7" x14ac:dyDescent="0.25">
      <c r="A91" s="49">
        <f>'A) Base RI'!A86</f>
        <v>5530</v>
      </c>
      <c r="B91" s="286" t="str">
        <f>'A) Base RI'!B86</f>
        <v>Pailly</v>
      </c>
      <c r="C91" s="10">
        <f>'A) Base RI'!V86</f>
        <v>575</v>
      </c>
      <c r="D91" s="432">
        <f>'C) Prél. conj.'!H85</f>
        <v>62123.705000000002</v>
      </c>
      <c r="E91" s="10">
        <f>'D) Ecrêtage'!M85</f>
        <v>0</v>
      </c>
      <c r="F91" s="432">
        <f>$F$11*'D) Ecrêtage'!C85</f>
        <v>232438.52943554029</v>
      </c>
      <c r="G91" s="55">
        <f t="shared" si="1"/>
        <v>294562.23443554027</v>
      </c>
    </row>
    <row r="92" spans="1:7" x14ac:dyDescent="0.25">
      <c r="A92" s="49">
        <f>'A) Base RI'!A87</f>
        <v>5531</v>
      </c>
      <c r="B92" s="286" t="str">
        <f>'A) Base RI'!B87</f>
        <v>Penthéréaz</v>
      </c>
      <c r="C92" s="10">
        <f>'A) Base RI'!V87</f>
        <v>417</v>
      </c>
      <c r="D92" s="432">
        <f>'C) Prél. conj.'!H86</f>
        <v>61963.85</v>
      </c>
      <c r="E92" s="10">
        <f>'D) Ecrêtage'!M86</f>
        <v>0</v>
      </c>
      <c r="F92" s="432">
        <f>$F$11*'D) Ecrêtage'!C86</f>
        <v>174374.6810285346</v>
      </c>
      <c r="G92" s="55">
        <f t="shared" si="1"/>
        <v>236338.53102853461</v>
      </c>
    </row>
    <row r="93" spans="1:7" x14ac:dyDescent="0.25">
      <c r="A93" s="49">
        <f>'A) Base RI'!A88</f>
        <v>5533</v>
      </c>
      <c r="B93" s="286" t="str">
        <f>'A) Base RI'!B88</f>
        <v>Poliez-Pittet</v>
      </c>
      <c r="C93" s="10">
        <f>'A) Base RI'!V88</f>
        <v>833</v>
      </c>
      <c r="D93" s="432">
        <f>'C) Prél. conj.'!H87</f>
        <v>16355.924999999999</v>
      </c>
      <c r="E93" s="10">
        <f>'D) Ecrêtage'!M87</f>
        <v>0</v>
      </c>
      <c r="F93" s="432">
        <f>$F$11*'D) Ecrêtage'!C87</f>
        <v>335341.5331649814</v>
      </c>
      <c r="G93" s="55">
        <f t="shared" si="1"/>
        <v>351697.45816498139</v>
      </c>
    </row>
    <row r="94" spans="1:7" x14ac:dyDescent="0.25">
      <c r="A94" s="49">
        <f>'A) Base RI'!A89</f>
        <v>5534</v>
      </c>
      <c r="B94" s="286" t="str">
        <f>'A) Base RI'!B89</f>
        <v>Rueyres</v>
      </c>
      <c r="C94" s="10">
        <f>'A) Base RI'!V89</f>
        <v>304</v>
      </c>
      <c r="D94" s="432">
        <f>'C) Prél. conj.'!H88</f>
        <v>61173.64</v>
      </c>
      <c r="E94" s="10">
        <f>'D) Ecrêtage'!M88</f>
        <v>0</v>
      </c>
      <c r="F94" s="432">
        <f>$F$11*'D) Ecrêtage'!C88</f>
        <v>159817.96409524043</v>
      </c>
      <c r="G94" s="55">
        <f t="shared" si="1"/>
        <v>220991.60409524041</v>
      </c>
    </row>
    <row r="95" spans="1:7" x14ac:dyDescent="0.25">
      <c r="A95" s="49">
        <f>'A) Base RI'!A90</f>
        <v>5535</v>
      </c>
      <c r="B95" s="286" t="str">
        <f>'A) Base RI'!B90</f>
        <v>Saint-Barthélemy</v>
      </c>
      <c r="C95" s="10">
        <f>'A) Base RI'!V90</f>
        <v>809</v>
      </c>
      <c r="D95" s="432">
        <f>'C) Prél. conj.'!H89</f>
        <v>61279.75</v>
      </c>
      <c r="E95" s="10">
        <f>'D) Ecrêtage'!M89</f>
        <v>0</v>
      </c>
      <c r="F95" s="432">
        <f>$F$11*'D) Ecrêtage'!C89</f>
        <v>305812.76664827508</v>
      </c>
      <c r="G95" s="55">
        <f t="shared" si="1"/>
        <v>367092.51664827508</v>
      </c>
    </row>
    <row r="96" spans="1:7" x14ac:dyDescent="0.25">
      <c r="A96" s="49">
        <f>'A) Base RI'!A91</f>
        <v>5537</v>
      </c>
      <c r="B96" s="286" t="str">
        <f>'A) Base RI'!B91</f>
        <v>Villars-le-Terroir</v>
      </c>
      <c r="C96" s="10">
        <f>'A) Base RI'!V91</f>
        <v>1316</v>
      </c>
      <c r="D96" s="432">
        <f>'C) Prél. conj.'!H90</f>
        <v>57470.65</v>
      </c>
      <c r="E96" s="10">
        <f>'D) Ecrêtage'!M90</f>
        <v>0</v>
      </c>
      <c r="F96" s="432">
        <f>$F$11*'D) Ecrêtage'!C90</f>
        <v>523311.3785262857</v>
      </c>
      <c r="G96" s="55">
        <f t="shared" si="1"/>
        <v>580782.02852628566</v>
      </c>
    </row>
    <row r="97" spans="1:7" x14ac:dyDescent="0.25">
      <c r="A97" s="49">
        <f>'A) Base RI'!A92</f>
        <v>5539</v>
      </c>
      <c r="B97" s="286" t="str">
        <f>'A) Base RI'!B92</f>
        <v>Vuarrens</v>
      </c>
      <c r="C97" s="10">
        <f>'A) Base RI'!V92</f>
        <v>1097</v>
      </c>
      <c r="D97" s="432">
        <f>'C) Prél. conj.'!H91</f>
        <v>125339.425</v>
      </c>
      <c r="E97" s="10">
        <f>'D) Ecrêtage'!M91</f>
        <v>0</v>
      </c>
      <c r="F97" s="432">
        <f>$F$11*'D) Ecrêtage'!C91</f>
        <v>421377.90621321957</v>
      </c>
      <c r="G97" s="55">
        <f t="shared" si="1"/>
        <v>546717.33121321956</v>
      </c>
    </row>
    <row r="98" spans="1:7" x14ac:dyDescent="0.25">
      <c r="A98" s="49">
        <f>'A) Base RI'!A93</f>
        <v>5540</v>
      </c>
      <c r="B98" s="286" t="str">
        <f>'A) Base RI'!B93</f>
        <v>Montilliez</v>
      </c>
      <c r="C98" s="10">
        <f>'A) Base RI'!V93</f>
        <v>1883</v>
      </c>
      <c r="D98" s="432">
        <f>'C) Prél. conj.'!H92</f>
        <v>148753.67000000001</v>
      </c>
      <c r="E98" s="10">
        <f>'D) Ecrêtage'!M92</f>
        <v>0</v>
      </c>
      <c r="F98" s="432">
        <f>$F$11*'D) Ecrêtage'!C92</f>
        <v>772033.18807933677</v>
      </c>
      <c r="G98" s="55">
        <f t="shared" si="1"/>
        <v>920786.85807933682</v>
      </c>
    </row>
    <row r="99" spans="1:7" x14ac:dyDescent="0.25">
      <c r="A99" s="49">
        <f>'A) Base RI'!A94</f>
        <v>5541</v>
      </c>
      <c r="B99" s="286" t="str">
        <f>'A) Base RI'!B94</f>
        <v>Goumoëns</v>
      </c>
      <c r="C99" s="10">
        <f>'A) Base RI'!V94</f>
        <v>1166</v>
      </c>
      <c r="D99" s="432">
        <f>'C) Prél. conj.'!H93</f>
        <v>79098.009999999995</v>
      </c>
      <c r="E99" s="10">
        <f>'D) Ecrêtage'!M93</f>
        <v>0</v>
      </c>
      <c r="F99" s="432">
        <f>$F$11*'D) Ecrêtage'!C93</f>
        <v>503329.14163079922</v>
      </c>
      <c r="G99" s="55">
        <f t="shared" si="1"/>
        <v>582427.15163079917</v>
      </c>
    </row>
    <row r="100" spans="1:7" x14ac:dyDescent="0.25">
      <c r="A100" s="49">
        <f>'A) Base RI'!A95</f>
        <v>5551</v>
      </c>
      <c r="B100" s="286" t="str">
        <f>'A) Base RI'!B95</f>
        <v>Bonvillars</v>
      </c>
      <c r="C100" s="10">
        <f>'A) Base RI'!V95</f>
        <v>481</v>
      </c>
      <c r="D100" s="432">
        <f>'C) Prél. conj.'!H94</f>
        <v>54606.425000000003</v>
      </c>
      <c r="E100" s="10">
        <f>'D) Ecrêtage'!M94</f>
        <v>0</v>
      </c>
      <c r="F100" s="432">
        <f>$F$11*'D) Ecrêtage'!C94</f>
        <v>228105.77197995377</v>
      </c>
      <c r="G100" s="55">
        <f t="shared" si="1"/>
        <v>282712.19697995379</v>
      </c>
    </row>
    <row r="101" spans="1:7" x14ac:dyDescent="0.25">
      <c r="A101" s="49">
        <f>'A) Base RI'!A96</f>
        <v>5552</v>
      </c>
      <c r="B101" s="286" t="str">
        <f>'A) Base RI'!B96</f>
        <v>Bullet</v>
      </c>
      <c r="C101" s="10">
        <f>'A) Base RI'!V96</f>
        <v>657</v>
      </c>
      <c r="D101" s="432">
        <f>'C) Prél. conj.'!H95</f>
        <v>200956.995</v>
      </c>
      <c r="E101" s="10">
        <f>'D) Ecrêtage'!M95</f>
        <v>0</v>
      </c>
      <c r="F101" s="432">
        <f>$F$11*'D) Ecrêtage'!C95</f>
        <v>238984.42680572375</v>
      </c>
      <c r="G101" s="55">
        <f t="shared" si="1"/>
        <v>439941.42180572374</v>
      </c>
    </row>
    <row r="102" spans="1:7" x14ac:dyDescent="0.25">
      <c r="A102" s="49">
        <f>'A) Base RI'!A97</f>
        <v>5553</v>
      </c>
      <c r="B102" s="286" t="str">
        <f>'A) Base RI'!B97</f>
        <v>Champagne</v>
      </c>
      <c r="C102" s="10">
        <f>'A) Base RI'!V97</f>
        <v>1085</v>
      </c>
      <c r="D102" s="432">
        <f>'C) Prél. conj.'!H96</f>
        <v>123601.01999999999</v>
      </c>
      <c r="E102" s="10">
        <f>'D) Ecrêtage'!M96</f>
        <v>0</v>
      </c>
      <c r="F102" s="432">
        <f>$F$11*'D) Ecrêtage'!C96</f>
        <v>488800.69352815242</v>
      </c>
      <c r="G102" s="55">
        <f t="shared" si="1"/>
        <v>612401.71352815244</v>
      </c>
    </row>
    <row r="103" spans="1:7" x14ac:dyDescent="0.25">
      <c r="A103" s="49">
        <f>'A) Base RI'!A98</f>
        <v>5554</v>
      </c>
      <c r="B103" s="286" t="str">
        <f>'A) Base RI'!B98</f>
        <v>Concise</v>
      </c>
      <c r="C103" s="10">
        <f>'A) Base RI'!V98</f>
        <v>1004</v>
      </c>
      <c r="D103" s="432">
        <f>'C) Prél. conj.'!H97</f>
        <v>675368.5</v>
      </c>
      <c r="E103" s="10">
        <f>'D) Ecrêtage'!M97</f>
        <v>0</v>
      </c>
      <c r="F103" s="432">
        <f>$F$11*'D) Ecrêtage'!C97</f>
        <v>384111.85348553554</v>
      </c>
      <c r="G103" s="55">
        <f t="shared" si="1"/>
        <v>1059480.3534855356</v>
      </c>
    </row>
    <row r="104" spans="1:7" x14ac:dyDescent="0.25">
      <c r="A104" s="49">
        <f>'A) Base RI'!A99</f>
        <v>5555</v>
      </c>
      <c r="B104" s="286" t="str">
        <f>'A) Base RI'!B99</f>
        <v>Corcelles-près-Concise</v>
      </c>
      <c r="C104" s="10">
        <f>'A) Base RI'!V99</f>
        <v>417</v>
      </c>
      <c r="D104" s="432">
        <f>'C) Prél. conj.'!H98</f>
        <v>52797.734999999993</v>
      </c>
      <c r="E104" s="10">
        <f>'D) Ecrêtage'!M98</f>
        <v>0</v>
      </c>
      <c r="F104" s="432">
        <f>$F$11*'D) Ecrêtage'!C98</f>
        <v>169222.13696613058</v>
      </c>
      <c r="G104" s="55">
        <f t="shared" si="1"/>
        <v>222019.87196613057</v>
      </c>
    </row>
    <row r="105" spans="1:7" x14ac:dyDescent="0.25">
      <c r="A105" s="49">
        <f>'A) Base RI'!A100</f>
        <v>5556</v>
      </c>
      <c r="B105" s="286" t="str">
        <f>'A) Base RI'!B100</f>
        <v>Fiez</v>
      </c>
      <c r="C105" s="10">
        <f>'A) Base RI'!V100</f>
        <v>442</v>
      </c>
      <c r="D105" s="432">
        <f>'C) Prél. conj.'!H99</f>
        <v>28918.375</v>
      </c>
      <c r="E105" s="10">
        <f>'D) Ecrêtage'!M99</f>
        <v>0</v>
      </c>
      <c r="F105" s="432">
        <f>$F$11*'D) Ecrêtage'!C99</f>
        <v>177750.41077980745</v>
      </c>
      <c r="G105" s="55">
        <f t="shared" si="1"/>
        <v>206668.78577980745</v>
      </c>
    </row>
    <row r="106" spans="1:7" x14ac:dyDescent="0.25">
      <c r="A106" s="49">
        <f>'A) Base RI'!A101</f>
        <v>5557</v>
      </c>
      <c r="B106" s="286" t="str">
        <f>'A) Base RI'!B101</f>
        <v>Fontaines-sur-Grandson</v>
      </c>
      <c r="C106" s="10">
        <f>'A) Base RI'!V101</f>
        <v>220</v>
      </c>
      <c r="D106" s="432">
        <f>'C) Prél. conj.'!H100</f>
        <v>6631.4</v>
      </c>
      <c r="E106" s="10">
        <f>'D) Ecrêtage'!M100</f>
        <v>0</v>
      </c>
      <c r="F106" s="432">
        <f>$F$11*'D) Ecrêtage'!C100</f>
        <v>51611.285534775896</v>
      </c>
      <c r="G106" s="55">
        <f t="shared" si="1"/>
        <v>58242.685534775897</v>
      </c>
    </row>
    <row r="107" spans="1:7" x14ac:dyDescent="0.25">
      <c r="A107" s="49">
        <f>'A) Base RI'!A102</f>
        <v>5559</v>
      </c>
      <c r="B107" s="286" t="str">
        <f>'A) Base RI'!B102</f>
        <v>Giez</v>
      </c>
      <c r="C107" s="10">
        <f>'A) Base RI'!V102</f>
        <v>443</v>
      </c>
      <c r="D107" s="432">
        <f>'C) Prél. conj.'!H101</f>
        <v>94406.44</v>
      </c>
      <c r="E107" s="10">
        <f>'D) Ecrêtage'!M101</f>
        <v>26195.972080654967</v>
      </c>
      <c r="F107" s="432">
        <f>$F$11*'D) Ecrêtage'!C101</f>
        <v>285775.11234367522</v>
      </c>
      <c r="G107" s="55">
        <f t="shared" si="1"/>
        <v>406377.52442433021</v>
      </c>
    </row>
    <row r="108" spans="1:7" x14ac:dyDescent="0.25">
      <c r="A108" s="49">
        <f>'A) Base RI'!A103</f>
        <v>5560</v>
      </c>
      <c r="B108" s="286" t="str">
        <f>'A) Base RI'!B103</f>
        <v>Grandevent</v>
      </c>
      <c r="C108" s="10">
        <f>'A) Base RI'!V103</f>
        <v>238</v>
      </c>
      <c r="D108" s="432">
        <f>'C) Prél. conj.'!H102</f>
        <v>43856.100000000006</v>
      </c>
      <c r="E108" s="10">
        <f>'D) Ecrêtage'!M102</f>
        <v>0</v>
      </c>
      <c r="F108" s="432">
        <f>$F$11*'D) Ecrêtage'!C102</f>
        <v>85399.040175646558</v>
      </c>
      <c r="G108" s="55">
        <f t="shared" si="1"/>
        <v>129255.14017564656</v>
      </c>
    </row>
    <row r="109" spans="1:7" x14ac:dyDescent="0.25">
      <c r="A109" s="49">
        <f>'A) Base RI'!A104</f>
        <v>5561</v>
      </c>
      <c r="B109" s="286" t="str">
        <f>'A) Base RI'!B104</f>
        <v>Grandson</v>
      </c>
      <c r="C109" s="10">
        <f>'A) Base RI'!V104</f>
        <v>3366</v>
      </c>
      <c r="D109" s="432">
        <f>'C) Prél. conj.'!H103</f>
        <v>637951</v>
      </c>
      <c r="E109" s="10">
        <f>'D) Ecrêtage'!M103</f>
        <v>0</v>
      </c>
      <c r="F109" s="432">
        <f>$F$11*'D) Ecrêtage'!C103</f>
        <v>1396210.8190487069</v>
      </c>
      <c r="G109" s="55">
        <f t="shared" si="1"/>
        <v>2034161.8190487069</v>
      </c>
    </row>
    <row r="110" spans="1:7" x14ac:dyDescent="0.25">
      <c r="A110" s="49">
        <f>'A) Base RI'!A105</f>
        <v>5562</v>
      </c>
      <c r="B110" s="286" t="str">
        <f>'A) Base RI'!B105</f>
        <v>Mauborget</v>
      </c>
      <c r="C110" s="10">
        <f>'A) Base RI'!V105</f>
        <v>137</v>
      </c>
      <c r="D110" s="432">
        <f>'C) Prél. conj.'!H104</f>
        <v>22013.715</v>
      </c>
      <c r="E110" s="10">
        <f>'D) Ecrêtage'!M104</f>
        <v>0</v>
      </c>
      <c r="F110" s="432">
        <f>$F$11*'D) Ecrêtage'!C104</f>
        <v>74373.155449903192</v>
      </c>
      <c r="G110" s="55">
        <f t="shared" si="1"/>
        <v>96386.870449903188</v>
      </c>
    </row>
    <row r="111" spans="1:7" x14ac:dyDescent="0.25">
      <c r="A111" s="49">
        <f>'A) Base RI'!A106</f>
        <v>5563</v>
      </c>
      <c r="B111" s="286" t="str">
        <f>'A) Base RI'!B106</f>
        <v>Mutrux</v>
      </c>
      <c r="C111" s="10">
        <f>'A) Base RI'!V106</f>
        <v>151</v>
      </c>
      <c r="D111" s="432">
        <f>'C) Prél. conj.'!H105</f>
        <v>39459.925000000003</v>
      </c>
      <c r="E111" s="10">
        <f>'D) Ecrêtage'!M105</f>
        <v>0</v>
      </c>
      <c r="F111" s="432">
        <f>$F$11*'D) Ecrêtage'!C105</f>
        <v>52214.690204309147</v>
      </c>
      <c r="G111" s="55">
        <f t="shared" si="1"/>
        <v>91674.615204309142</v>
      </c>
    </row>
    <row r="112" spans="1:7" x14ac:dyDescent="0.25">
      <c r="A112" s="49">
        <f>'A) Base RI'!A107</f>
        <v>5564</v>
      </c>
      <c r="B112" s="286" t="str">
        <f>'A) Base RI'!B107</f>
        <v>Novalles</v>
      </c>
      <c r="C112" s="10">
        <f>'A) Base RI'!V107</f>
        <v>103</v>
      </c>
      <c r="D112" s="432">
        <f>'C) Prél. conj.'!H106</f>
        <v>1825.7750000000001</v>
      </c>
      <c r="E112" s="10">
        <f>'D) Ecrêtage'!M106</f>
        <v>0</v>
      </c>
      <c r="F112" s="432">
        <f>$F$11*'D) Ecrêtage'!C106</f>
        <v>25600.496255453763</v>
      </c>
      <c r="G112" s="55">
        <f t="shared" si="1"/>
        <v>27426.271255453765</v>
      </c>
    </row>
    <row r="113" spans="1:7" x14ac:dyDescent="0.25">
      <c r="A113" s="49">
        <f>'A) Base RI'!A108</f>
        <v>5565</v>
      </c>
      <c r="B113" s="286" t="str">
        <f>'A) Base RI'!B108</f>
        <v>Onnens</v>
      </c>
      <c r="C113" s="10">
        <f>'A) Base RI'!V108</f>
        <v>495</v>
      </c>
      <c r="D113" s="432">
        <f>'C) Prél. conj.'!H107</f>
        <v>56548.214999999997</v>
      </c>
      <c r="E113" s="10">
        <f>'D) Ecrêtage'!M107</f>
        <v>0</v>
      </c>
      <c r="F113" s="432">
        <f>$F$11*'D) Ecrêtage'!C107</f>
        <v>276830.53678784607</v>
      </c>
      <c r="G113" s="55">
        <f t="shared" si="1"/>
        <v>333378.75178784609</v>
      </c>
    </row>
    <row r="114" spans="1:7" x14ac:dyDescent="0.25">
      <c r="A114" s="49">
        <f>'A) Base RI'!A109</f>
        <v>5566</v>
      </c>
      <c r="B114" s="286" t="str">
        <f>'A) Base RI'!B109</f>
        <v>Provence</v>
      </c>
      <c r="C114" s="10">
        <f>'A) Base RI'!V109</f>
        <v>403</v>
      </c>
      <c r="D114" s="432">
        <f>'C) Prél. conj.'!H108</f>
        <v>27530.954999999998</v>
      </c>
      <c r="E114" s="10">
        <f>'D) Ecrêtage'!M108</f>
        <v>0</v>
      </c>
      <c r="F114" s="432">
        <f>$F$11*'D) Ecrêtage'!C108</f>
        <v>114347.17653504186</v>
      </c>
      <c r="G114" s="55">
        <f t="shared" si="1"/>
        <v>141878.13153504184</v>
      </c>
    </row>
    <row r="115" spans="1:7" x14ac:dyDescent="0.25">
      <c r="A115" s="49">
        <f>'A) Base RI'!A110</f>
        <v>5568</v>
      </c>
      <c r="B115" s="286" t="str">
        <f>'A) Base RI'!B110</f>
        <v>Sainte-Croix</v>
      </c>
      <c r="C115" s="10">
        <f>'A) Base RI'!V110</f>
        <v>4948</v>
      </c>
      <c r="D115" s="432">
        <f>'C) Prél. conj.'!H109</f>
        <v>1251158.8849999998</v>
      </c>
      <c r="E115" s="10">
        <f>'D) Ecrêtage'!M109</f>
        <v>0</v>
      </c>
      <c r="F115" s="432">
        <f>$F$11*'D) Ecrêtage'!C109</f>
        <v>1331169.3857523797</v>
      </c>
      <c r="G115" s="55">
        <f t="shared" si="1"/>
        <v>2582328.2707523797</v>
      </c>
    </row>
    <row r="116" spans="1:7" x14ac:dyDescent="0.25">
      <c r="A116" s="49">
        <f>'A) Base RI'!A111</f>
        <v>5571</v>
      </c>
      <c r="B116" s="286" t="str">
        <f>'A) Base RI'!B111</f>
        <v>Tévenon</v>
      </c>
      <c r="C116" s="10">
        <f>'A) Base RI'!V111</f>
        <v>883</v>
      </c>
      <c r="D116" s="432">
        <f>'C) Prél. conj.'!H110</f>
        <v>121205.75999999999</v>
      </c>
      <c r="E116" s="10">
        <f>'D) Ecrêtage'!M110</f>
        <v>0</v>
      </c>
      <c r="F116" s="432">
        <f>$F$11*'D) Ecrêtage'!C110</f>
        <v>308799.17398105346</v>
      </c>
      <c r="G116" s="55">
        <f t="shared" si="1"/>
        <v>430004.93398105347</v>
      </c>
    </row>
    <row r="117" spans="1:7" x14ac:dyDescent="0.25">
      <c r="A117" s="49">
        <f>'A) Base RI'!A112</f>
        <v>5581</v>
      </c>
      <c r="B117" s="286" t="str">
        <f>'A) Base RI'!B112</f>
        <v>Belmont-sur-Lausanne</v>
      </c>
      <c r="C117" s="10">
        <f>'A) Base RI'!V112</f>
        <v>3871</v>
      </c>
      <c r="D117" s="432">
        <f>'C) Prél. conj.'!H111</f>
        <v>806356.11499999999</v>
      </c>
      <c r="E117" s="10">
        <f>'D) Ecrêtage'!M111</f>
        <v>402930.22060111893</v>
      </c>
      <c r="F117" s="432">
        <f>$F$11*'D) Ecrêtage'!C111</f>
        <v>2626882.9746089927</v>
      </c>
      <c r="G117" s="55">
        <f t="shared" si="1"/>
        <v>3836169.3102101116</v>
      </c>
    </row>
    <row r="118" spans="1:7" x14ac:dyDescent="0.25">
      <c r="A118" s="49">
        <f>'A) Base RI'!A113</f>
        <v>5582</v>
      </c>
      <c r="B118" s="286" t="str">
        <f>'A) Base RI'!B113</f>
        <v>Cheseaux-sur-Lausanne</v>
      </c>
      <c r="C118" s="10">
        <f>'A) Base RI'!V113</f>
        <v>4449</v>
      </c>
      <c r="D118" s="432">
        <f>'C) Prél. conj.'!H112</f>
        <v>1025974.0700000001</v>
      </c>
      <c r="E118" s="10">
        <f>'D) Ecrêtage'!M112</f>
        <v>0</v>
      </c>
      <c r="F118" s="432">
        <f>$F$11*'D) Ecrêtage'!C112</f>
        <v>2042467.3730251018</v>
      </c>
      <c r="G118" s="55">
        <f t="shared" si="1"/>
        <v>3068441.4430251019</v>
      </c>
    </row>
    <row r="119" spans="1:7" x14ac:dyDescent="0.25">
      <c r="A119" s="49">
        <f>'A) Base RI'!A114</f>
        <v>5583</v>
      </c>
      <c r="B119" s="286" t="str">
        <f>'A) Base RI'!B114</f>
        <v>Crissier</v>
      </c>
      <c r="C119" s="10">
        <f>'A) Base RI'!V114</f>
        <v>8974</v>
      </c>
      <c r="D119" s="432">
        <f>'C) Prél. conj.'!H113</f>
        <v>2107936.1950000003</v>
      </c>
      <c r="E119" s="10">
        <f>'D) Ecrêtage'!M113</f>
        <v>0</v>
      </c>
      <c r="F119" s="432">
        <f>$F$11*'D) Ecrêtage'!C113</f>
        <v>4115865.1899608113</v>
      </c>
      <c r="G119" s="55">
        <f t="shared" si="1"/>
        <v>6223801.3849608116</v>
      </c>
    </row>
    <row r="120" spans="1:7" x14ac:dyDescent="0.25">
      <c r="A120" s="49">
        <f>'A) Base RI'!A115</f>
        <v>5584</v>
      </c>
      <c r="B120" s="286" t="str">
        <f>'A) Base RI'!B115</f>
        <v>Epalinges</v>
      </c>
      <c r="C120" s="10">
        <f>'A) Base RI'!V115</f>
        <v>9813</v>
      </c>
      <c r="D120" s="432">
        <f>'C) Prél. conj.'!H114</f>
        <v>1879359.365</v>
      </c>
      <c r="E120" s="10">
        <f>'D) Ecrêtage'!M114</f>
        <v>536233.75073040661</v>
      </c>
      <c r="F120" s="432">
        <f>$F$11*'D) Ecrêtage'!C114</f>
        <v>6301112.0635815002</v>
      </c>
      <c r="G120" s="55">
        <f t="shared" si="1"/>
        <v>8716705.1793119069</v>
      </c>
    </row>
    <row r="121" spans="1:7" x14ac:dyDescent="0.25">
      <c r="A121" s="49">
        <f>'A) Base RI'!A116</f>
        <v>5585</v>
      </c>
      <c r="B121" s="286" t="str">
        <f>'A) Base RI'!B116</f>
        <v>Jouxtens-Mézery</v>
      </c>
      <c r="C121" s="10">
        <f>'A) Base RI'!V116</f>
        <v>1460</v>
      </c>
      <c r="D121" s="432">
        <f>'C) Prél. conj.'!H115</f>
        <v>442829.02999999997</v>
      </c>
      <c r="E121" s="10">
        <f>'D) Ecrêtage'!M115</f>
        <v>2861660.5116770817</v>
      </c>
      <c r="F121" s="432">
        <f>$F$11*'D) Ecrêtage'!C115</f>
        <v>2338009.7530610785</v>
      </c>
      <c r="G121" s="55">
        <f t="shared" si="1"/>
        <v>5642499.2947381604</v>
      </c>
    </row>
    <row r="122" spans="1:7" x14ac:dyDescent="0.25">
      <c r="A122" s="49">
        <f>'A) Base RI'!A117</f>
        <v>5586</v>
      </c>
      <c r="B122" s="286" t="str">
        <f>'A) Base RI'!B117</f>
        <v>Lausanne</v>
      </c>
      <c r="C122" s="10">
        <f>'A) Base RI'!V117</f>
        <v>140824</v>
      </c>
      <c r="D122" s="432">
        <f>'C) Prél. conj.'!H116</f>
        <v>28112945.245000001</v>
      </c>
      <c r="E122" s="10">
        <f>'D) Ecrêtage'!M116</f>
        <v>0</v>
      </c>
      <c r="F122" s="432">
        <f>$F$11*'D) Ecrêtage'!C116</f>
        <v>78787143.593092859</v>
      </c>
      <c r="G122" s="55">
        <f t="shared" si="1"/>
        <v>106900088.83809286</v>
      </c>
    </row>
    <row r="123" spans="1:7" x14ac:dyDescent="0.25">
      <c r="A123" s="49">
        <f>'A) Base RI'!A118</f>
        <v>5587</v>
      </c>
      <c r="B123" s="286" t="str">
        <f>'A) Base RI'!B118</f>
        <v>Le Mont-sur-Lausanne</v>
      </c>
      <c r="C123" s="10">
        <f>'A) Base RI'!V118</f>
        <v>9217</v>
      </c>
      <c r="D123" s="432">
        <f>'C) Prél. conj.'!H117</f>
        <v>2695854.1850000001</v>
      </c>
      <c r="E123" s="10">
        <f>'D) Ecrêtage'!M117</f>
        <v>716202.38874415716</v>
      </c>
      <c r="F123" s="432">
        <f>$F$11*'D) Ecrêtage'!C117</f>
        <v>6036409.5008942159</v>
      </c>
      <c r="G123" s="55">
        <f t="shared" si="1"/>
        <v>9448466.0746383723</v>
      </c>
    </row>
    <row r="124" spans="1:7" x14ac:dyDescent="0.25">
      <c r="A124" s="49">
        <f>'A) Base RI'!A119</f>
        <v>5588</v>
      </c>
      <c r="B124" s="286" t="str">
        <f>'A) Base RI'!B119</f>
        <v>Paudex</v>
      </c>
      <c r="C124" s="10">
        <f>'A) Base RI'!V119</f>
        <v>1545</v>
      </c>
      <c r="D124" s="432">
        <f>'C) Prél. conj.'!H118</f>
        <v>194739.33999999997</v>
      </c>
      <c r="E124" s="10">
        <f>'D) Ecrêtage'!M118</f>
        <v>3840415.4553891993</v>
      </c>
      <c r="F124" s="432">
        <f>$F$11*'D) Ecrêtage'!C118</f>
        <v>2630789.1696091034</v>
      </c>
      <c r="G124" s="55">
        <f t="shared" si="1"/>
        <v>6665943.964998303</v>
      </c>
    </row>
    <row r="125" spans="1:7" x14ac:dyDescent="0.25">
      <c r="A125" s="49">
        <f>'A) Base RI'!A120</f>
        <v>5589</v>
      </c>
      <c r="B125" s="286" t="str">
        <f>'A) Base RI'!B120</f>
        <v>Prilly</v>
      </c>
      <c r="C125" s="10">
        <f>'A) Base RI'!V120</f>
        <v>12341</v>
      </c>
      <c r="D125" s="432">
        <f>'C) Prél. conj.'!H119</f>
        <v>1649998.4200000002</v>
      </c>
      <c r="E125" s="10">
        <f>'D) Ecrêtage'!M119</f>
        <v>0</v>
      </c>
      <c r="F125" s="432">
        <f>$F$11*'D) Ecrêtage'!C119</f>
        <v>5115712.1444450142</v>
      </c>
      <c r="G125" s="55">
        <f t="shared" si="1"/>
        <v>6765710.5644450141</v>
      </c>
    </row>
    <row r="126" spans="1:7" x14ac:dyDescent="0.25">
      <c r="A126" s="49">
        <f>'A) Base RI'!A121</f>
        <v>5590</v>
      </c>
      <c r="B126" s="286" t="str">
        <f>'A) Base RI'!B121</f>
        <v>Pully</v>
      </c>
      <c r="C126" s="10">
        <f>'A) Base RI'!V121</f>
        <v>18946</v>
      </c>
      <c r="D126" s="432">
        <f>'C) Prél. conj.'!H120</f>
        <v>4812574.74</v>
      </c>
      <c r="E126" s="10">
        <f>'D) Ecrêtage'!M120</f>
        <v>12810165.164654734</v>
      </c>
      <c r="F126" s="432">
        <f>$F$11*'D) Ecrêtage'!C120</f>
        <v>19546296.235632185</v>
      </c>
      <c r="G126" s="55">
        <f t="shared" si="1"/>
        <v>37169036.140286915</v>
      </c>
    </row>
    <row r="127" spans="1:7" x14ac:dyDescent="0.25">
      <c r="A127" s="49">
        <f>'A) Base RI'!A122</f>
        <v>5591</v>
      </c>
      <c r="B127" s="286" t="str">
        <f>'A) Base RI'!B122</f>
        <v>Renens</v>
      </c>
      <c r="C127" s="10">
        <f>'A) Base RI'!V122</f>
        <v>20917</v>
      </c>
      <c r="D127" s="432">
        <f>'C) Prél. conj.'!H121</f>
        <v>3122045.1399999997</v>
      </c>
      <c r="E127" s="10">
        <f>'D) Ecrêtage'!M121</f>
        <v>0</v>
      </c>
      <c r="F127" s="432">
        <f>$F$11*'D) Ecrêtage'!C121</f>
        <v>6947573.8629118726</v>
      </c>
      <c r="G127" s="55">
        <f t="shared" si="1"/>
        <v>10069619.002911873</v>
      </c>
    </row>
    <row r="128" spans="1:7" x14ac:dyDescent="0.25">
      <c r="A128" s="49">
        <f>'A) Base RI'!A123</f>
        <v>5592</v>
      </c>
      <c r="B128" s="286" t="str">
        <f>'A) Base RI'!B123</f>
        <v>Romanel-sur-Lausanne</v>
      </c>
      <c r="C128" s="10">
        <f>'A) Base RI'!V123</f>
        <v>3482</v>
      </c>
      <c r="D128" s="432">
        <f>'C) Prél. conj.'!H122</f>
        <v>867329.35499999998</v>
      </c>
      <c r="E128" s="10">
        <f>'D) Ecrêtage'!M122</f>
        <v>0</v>
      </c>
      <c r="F128" s="432">
        <f>$F$11*'D) Ecrêtage'!C122</f>
        <v>1476449.2323383982</v>
      </c>
      <c r="G128" s="55">
        <f t="shared" si="1"/>
        <v>2343778.5873383982</v>
      </c>
    </row>
    <row r="129" spans="1:7" x14ac:dyDescent="0.25">
      <c r="A129" s="49">
        <f>'A) Base RI'!A124</f>
        <v>5601</v>
      </c>
      <c r="B129" s="286" t="str">
        <f>'A) Base RI'!B124</f>
        <v>Chexbres</v>
      </c>
      <c r="C129" s="10">
        <f>'A) Base RI'!V124</f>
        <v>2229</v>
      </c>
      <c r="D129" s="432">
        <f>'C) Prél. conj.'!H123</f>
        <v>282701.375</v>
      </c>
      <c r="E129" s="10">
        <f>'D) Ecrêtage'!M123</f>
        <v>0</v>
      </c>
      <c r="F129" s="432">
        <f>$F$11*'D) Ecrêtage'!C123</f>
        <v>1292165.1996416342</v>
      </c>
      <c r="G129" s="55">
        <f t="shared" si="1"/>
        <v>1574866.5746416342</v>
      </c>
    </row>
    <row r="130" spans="1:7" x14ac:dyDescent="0.25">
      <c r="A130" s="49">
        <f>'A) Base RI'!A125</f>
        <v>5604</v>
      </c>
      <c r="B130" s="286" t="str">
        <f>'A) Base RI'!B125</f>
        <v>Forel (Lavaux)</v>
      </c>
      <c r="C130" s="10">
        <f>'A) Base RI'!V125</f>
        <v>2110</v>
      </c>
      <c r="D130" s="432">
        <f>'C) Prél. conj.'!H124</f>
        <v>225189.595</v>
      </c>
      <c r="E130" s="10">
        <f>'D) Ecrêtage'!M124</f>
        <v>0</v>
      </c>
      <c r="F130" s="432">
        <f>$F$11*'D) Ecrêtage'!C124</f>
        <v>924485.60383090458</v>
      </c>
      <c r="G130" s="55">
        <f t="shared" si="1"/>
        <v>1149675.1988309047</v>
      </c>
    </row>
    <row r="131" spans="1:7" x14ac:dyDescent="0.25">
      <c r="A131" s="49">
        <f>'A) Base RI'!A126</f>
        <v>5606</v>
      </c>
      <c r="B131" s="286" t="str">
        <f>'A) Base RI'!B126</f>
        <v>Lutry</v>
      </c>
      <c r="C131" s="10">
        <f>'A) Base RI'!V126</f>
        <v>10704</v>
      </c>
      <c r="D131" s="432">
        <f>'C) Prél. conj.'!H125</f>
        <v>6014393.8049999997</v>
      </c>
      <c r="E131" s="10">
        <f>'D) Ecrêtage'!M125</f>
        <v>7172958.3064817842</v>
      </c>
      <c r="F131" s="432">
        <f>$F$11*'D) Ecrêtage'!C125</f>
        <v>11475602.636586143</v>
      </c>
      <c r="G131" s="55">
        <f t="shared" si="1"/>
        <v>24662954.74806793</v>
      </c>
    </row>
    <row r="132" spans="1:7" x14ac:dyDescent="0.25">
      <c r="A132" s="49">
        <f>'A) Base RI'!A127</f>
        <v>5607</v>
      </c>
      <c r="B132" s="286" t="str">
        <f>'A) Base RI'!B127</f>
        <v>Puidoux</v>
      </c>
      <c r="C132" s="10">
        <f>'A) Base RI'!V127</f>
        <v>2924</v>
      </c>
      <c r="D132" s="432">
        <f>'C) Prél. conj.'!H126</f>
        <v>558305.72499999998</v>
      </c>
      <c r="E132" s="10">
        <f>'D) Ecrêtage'!M126</f>
        <v>0</v>
      </c>
      <c r="F132" s="432">
        <f>$F$11*'D) Ecrêtage'!C126</f>
        <v>1360537.1512104541</v>
      </c>
      <c r="G132" s="55">
        <f t="shared" si="1"/>
        <v>1918842.8762104539</v>
      </c>
    </row>
    <row r="133" spans="1:7" x14ac:dyDescent="0.25">
      <c r="A133" s="49">
        <f>'A) Base RI'!A128</f>
        <v>5609</v>
      </c>
      <c r="B133" s="286" t="str">
        <f>'A) Base RI'!B128</f>
        <v>Rivaz</v>
      </c>
      <c r="C133" s="10">
        <f>'A) Base RI'!V128</f>
        <v>331</v>
      </c>
      <c r="D133" s="432">
        <f>'C) Prél. conj.'!H127</f>
        <v>19024.95</v>
      </c>
      <c r="E133" s="10">
        <f>'D) Ecrêtage'!M127</f>
        <v>0</v>
      </c>
      <c r="F133" s="432">
        <f>$F$11*'D) Ecrêtage'!C127</f>
        <v>181638.16299915538</v>
      </c>
      <c r="G133" s="55">
        <f t="shared" si="1"/>
        <v>200663.11299915539</v>
      </c>
    </row>
    <row r="134" spans="1:7" x14ac:dyDescent="0.25">
      <c r="A134" s="49">
        <f>'A) Base RI'!A129</f>
        <v>5610</v>
      </c>
      <c r="B134" s="286" t="str">
        <f>'A) Base RI'!B129</f>
        <v>St-Saphorin (Lavaux)</v>
      </c>
      <c r="C134" s="10">
        <f>'A) Base RI'!V129</f>
        <v>396</v>
      </c>
      <c r="D134" s="432">
        <f>'C) Prél. conj.'!H128</f>
        <v>289822.40000000002</v>
      </c>
      <c r="E134" s="10">
        <f>'D) Ecrêtage'!M128</f>
        <v>64661.288810945181</v>
      </c>
      <c r="F134" s="432">
        <f>$F$11*'D) Ecrêtage'!C128</f>
        <v>285914.9924694075</v>
      </c>
      <c r="G134" s="55">
        <f t="shared" si="1"/>
        <v>640398.68128035276</v>
      </c>
    </row>
    <row r="135" spans="1:7" x14ac:dyDescent="0.25">
      <c r="A135" s="49">
        <f>'A) Base RI'!A130</f>
        <v>5611</v>
      </c>
      <c r="B135" s="286" t="str">
        <f>'A) Base RI'!B130</f>
        <v>Savigny</v>
      </c>
      <c r="C135" s="10">
        <f>'A) Base RI'!V130</f>
        <v>3370</v>
      </c>
      <c r="D135" s="432">
        <f>'C) Prél. conj.'!H129</f>
        <v>444752.64999999997</v>
      </c>
      <c r="E135" s="10">
        <f>'D) Ecrêtage'!M129</f>
        <v>0</v>
      </c>
      <c r="F135" s="432">
        <f>$F$11*'D) Ecrêtage'!C129</f>
        <v>1719054.8034994332</v>
      </c>
      <c r="G135" s="55">
        <f t="shared" si="1"/>
        <v>2163807.4534994331</v>
      </c>
    </row>
    <row r="136" spans="1:7" x14ac:dyDescent="0.25">
      <c r="A136" s="49">
        <f>'A) Base RI'!A131</f>
        <v>5613</v>
      </c>
      <c r="B136" s="286" t="str">
        <f>'A) Base RI'!B131</f>
        <v>Bourg-en-Lavaux</v>
      </c>
      <c r="C136" s="10">
        <f>'A) Base RI'!V131</f>
        <v>5367</v>
      </c>
      <c r="D136" s="432">
        <f>'C) Prél. conj.'!H130</f>
        <v>1020705.53</v>
      </c>
      <c r="E136" s="10">
        <f>'D) Ecrêtage'!M130</f>
        <v>1499717.0467959351</v>
      </c>
      <c r="F136" s="432">
        <f>$F$11*'D) Ecrêtage'!C130</f>
        <v>4355588.744805472</v>
      </c>
      <c r="G136" s="55">
        <f t="shared" si="1"/>
        <v>6876011.3216014076</v>
      </c>
    </row>
    <row r="137" spans="1:7" x14ac:dyDescent="0.25">
      <c r="A137" s="49">
        <f>'A) Base RI'!A132</f>
        <v>5621</v>
      </c>
      <c r="B137" s="286" t="str">
        <f>'A) Base RI'!B132</f>
        <v>Aclens</v>
      </c>
      <c r="C137" s="10">
        <f>'A) Base RI'!V132</f>
        <v>517</v>
      </c>
      <c r="D137" s="432">
        <f>'C) Prél. conj.'!H131</f>
        <v>215232.17499999999</v>
      </c>
      <c r="E137" s="10">
        <f>'D) Ecrêtage'!M131</f>
        <v>103533.29869623452</v>
      </c>
      <c r="F137" s="432">
        <f>$F$11*'D) Ecrêtage'!C131</f>
        <v>393494.74856068235</v>
      </c>
      <c r="G137" s="55">
        <f t="shared" si="1"/>
        <v>712260.22225691681</v>
      </c>
    </row>
    <row r="138" spans="1:7" x14ac:dyDescent="0.25">
      <c r="A138" s="49">
        <f>'A) Base RI'!A133</f>
        <v>5622</v>
      </c>
      <c r="B138" s="286" t="str">
        <f>'A) Base RI'!B133</f>
        <v>Bremblens</v>
      </c>
      <c r="C138" s="10">
        <f>'A) Base RI'!V133</f>
        <v>607</v>
      </c>
      <c r="D138" s="432">
        <f>'C) Prél. conj.'!H132</f>
        <v>113830.845</v>
      </c>
      <c r="E138" s="10">
        <f>'D) Ecrêtage'!M132</f>
        <v>0</v>
      </c>
      <c r="F138" s="432">
        <f>$F$11*'D) Ecrêtage'!C132</f>
        <v>349265.18667268241</v>
      </c>
      <c r="G138" s="55">
        <f t="shared" si="1"/>
        <v>463096.03167268238</v>
      </c>
    </row>
    <row r="139" spans="1:7" x14ac:dyDescent="0.25">
      <c r="A139" s="49">
        <f>'A) Base RI'!A134</f>
        <v>5623</v>
      </c>
      <c r="B139" s="286" t="str">
        <f>'A) Base RI'!B134</f>
        <v>Buchillon</v>
      </c>
      <c r="C139" s="10">
        <f>'A) Base RI'!V134</f>
        <v>669</v>
      </c>
      <c r="D139" s="432">
        <f>'C) Prél. conj.'!H133</f>
        <v>112752.015</v>
      </c>
      <c r="E139" s="10">
        <f>'D) Ecrêtage'!M133</f>
        <v>1191333.7193241504</v>
      </c>
      <c r="F139" s="432">
        <f>$F$11*'D) Ecrêtage'!C133</f>
        <v>1088035.2185126196</v>
      </c>
      <c r="G139" s="55">
        <f t="shared" si="1"/>
        <v>2392120.9528367696</v>
      </c>
    </row>
    <row r="140" spans="1:7" x14ac:dyDescent="0.25">
      <c r="A140" s="49">
        <f>'A) Base RI'!A135</f>
        <v>5624</v>
      </c>
      <c r="B140" s="286" t="str">
        <f>'A) Base RI'!B135</f>
        <v>Bussigny</v>
      </c>
      <c r="C140" s="10">
        <f>'A) Base RI'!V135</f>
        <v>10253</v>
      </c>
      <c r="D140" s="432">
        <f>'C) Prél. conj.'!H134</f>
        <v>2313621.4750000001</v>
      </c>
      <c r="E140" s="10">
        <f>'D) Ecrêtage'!M134</f>
        <v>0</v>
      </c>
      <c r="F140" s="432">
        <f>$F$11*'D) Ecrêtage'!C134</f>
        <v>5388723.0690173237</v>
      </c>
      <c r="G140" s="55">
        <f t="shared" ref="G140:G203" si="2">D140+F140+E140</f>
        <v>7702344.5440173242</v>
      </c>
    </row>
    <row r="141" spans="1:7" x14ac:dyDescent="0.25">
      <c r="A141" s="49">
        <f>'A) Base RI'!A136</f>
        <v>5625</v>
      </c>
      <c r="B141" s="286" t="str">
        <f>'A) Base RI'!B136</f>
        <v>Bussy-Chardonney</v>
      </c>
      <c r="C141" s="10">
        <f>'A) Base RI'!V136</f>
        <v>412</v>
      </c>
      <c r="D141" s="432">
        <f>'C) Prél. conj.'!H135</f>
        <v>12622.025000000001</v>
      </c>
      <c r="E141" s="10">
        <f>'D) Ecrêtage'!M135</f>
        <v>16664.195674415081</v>
      </c>
      <c r="F141" s="432">
        <f>$F$11*'D) Ecrêtage'!C135</f>
        <v>257382.99430606607</v>
      </c>
      <c r="G141" s="55">
        <f t="shared" si="2"/>
        <v>286669.21498048119</v>
      </c>
    </row>
    <row r="142" spans="1:7" x14ac:dyDescent="0.25">
      <c r="A142" s="49">
        <f>'A) Base RI'!A137</f>
        <v>5627</v>
      </c>
      <c r="B142" s="286" t="str">
        <f>'A) Base RI'!B137</f>
        <v>Chavannes-près-Renens</v>
      </c>
      <c r="C142" s="10">
        <f>'A) Base RI'!V137</f>
        <v>8767</v>
      </c>
      <c r="D142" s="432">
        <f>'C) Prél. conj.'!H136</f>
        <v>1064814.875</v>
      </c>
      <c r="E142" s="10">
        <f>'D) Ecrêtage'!M136</f>
        <v>0</v>
      </c>
      <c r="F142" s="432">
        <f>$F$11*'D) Ecrêtage'!C136</f>
        <v>2366396.3781210189</v>
      </c>
      <c r="G142" s="55">
        <f t="shared" si="2"/>
        <v>3431211.2531210189</v>
      </c>
    </row>
    <row r="143" spans="1:7" x14ac:dyDescent="0.25">
      <c r="A143" s="49">
        <f>'A) Base RI'!A138</f>
        <v>5628</v>
      </c>
      <c r="B143" s="286" t="str">
        <f>'A) Base RI'!B138</f>
        <v>Chigny</v>
      </c>
      <c r="C143" s="10">
        <f>'A) Base RI'!V138</f>
        <v>405</v>
      </c>
      <c r="D143" s="432">
        <f>'C) Prél. conj.'!H137</f>
        <v>27191.954999999998</v>
      </c>
      <c r="E143" s="10">
        <f>'D) Ecrêtage'!M137</f>
        <v>90603.081898843724</v>
      </c>
      <c r="F143" s="432">
        <f>$F$11*'D) Ecrêtage'!C137</f>
        <v>314477.13944058988</v>
      </c>
      <c r="G143" s="55">
        <f t="shared" si="2"/>
        <v>432272.17633943364</v>
      </c>
    </row>
    <row r="144" spans="1:7" x14ac:dyDescent="0.25">
      <c r="A144" s="49">
        <f>'A) Base RI'!A139</f>
        <v>5629</v>
      </c>
      <c r="B144" s="286" t="str">
        <f>'A) Base RI'!B139</f>
        <v>Clarmont</v>
      </c>
      <c r="C144" s="10">
        <f>'A) Base RI'!V139</f>
        <v>211</v>
      </c>
      <c r="D144" s="432">
        <f>'C) Prél. conj.'!H138</f>
        <v>13536.025000000001</v>
      </c>
      <c r="E144" s="10">
        <f>'D) Ecrêtage'!M138</f>
        <v>0</v>
      </c>
      <c r="F144" s="432">
        <f>$F$11*'D) Ecrêtage'!C138</f>
        <v>121300.06263750898</v>
      </c>
      <c r="G144" s="55">
        <f t="shared" si="2"/>
        <v>134836.08763750899</v>
      </c>
    </row>
    <row r="145" spans="1:7" x14ac:dyDescent="0.25">
      <c r="A145" s="49">
        <f>'A) Base RI'!A140</f>
        <v>5631</v>
      </c>
      <c r="B145" s="286" t="str">
        <f>'A) Base RI'!B140</f>
        <v>Denens</v>
      </c>
      <c r="C145" s="10">
        <f>'A) Base RI'!V140</f>
        <v>733</v>
      </c>
      <c r="D145" s="432">
        <f>'C) Prél. conj.'!H139</f>
        <v>270424.93</v>
      </c>
      <c r="E145" s="10">
        <f>'D) Ecrêtage'!M139</f>
        <v>110731.8615034633</v>
      </c>
      <c r="F145" s="432">
        <f>$F$11*'D) Ecrêtage'!C139</f>
        <v>527852.33818632527</v>
      </c>
      <c r="G145" s="55">
        <f t="shared" si="2"/>
        <v>909009.12968978845</v>
      </c>
    </row>
    <row r="146" spans="1:7" x14ac:dyDescent="0.25">
      <c r="A146" s="49">
        <f>'A) Base RI'!A141</f>
        <v>5632</v>
      </c>
      <c r="B146" s="286" t="str">
        <f>'A) Base RI'!B141</f>
        <v>Denges</v>
      </c>
      <c r="C146" s="10">
        <f>'A) Base RI'!V141</f>
        <v>1744</v>
      </c>
      <c r="D146" s="432">
        <f>'C) Prél. conj.'!H140</f>
        <v>238251.48</v>
      </c>
      <c r="E146" s="10">
        <f>'D) Ecrêtage'!M140</f>
        <v>0</v>
      </c>
      <c r="F146" s="432">
        <f>$F$11*'D) Ecrêtage'!C140</f>
        <v>981822.27243264962</v>
      </c>
      <c r="G146" s="55">
        <f t="shared" si="2"/>
        <v>1220073.7524326497</v>
      </c>
    </row>
    <row r="147" spans="1:7" x14ac:dyDescent="0.25">
      <c r="A147" s="49">
        <f>'A) Base RI'!A142</f>
        <v>5633</v>
      </c>
      <c r="B147" s="286" t="str">
        <f>'A) Base RI'!B142</f>
        <v>Echandens</v>
      </c>
      <c r="C147" s="10">
        <f>'A) Base RI'!V142</f>
        <v>2775</v>
      </c>
      <c r="D147" s="432">
        <f>'C) Prél. conj.'!H141</f>
        <v>324880.06999999995</v>
      </c>
      <c r="E147" s="10">
        <f>'D) Ecrêtage'!M141</f>
        <v>489106.55543626606</v>
      </c>
      <c r="F147" s="432">
        <f>$F$11*'D) Ecrêtage'!C141</f>
        <v>2076368.7703383258</v>
      </c>
      <c r="G147" s="55">
        <f t="shared" si="2"/>
        <v>2890355.3957745917</v>
      </c>
    </row>
    <row r="148" spans="1:7" x14ac:dyDescent="0.25">
      <c r="A148" s="49">
        <f>'A) Base RI'!A143</f>
        <v>5634</v>
      </c>
      <c r="B148" s="286" t="str">
        <f>'A) Base RI'!B143</f>
        <v>Echichens</v>
      </c>
      <c r="C148" s="10">
        <f>'A) Base RI'!V143</f>
        <v>3142</v>
      </c>
      <c r="D148" s="432">
        <f>'C) Prél. conj.'!H142</f>
        <v>541465.33499999996</v>
      </c>
      <c r="E148" s="10">
        <f>'D) Ecrêtage'!M142</f>
        <v>5495.4584817560781</v>
      </c>
      <c r="F148" s="432">
        <f>$F$11*'D) Ecrêtage'!C142</f>
        <v>1860323.8626484978</v>
      </c>
      <c r="G148" s="55">
        <f t="shared" si="2"/>
        <v>2407284.6561302538</v>
      </c>
    </row>
    <row r="149" spans="1:7" x14ac:dyDescent="0.25">
      <c r="A149" s="49">
        <f>'A) Base RI'!A144</f>
        <v>5635</v>
      </c>
      <c r="B149" s="286" t="str">
        <f>'A) Base RI'!B144</f>
        <v>Ecublens</v>
      </c>
      <c r="C149" s="10">
        <f>'A) Base RI'!V144</f>
        <v>13214</v>
      </c>
      <c r="D149" s="432">
        <f>'C) Prél. conj.'!H143</f>
        <v>2114807.395</v>
      </c>
      <c r="E149" s="10">
        <f>'D) Ecrêtage'!M143</f>
        <v>3559021.1613810305</v>
      </c>
      <c r="F149" s="432">
        <f>$F$11*'D) Ecrêtage'!C143</f>
        <v>10637065.470478509</v>
      </c>
      <c r="G149" s="55">
        <f t="shared" si="2"/>
        <v>16310894.026859539</v>
      </c>
    </row>
    <row r="150" spans="1:7" x14ac:dyDescent="0.25">
      <c r="A150" s="49">
        <f>'A) Base RI'!A145</f>
        <v>5636</v>
      </c>
      <c r="B150" s="286" t="str">
        <f>'A) Base RI'!B145</f>
        <v>Etoy</v>
      </c>
      <c r="C150" s="10">
        <f>'A) Base RI'!V145</f>
        <v>2918</v>
      </c>
      <c r="D150" s="432">
        <f>'C) Prél. conj.'!H144</f>
        <v>1109816.7150000001</v>
      </c>
      <c r="E150" s="10">
        <f>'D) Ecrêtage'!M144</f>
        <v>654082.29200197512</v>
      </c>
      <c r="F150" s="432">
        <f>$F$11*'D) Ecrêtage'!C144</f>
        <v>2280928.7142979996</v>
      </c>
      <c r="G150" s="55">
        <f t="shared" si="2"/>
        <v>4044827.7212999747</v>
      </c>
    </row>
    <row r="151" spans="1:7" x14ac:dyDescent="0.25">
      <c r="A151" s="49">
        <f>'A) Base RI'!A146</f>
        <v>5637</v>
      </c>
      <c r="B151" s="286" t="str">
        <f>'A) Base RI'!B146</f>
        <v>Lavigny</v>
      </c>
      <c r="C151" s="10">
        <f>'A) Base RI'!V146</f>
        <v>1026</v>
      </c>
      <c r="D151" s="432">
        <f>'C) Prél. conj.'!H145</f>
        <v>243734.28</v>
      </c>
      <c r="E151" s="10">
        <f>'D) Ecrêtage'!M145</f>
        <v>0</v>
      </c>
      <c r="F151" s="432">
        <f>$F$11*'D) Ecrêtage'!C145</f>
        <v>462139.61985293712</v>
      </c>
      <c r="G151" s="55">
        <f t="shared" si="2"/>
        <v>705873.89985293709</v>
      </c>
    </row>
    <row r="152" spans="1:7" x14ac:dyDescent="0.25">
      <c r="A152" s="49">
        <f>'A) Base RI'!A147</f>
        <v>5638</v>
      </c>
      <c r="B152" s="286" t="str">
        <f>'A) Base RI'!B147</f>
        <v>Lonay</v>
      </c>
      <c r="C152" s="10">
        <f>'A) Base RI'!V147</f>
        <v>2751</v>
      </c>
      <c r="D152" s="432">
        <f>'C) Prél. conj.'!H146</f>
        <v>4224863.6050000004</v>
      </c>
      <c r="E152" s="10">
        <f>'D) Ecrêtage'!M146</f>
        <v>528915.41427278123</v>
      </c>
      <c r="F152" s="432">
        <f>$F$11*'D) Ecrêtage'!C146</f>
        <v>2123529.7935655708</v>
      </c>
      <c r="G152" s="55">
        <f t="shared" si="2"/>
        <v>6877308.8128383532</v>
      </c>
    </row>
    <row r="153" spans="1:7" x14ac:dyDescent="0.25">
      <c r="A153" s="49">
        <f>'A) Base RI'!A148</f>
        <v>5639</v>
      </c>
      <c r="B153" s="286" t="str">
        <f>'A) Base RI'!B148</f>
        <v>Lully</v>
      </c>
      <c r="C153" s="10">
        <f>'A) Base RI'!V148</f>
        <v>828</v>
      </c>
      <c r="D153" s="432">
        <f>'C) Prél. conj.'!H147</f>
        <v>96620.235000000001</v>
      </c>
      <c r="E153" s="10">
        <f>'D) Ecrêtage'!M147</f>
        <v>200237.98702305063</v>
      </c>
      <c r="F153" s="432">
        <f>$F$11*'D) Ecrêtage'!C147</f>
        <v>654919.58790431183</v>
      </c>
      <c r="G153" s="55">
        <f t="shared" si="2"/>
        <v>951777.80992736248</v>
      </c>
    </row>
    <row r="154" spans="1:7" x14ac:dyDescent="0.25">
      <c r="A154" s="49">
        <f>'A) Base RI'!A149</f>
        <v>5640</v>
      </c>
      <c r="B154" s="286" t="str">
        <f>'A) Base RI'!B149</f>
        <v>Lussy-sur-Morges</v>
      </c>
      <c r="C154" s="10">
        <f>'A) Base RI'!V149</f>
        <v>740</v>
      </c>
      <c r="D154" s="432">
        <f>'C) Prél. conj.'!H148</f>
        <v>374890.48999999993</v>
      </c>
      <c r="E154" s="10">
        <f>'D) Ecrêtage'!M148</f>
        <v>733286.0284270033</v>
      </c>
      <c r="F154" s="432">
        <f>$F$11*'D) Ecrêtage'!C148</f>
        <v>859969.37915753713</v>
      </c>
      <c r="G154" s="55">
        <f t="shared" si="2"/>
        <v>1968145.8975845403</v>
      </c>
    </row>
    <row r="155" spans="1:7" x14ac:dyDescent="0.25">
      <c r="A155" s="49">
        <f>'A) Base RI'!A150</f>
        <v>5642</v>
      </c>
      <c r="B155" s="286" t="str">
        <f>'A) Base RI'!B150</f>
        <v>Morges</v>
      </c>
      <c r="C155" s="10">
        <f>'A) Base RI'!V150</f>
        <v>16885</v>
      </c>
      <c r="D155" s="432">
        <f>'C) Prél. conj.'!H149</f>
        <v>3127720.02</v>
      </c>
      <c r="E155" s="10">
        <f>'D) Ecrêtage'!M149</f>
        <v>2563821.2593754479</v>
      </c>
      <c r="F155" s="432">
        <f>$F$11*'D) Ecrêtage'!C149</f>
        <v>12190005.668209445</v>
      </c>
      <c r="G155" s="55">
        <f t="shared" si="2"/>
        <v>17881546.947584894</v>
      </c>
    </row>
    <row r="156" spans="1:7" x14ac:dyDescent="0.25">
      <c r="A156" s="49">
        <f>'A) Base RI'!A151</f>
        <v>5643</v>
      </c>
      <c r="B156" s="286" t="str">
        <f>'A) Base RI'!B151</f>
        <v>Préverenges</v>
      </c>
      <c r="C156" s="10">
        <f>'A) Base RI'!V151</f>
        <v>5208</v>
      </c>
      <c r="D156" s="432">
        <f>'C) Prél. conj.'!H150</f>
        <v>501104.14500000002</v>
      </c>
      <c r="E156" s="10">
        <f>'D) Ecrêtage'!M150</f>
        <v>69417.49350452135</v>
      </c>
      <c r="F156" s="432">
        <f>$F$11*'D) Ecrêtage'!C150</f>
        <v>3142866.9150809604</v>
      </c>
      <c r="G156" s="55">
        <f t="shared" si="2"/>
        <v>3713388.5535854818</v>
      </c>
    </row>
    <row r="157" spans="1:7" x14ac:dyDescent="0.25">
      <c r="A157" s="49">
        <f>'A) Base RI'!A152</f>
        <v>5644</v>
      </c>
      <c r="B157" s="286" t="str">
        <f>'A) Base RI'!B152</f>
        <v>Reverolle</v>
      </c>
      <c r="C157" s="10">
        <f>'A) Base RI'!V152</f>
        <v>403</v>
      </c>
      <c r="D157" s="432">
        <f>'C) Prél. conj.'!H151</f>
        <v>21607.494999999999</v>
      </c>
      <c r="E157" s="10">
        <f>'D) Ecrêtage'!M151</f>
        <v>0</v>
      </c>
      <c r="F157" s="432">
        <f>$F$11*'D) Ecrêtage'!C151</f>
        <v>199525.15148469113</v>
      </c>
      <c r="G157" s="55">
        <f t="shared" si="2"/>
        <v>221132.64648469113</v>
      </c>
    </row>
    <row r="158" spans="1:7" x14ac:dyDescent="0.25">
      <c r="A158" s="49">
        <f>'A) Base RI'!A153</f>
        <v>5645</v>
      </c>
      <c r="B158" s="286" t="str">
        <f>'A) Base RI'!B153</f>
        <v>Romanel-sur-Morges</v>
      </c>
      <c r="C158" s="10">
        <f>'A) Base RI'!V153</f>
        <v>466</v>
      </c>
      <c r="D158" s="432">
        <f>'C) Prél. conj.'!H152</f>
        <v>113380.245</v>
      </c>
      <c r="E158" s="10">
        <f>'D) Ecrêtage'!M152</f>
        <v>45021.658012749569</v>
      </c>
      <c r="F158" s="432">
        <f>$F$11*'D) Ecrêtage'!C152</f>
        <v>324172.31326846418</v>
      </c>
      <c r="G158" s="55">
        <f t="shared" si="2"/>
        <v>482574.21628121374</v>
      </c>
    </row>
    <row r="159" spans="1:7" x14ac:dyDescent="0.25">
      <c r="A159" s="49">
        <f>'A) Base RI'!A154</f>
        <v>5646</v>
      </c>
      <c r="B159" s="286" t="str">
        <f>'A) Base RI'!B154</f>
        <v>Saint-Prex</v>
      </c>
      <c r="C159" s="10">
        <f>'A) Base RI'!V154</f>
        <v>5866</v>
      </c>
      <c r="D159" s="432">
        <f>'C) Prél. conj.'!H153</f>
        <v>1919041.655</v>
      </c>
      <c r="E159" s="10">
        <f>'D) Ecrêtage'!M153</f>
        <v>4583316.8365748823</v>
      </c>
      <c r="F159" s="432">
        <f>$F$11*'D) Ecrêtage'!C153</f>
        <v>6437871.4031736162</v>
      </c>
      <c r="G159" s="55">
        <f t="shared" si="2"/>
        <v>12940229.894748498</v>
      </c>
    </row>
    <row r="160" spans="1:7" x14ac:dyDescent="0.25">
      <c r="A160" s="49">
        <f>'A) Base RI'!A155</f>
        <v>5648</v>
      </c>
      <c r="B160" s="286" t="str">
        <f>'A) Base RI'!B155</f>
        <v>Saint-Sulpice</v>
      </c>
      <c r="C160" s="10">
        <f>'A) Base RI'!V155</f>
        <v>4932</v>
      </c>
      <c r="D160" s="432">
        <f>'C) Prél. conj.'!H154</f>
        <v>1503111.96</v>
      </c>
      <c r="E160" s="10">
        <f>'D) Ecrêtage'!M154</f>
        <v>2503527.8801219086</v>
      </c>
      <c r="F160" s="432">
        <f>$F$11*'D) Ecrêtage'!C154</f>
        <v>4809377.3929144656</v>
      </c>
      <c r="G160" s="55">
        <f t="shared" si="2"/>
        <v>8816017.2330363747</v>
      </c>
    </row>
    <row r="161" spans="1:7" x14ac:dyDescent="0.25">
      <c r="A161" s="49">
        <f>'A) Base RI'!A156</f>
        <v>5649</v>
      </c>
      <c r="B161" s="286" t="str">
        <f>'A) Base RI'!B156</f>
        <v>Tolochenaz</v>
      </c>
      <c r="C161" s="10">
        <f>'A) Base RI'!V156</f>
        <v>1886</v>
      </c>
      <c r="D161" s="432">
        <f>'C) Prél. conj.'!H155</f>
        <v>345165.82499999995</v>
      </c>
      <c r="E161" s="10">
        <f>'D) Ecrêtage'!M155</f>
        <v>1240712.7102266271</v>
      </c>
      <c r="F161" s="432">
        <f>$F$11*'D) Ecrêtage'!C155</f>
        <v>1899458.7356056657</v>
      </c>
      <c r="G161" s="55">
        <f t="shared" si="2"/>
        <v>3485337.2708322927</v>
      </c>
    </row>
    <row r="162" spans="1:7" x14ac:dyDescent="0.25">
      <c r="A162" s="49">
        <f>'A) Base RI'!A157</f>
        <v>5650</v>
      </c>
      <c r="B162" s="286" t="str">
        <f>'A) Base RI'!B157</f>
        <v>Vaux-sur-Morges</v>
      </c>
      <c r="C162" s="10">
        <f>'A) Base RI'!V157</f>
        <v>196</v>
      </c>
      <c r="D162" s="432">
        <f>'C) Prél. conj.'!H156</f>
        <v>631932.36</v>
      </c>
      <c r="E162" s="10">
        <f>'D) Ecrêtage'!M156</f>
        <v>2277452.5231599133</v>
      </c>
      <c r="F162" s="432">
        <f>$F$11*'D) Ecrêtage'!C156</f>
        <v>1013579.8429695143</v>
      </c>
      <c r="G162" s="55">
        <f t="shared" si="2"/>
        <v>3922964.7261294276</v>
      </c>
    </row>
    <row r="163" spans="1:7" x14ac:dyDescent="0.25">
      <c r="A163" s="49">
        <f>'A) Base RI'!A158</f>
        <v>5651</v>
      </c>
      <c r="B163" s="286" t="str">
        <f>'A) Base RI'!B158</f>
        <v>Villars-Sainte-Croix</v>
      </c>
      <c r="C163" s="10">
        <f>'A) Base RI'!V158</f>
        <v>958</v>
      </c>
      <c r="D163" s="432">
        <f>'C) Prél. conj.'!H157</f>
        <v>145735.57</v>
      </c>
      <c r="E163" s="10">
        <f>'D) Ecrêtage'!M157</f>
        <v>149061.26247853792</v>
      </c>
      <c r="F163" s="432">
        <f>$F$11*'D) Ecrêtage'!C157</f>
        <v>703519.33046573214</v>
      </c>
      <c r="G163" s="55">
        <f t="shared" si="2"/>
        <v>998316.16294427007</v>
      </c>
    </row>
    <row r="164" spans="1:7" x14ac:dyDescent="0.25">
      <c r="A164" s="49">
        <f>'A) Base RI'!A159</f>
        <v>5652</v>
      </c>
      <c r="B164" s="286" t="str">
        <f>'A) Base RI'!B159</f>
        <v>Villars-sous-Yens</v>
      </c>
      <c r="C164" s="10">
        <f>'A) Base RI'!V159</f>
        <v>626</v>
      </c>
      <c r="D164" s="432">
        <f>'C) Prél. conj.'!H158</f>
        <v>30484.325000000001</v>
      </c>
      <c r="E164" s="10">
        <f>'D) Ecrêtage'!M158</f>
        <v>0</v>
      </c>
      <c r="F164" s="432">
        <f>$F$11*'D) Ecrêtage'!C158</f>
        <v>315839.49733663065</v>
      </c>
      <c r="G164" s="55">
        <f t="shared" si="2"/>
        <v>346323.82233663066</v>
      </c>
    </row>
    <row r="165" spans="1:7" x14ac:dyDescent="0.25">
      <c r="A165" s="49">
        <f>'A) Base RI'!A160</f>
        <v>5653</v>
      </c>
      <c r="B165" s="286" t="str">
        <f>'A) Base RI'!B160</f>
        <v>Vufflens-le-Château</v>
      </c>
      <c r="C165" s="10">
        <f>'A) Base RI'!V160</f>
        <v>894</v>
      </c>
      <c r="D165" s="432">
        <f>'C) Prél. conj.'!H159</f>
        <v>166628.69499999998</v>
      </c>
      <c r="E165" s="10">
        <f>'D) Ecrêtage'!M159</f>
        <v>389088.18908836803</v>
      </c>
      <c r="F165" s="432">
        <f>$F$11*'D) Ecrêtage'!C159</f>
        <v>823003.27083998662</v>
      </c>
      <c r="G165" s="55">
        <f t="shared" si="2"/>
        <v>1378720.1549283545</v>
      </c>
    </row>
    <row r="166" spans="1:7" x14ac:dyDescent="0.25">
      <c r="A166" s="49">
        <f>'A) Base RI'!A161</f>
        <v>5654</v>
      </c>
      <c r="B166" s="286" t="str">
        <f>'A) Base RI'!B161</f>
        <v>Vullierens</v>
      </c>
      <c r="C166" s="10">
        <f>'A) Base RI'!V161</f>
        <v>560</v>
      </c>
      <c r="D166" s="432">
        <f>'C) Prél. conj.'!H160</f>
        <v>86485.865000000005</v>
      </c>
      <c r="E166" s="10">
        <f>'D) Ecrêtage'!M160</f>
        <v>0</v>
      </c>
      <c r="F166" s="432">
        <f>$F$11*'D) Ecrêtage'!C160</f>
        <v>251983.74533114687</v>
      </c>
      <c r="G166" s="55">
        <f t="shared" si="2"/>
        <v>338469.61033114686</v>
      </c>
    </row>
    <row r="167" spans="1:7" x14ac:dyDescent="0.25">
      <c r="A167" s="49">
        <f>'A) Base RI'!A162</f>
        <v>5655</v>
      </c>
      <c r="B167" s="286" t="str">
        <f>'A) Base RI'!B162</f>
        <v>Yens</v>
      </c>
      <c r="C167" s="10">
        <f>'A) Base RI'!V162</f>
        <v>1499</v>
      </c>
      <c r="D167" s="432">
        <f>'C) Prél. conj.'!H161</f>
        <v>78639.259999999995</v>
      </c>
      <c r="E167" s="10">
        <f>'D) Ecrêtage'!M161</f>
        <v>12372.348597389642</v>
      </c>
      <c r="F167" s="432">
        <f>$F$11*'D) Ecrêtage'!C161</f>
        <v>895659.78729169385</v>
      </c>
      <c r="G167" s="55">
        <f t="shared" si="2"/>
        <v>986671.39588908351</v>
      </c>
    </row>
    <row r="168" spans="1:7" x14ac:dyDescent="0.25">
      <c r="A168" s="49">
        <f>'A) Base RI'!A163</f>
        <v>5661</v>
      </c>
      <c r="B168" s="286" t="str">
        <f>'A) Base RI'!B163</f>
        <v>Boulens</v>
      </c>
      <c r="C168" s="10">
        <f>'A) Base RI'!V163</f>
        <v>371</v>
      </c>
      <c r="D168" s="432">
        <f>'C) Prél. conj.'!H162</f>
        <v>29698.36</v>
      </c>
      <c r="E168" s="10">
        <f>'D) Ecrêtage'!M162</f>
        <v>0</v>
      </c>
      <c r="F168" s="432">
        <f>$F$11*'D) Ecrêtage'!C162</f>
        <v>136889.57827948837</v>
      </c>
      <c r="G168" s="55">
        <f t="shared" si="2"/>
        <v>166587.93827948836</v>
      </c>
    </row>
    <row r="169" spans="1:7" x14ac:dyDescent="0.25">
      <c r="A169" s="49">
        <f>'A) Base RI'!A164</f>
        <v>5663</v>
      </c>
      <c r="B169" s="286" t="str">
        <f>'A) Base RI'!B164</f>
        <v>Bussy-sur-Moudon</v>
      </c>
      <c r="C169" s="10">
        <f>'A) Base RI'!V164</f>
        <v>236</v>
      </c>
      <c r="D169" s="432">
        <f>'C) Prél. conj.'!H163</f>
        <v>12612.175000000001</v>
      </c>
      <c r="E169" s="10">
        <f>'D) Ecrêtage'!M163</f>
        <v>0</v>
      </c>
      <c r="F169" s="432">
        <f>$F$11*'D) Ecrêtage'!C163</f>
        <v>64181.766230693938</v>
      </c>
      <c r="G169" s="55">
        <f t="shared" si="2"/>
        <v>76793.941230693934</v>
      </c>
    </row>
    <row r="170" spans="1:7" x14ac:dyDescent="0.25">
      <c r="A170" s="49">
        <f>'A) Base RI'!A165</f>
        <v>5665</v>
      </c>
      <c r="B170" s="286" t="str">
        <f>'A) Base RI'!B165</f>
        <v>Chavannes-sur-Moudon</v>
      </c>
      <c r="C170" s="10">
        <f>'A) Base RI'!V165</f>
        <v>222</v>
      </c>
      <c r="D170" s="432">
        <f>'C) Prél. conj.'!H164</f>
        <v>5338.7</v>
      </c>
      <c r="E170" s="10">
        <f>'D) Ecrêtage'!M164</f>
        <v>0</v>
      </c>
      <c r="F170" s="432">
        <f>$F$11*'D) Ecrêtage'!C164</f>
        <v>60001.817451651783</v>
      </c>
      <c r="G170" s="55">
        <f t="shared" si="2"/>
        <v>65340.51745165178</v>
      </c>
    </row>
    <row r="171" spans="1:7" x14ac:dyDescent="0.25">
      <c r="A171" s="49">
        <f>'A) Base RI'!A166</f>
        <v>5669</v>
      </c>
      <c r="B171" s="286" t="str">
        <f>'A) Base RI'!B166</f>
        <v>Curtilles</v>
      </c>
      <c r="C171" s="10">
        <f>'A) Base RI'!V166</f>
        <v>296</v>
      </c>
      <c r="D171" s="432">
        <f>'C) Prél. conj.'!H165</f>
        <v>44819.574999999997</v>
      </c>
      <c r="E171" s="10">
        <f>'D) Ecrêtage'!M165</f>
        <v>0</v>
      </c>
      <c r="F171" s="432">
        <f>$F$11*'D) Ecrêtage'!C165</f>
        <v>113865.97917671382</v>
      </c>
      <c r="G171" s="55">
        <f t="shared" si="2"/>
        <v>158685.55417671381</v>
      </c>
    </row>
    <row r="172" spans="1:7" x14ac:dyDescent="0.25">
      <c r="A172" s="49">
        <f>'A) Base RI'!A167</f>
        <v>5671</v>
      </c>
      <c r="B172" s="286" t="str">
        <f>'A) Base RI'!B167</f>
        <v>Dompierre</v>
      </c>
      <c r="C172" s="10">
        <f>'A) Base RI'!V167</f>
        <v>246</v>
      </c>
      <c r="D172" s="432">
        <f>'C) Prél. conj.'!H166</f>
        <v>53393.294999999998</v>
      </c>
      <c r="E172" s="10">
        <f>'D) Ecrêtage'!M166</f>
        <v>0</v>
      </c>
      <c r="F172" s="432">
        <f>$F$11*'D) Ecrêtage'!C166</f>
        <v>78817.465346410521</v>
      </c>
      <c r="G172" s="55">
        <f t="shared" si="2"/>
        <v>132210.76034641051</v>
      </c>
    </row>
    <row r="173" spans="1:7" x14ac:dyDescent="0.25">
      <c r="A173" s="49">
        <f>'A) Base RI'!A168</f>
        <v>5673</v>
      </c>
      <c r="B173" s="286" t="str">
        <f>'A) Base RI'!B168</f>
        <v>Hermenches</v>
      </c>
      <c r="C173" s="10">
        <f>'A) Base RI'!V168</f>
        <v>371</v>
      </c>
      <c r="D173" s="432">
        <f>'C) Prél. conj.'!H167</f>
        <v>5264.2849999999999</v>
      </c>
      <c r="E173" s="10">
        <f>'D) Ecrêtage'!M167</f>
        <v>0</v>
      </c>
      <c r="F173" s="432">
        <f>$F$11*'D) Ecrêtage'!C167</f>
        <v>124706.51260321461</v>
      </c>
      <c r="G173" s="55">
        <f t="shared" si="2"/>
        <v>129970.79760321461</v>
      </c>
    </row>
    <row r="174" spans="1:7" x14ac:dyDescent="0.25">
      <c r="A174" s="49">
        <f>'A) Base RI'!A169</f>
        <v>5674</v>
      </c>
      <c r="B174" s="286" t="str">
        <f>'A) Base RI'!B169</f>
        <v>Lovatens</v>
      </c>
      <c r="C174" s="10">
        <f>'A) Base RI'!V169</f>
        <v>146</v>
      </c>
      <c r="D174" s="432">
        <f>'C) Prél. conj.'!H168</f>
        <v>19001.95</v>
      </c>
      <c r="E174" s="10">
        <f>'D) Ecrêtage'!M168</f>
        <v>0</v>
      </c>
      <c r="F174" s="432">
        <f>$F$11*'D) Ecrêtage'!C168</f>
        <v>51422.610650421972</v>
      </c>
      <c r="G174" s="55">
        <f t="shared" si="2"/>
        <v>70424.560650421976</v>
      </c>
    </row>
    <row r="175" spans="1:7" x14ac:dyDescent="0.25">
      <c r="A175" s="49">
        <f>'A) Base RI'!A170</f>
        <v>5675</v>
      </c>
      <c r="B175" s="286" t="str">
        <f>'A) Base RI'!B170</f>
        <v>Lucens</v>
      </c>
      <c r="C175" s="10">
        <f>'A) Base RI'!V170</f>
        <v>4373</v>
      </c>
      <c r="D175" s="432">
        <f>'C) Prél. conj.'!H169</f>
        <v>527240.68999999994</v>
      </c>
      <c r="E175" s="10">
        <f>'D) Ecrêtage'!M169</f>
        <v>0</v>
      </c>
      <c r="F175" s="432">
        <f>$F$11*'D) Ecrêtage'!C169</f>
        <v>1282380.3118834756</v>
      </c>
      <c r="G175" s="55">
        <f t="shared" si="2"/>
        <v>1809621.0018834756</v>
      </c>
    </row>
    <row r="176" spans="1:7" x14ac:dyDescent="0.25">
      <c r="A176" s="49">
        <f>'A) Base RI'!A171</f>
        <v>5678</v>
      </c>
      <c r="B176" s="286" t="str">
        <f>'A) Base RI'!B171</f>
        <v>Moudon</v>
      </c>
      <c r="C176" s="10">
        <f>'A) Base RI'!V171</f>
        <v>6120</v>
      </c>
      <c r="D176" s="432">
        <f>'C) Prél. conj.'!H170</f>
        <v>935383.995</v>
      </c>
      <c r="E176" s="10">
        <f>'D) Ecrêtage'!M170</f>
        <v>0</v>
      </c>
      <c r="F176" s="432">
        <f>$F$11*'D) Ecrêtage'!C170</f>
        <v>1522177.7601844252</v>
      </c>
      <c r="G176" s="55">
        <f t="shared" si="2"/>
        <v>2457561.755184425</v>
      </c>
    </row>
    <row r="177" spans="1:7" x14ac:dyDescent="0.25">
      <c r="A177" s="49">
        <f>'A) Base RI'!A172</f>
        <v>5680</v>
      </c>
      <c r="B177" s="286" t="str">
        <f>'A) Base RI'!B172</f>
        <v>Ogens</v>
      </c>
      <c r="C177" s="10">
        <f>'A) Base RI'!V172</f>
        <v>321</v>
      </c>
      <c r="D177" s="432">
        <f>'C) Prél. conj.'!H171</f>
        <v>25093.574999999997</v>
      </c>
      <c r="E177" s="10">
        <f>'D) Ecrêtage'!M171</f>
        <v>0</v>
      </c>
      <c r="F177" s="432">
        <f>$F$11*'D) Ecrêtage'!C171</f>
        <v>103662.1291873172</v>
      </c>
      <c r="G177" s="55">
        <f t="shared" si="2"/>
        <v>128755.7041873172</v>
      </c>
    </row>
    <row r="178" spans="1:7" x14ac:dyDescent="0.25">
      <c r="A178" s="49">
        <f>'A) Base RI'!A173</f>
        <v>5683</v>
      </c>
      <c r="B178" s="286" t="str">
        <f>'A) Base RI'!B173</f>
        <v>Prévonloup</v>
      </c>
      <c r="C178" s="10">
        <f>'A) Base RI'!V173</f>
        <v>215</v>
      </c>
      <c r="D178" s="432">
        <f>'C) Prél. conj.'!H172</f>
        <v>21444.05</v>
      </c>
      <c r="E178" s="10">
        <f>'D) Ecrêtage'!M172</f>
        <v>0</v>
      </c>
      <c r="F178" s="432">
        <f>$F$11*'D) Ecrêtage'!C172</f>
        <v>65678.676153799475</v>
      </c>
      <c r="G178" s="55">
        <f t="shared" si="2"/>
        <v>87122.726153799478</v>
      </c>
    </row>
    <row r="179" spans="1:7" x14ac:dyDescent="0.25">
      <c r="A179" s="49">
        <f>'A) Base RI'!A174</f>
        <v>5684</v>
      </c>
      <c r="B179" s="286" t="str">
        <f>'A) Base RI'!B174</f>
        <v>Rossenges</v>
      </c>
      <c r="C179" s="10">
        <f>'A) Base RI'!V174</f>
        <v>93</v>
      </c>
      <c r="D179" s="432">
        <f>'C) Prél. conj.'!H173</f>
        <v>0</v>
      </c>
      <c r="E179" s="10">
        <f>'D) Ecrêtage'!M173</f>
        <v>0</v>
      </c>
      <c r="F179" s="432">
        <f>$F$11*'D) Ecrêtage'!C173</f>
        <v>39670.797179087444</v>
      </c>
      <c r="G179" s="55">
        <f t="shared" si="2"/>
        <v>39670.797179087444</v>
      </c>
    </row>
    <row r="180" spans="1:7" x14ac:dyDescent="0.25">
      <c r="A180" s="49">
        <f>'A) Base RI'!A175</f>
        <v>5688</v>
      </c>
      <c r="B180" s="286" t="str">
        <f>'A) Base RI'!B175</f>
        <v>Syens</v>
      </c>
      <c r="C180" s="10">
        <f>'A) Base RI'!V175</f>
        <v>161</v>
      </c>
      <c r="D180" s="432">
        <f>'C) Prél. conj.'!H174</f>
        <v>12990.099999999999</v>
      </c>
      <c r="E180" s="10">
        <f>'D) Ecrêtage'!M174</f>
        <v>0</v>
      </c>
      <c r="F180" s="432">
        <f>$F$11*'D) Ecrêtage'!C174</f>
        <v>76155.509888387853</v>
      </c>
      <c r="G180" s="55">
        <f t="shared" si="2"/>
        <v>89145.609888387844</v>
      </c>
    </row>
    <row r="181" spans="1:7" x14ac:dyDescent="0.25">
      <c r="A181" s="49">
        <f>'A) Base RI'!A176</f>
        <v>5690</v>
      </c>
      <c r="B181" s="286" t="str">
        <f>'A) Base RI'!B176</f>
        <v>Villars-le-Comte</v>
      </c>
      <c r="C181" s="10">
        <f>'A) Base RI'!V176</f>
        <v>133</v>
      </c>
      <c r="D181" s="432">
        <f>'C) Prél. conj.'!H175</f>
        <v>9707.25</v>
      </c>
      <c r="E181" s="10">
        <f>'D) Ecrêtage'!M175</f>
        <v>0</v>
      </c>
      <c r="F181" s="432">
        <f>$F$11*'D) Ecrêtage'!C175</f>
        <v>42799.048206599102</v>
      </c>
      <c r="G181" s="55">
        <f t="shared" si="2"/>
        <v>52506.298206599102</v>
      </c>
    </row>
    <row r="182" spans="1:7" x14ac:dyDescent="0.25">
      <c r="A182" s="49">
        <f>'A) Base RI'!A177</f>
        <v>5692</v>
      </c>
      <c r="B182" s="286" t="str">
        <f>'A) Base RI'!B177</f>
        <v>Vucherens</v>
      </c>
      <c r="C182" s="10">
        <f>'A) Base RI'!V177</f>
        <v>623</v>
      </c>
      <c r="D182" s="432">
        <f>'C) Prél. conj.'!H176</f>
        <v>100297.61</v>
      </c>
      <c r="E182" s="10">
        <f>'D) Ecrêtage'!M176</f>
        <v>0</v>
      </c>
      <c r="F182" s="432">
        <f>$F$11*'D) Ecrêtage'!C176</f>
        <v>229151.68092449469</v>
      </c>
      <c r="G182" s="55">
        <f t="shared" si="2"/>
        <v>329449.29092449468</v>
      </c>
    </row>
    <row r="183" spans="1:7" x14ac:dyDescent="0.25">
      <c r="A183" s="49">
        <f>'A) Base RI'!A178</f>
        <v>5693</v>
      </c>
      <c r="B183" s="286" t="str">
        <f>'A) Base RI'!B178</f>
        <v>Montanaire</v>
      </c>
      <c r="C183" s="10">
        <f>'A) Base RI'!V178</f>
        <v>2768</v>
      </c>
      <c r="D183" s="432">
        <f>'C) Prél. conj.'!H177</f>
        <v>261730.465</v>
      </c>
      <c r="E183" s="10">
        <f>'D) Ecrêtage'!M177</f>
        <v>0</v>
      </c>
      <c r="F183" s="432">
        <f>$F$11*'D) Ecrêtage'!C177</f>
        <v>922915.62653798948</v>
      </c>
      <c r="G183" s="55">
        <f t="shared" si="2"/>
        <v>1184646.0915379894</v>
      </c>
    </row>
    <row r="184" spans="1:7" x14ac:dyDescent="0.25">
      <c r="A184" s="49">
        <f>'A) Base RI'!A179</f>
        <v>5701</v>
      </c>
      <c r="B184" s="286" t="str">
        <f>'A) Base RI'!B179</f>
        <v>Arnex-sur-Nyon</v>
      </c>
      <c r="C184" s="10">
        <f>'A) Base RI'!V179</f>
        <v>226</v>
      </c>
      <c r="D184" s="432">
        <f>'C) Prél. conj.'!H178</f>
        <v>81695.395000000004</v>
      </c>
      <c r="E184" s="10">
        <f>'D) Ecrêtage'!M178</f>
        <v>59114.326879319306</v>
      </c>
      <c r="F184" s="432">
        <f>$F$11*'D) Ecrêtage'!C178</f>
        <v>176665.77757981687</v>
      </c>
      <c r="G184" s="55">
        <f t="shared" si="2"/>
        <v>317475.49945913622</v>
      </c>
    </row>
    <row r="185" spans="1:7" x14ac:dyDescent="0.25">
      <c r="A185" s="49">
        <f>'A) Base RI'!A180</f>
        <v>5702</v>
      </c>
      <c r="B185" s="286" t="str">
        <f>'A) Base RI'!B180</f>
        <v>Arzier-Le Muids</v>
      </c>
      <c r="C185" s="10">
        <f>'A) Base RI'!V180</f>
        <v>2947</v>
      </c>
      <c r="D185" s="432">
        <f>'C) Prél. conj.'!H179</f>
        <v>756387.26</v>
      </c>
      <c r="E185" s="10">
        <f>'D) Ecrêtage'!M179</f>
        <v>434675.88458778005</v>
      </c>
      <c r="F185" s="432">
        <f>$F$11*'D) Ecrêtage'!C179</f>
        <v>2132162.9664030881</v>
      </c>
      <c r="G185" s="55">
        <f t="shared" si="2"/>
        <v>3323226.1109908684</v>
      </c>
    </row>
    <row r="186" spans="1:7" x14ac:dyDescent="0.25">
      <c r="A186" s="49">
        <f>'A) Base RI'!A181</f>
        <v>5703</v>
      </c>
      <c r="B186" s="286" t="str">
        <f>'A) Base RI'!B181</f>
        <v>Bassins</v>
      </c>
      <c r="C186" s="10">
        <f>'A) Base RI'!V181</f>
        <v>1487</v>
      </c>
      <c r="D186" s="432">
        <f>'C) Prél. conj.'!H180</f>
        <v>248888.22999999998</v>
      </c>
      <c r="E186" s="10">
        <f>'D) Ecrêtage'!M180</f>
        <v>0</v>
      </c>
      <c r="F186" s="432">
        <f>$F$11*'D) Ecrêtage'!C180</f>
        <v>814517.90862574184</v>
      </c>
      <c r="G186" s="55">
        <f t="shared" si="2"/>
        <v>1063406.1386257419</v>
      </c>
    </row>
    <row r="187" spans="1:7" x14ac:dyDescent="0.25">
      <c r="A187" s="49">
        <f>'A) Base RI'!A182</f>
        <v>5704</v>
      </c>
      <c r="B187" s="286" t="str">
        <f>'A) Base RI'!B182</f>
        <v>Begnins</v>
      </c>
      <c r="C187" s="10">
        <f>'A) Base RI'!V182</f>
        <v>1941</v>
      </c>
      <c r="D187" s="432">
        <f>'C) Prél. conj.'!H181</f>
        <v>319835.36499999999</v>
      </c>
      <c r="E187" s="10">
        <f>'D) Ecrêtage'!M181</f>
        <v>2387244.5146253328</v>
      </c>
      <c r="F187" s="432">
        <f>$F$11*'D) Ecrêtage'!C181</f>
        <v>2467240.6251565297</v>
      </c>
      <c r="G187" s="55">
        <f t="shared" si="2"/>
        <v>5174320.5047818627</v>
      </c>
    </row>
    <row r="188" spans="1:7" x14ac:dyDescent="0.25">
      <c r="A188" s="49">
        <f>'A) Base RI'!A183</f>
        <v>5705</v>
      </c>
      <c r="B188" s="286" t="str">
        <f>'A) Base RI'!B183</f>
        <v>Bogis-Bossey</v>
      </c>
      <c r="C188" s="10">
        <f>'A) Base RI'!V183</f>
        <v>888</v>
      </c>
      <c r="D188" s="432">
        <f>'C) Prél. conj.'!H182</f>
        <v>286223.84000000003</v>
      </c>
      <c r="E188" s="10">
        <f>'D) Ecrêtage'!M182</f>
        <v>135995.51926777809</v>
      </c>
      <c r="F188" s="432">
        <f>$F$11*'D) Ecrêtage'!C182</f>
        <v>633484.54399883409</v>
      </c>
      <c r="G188" s="55">
        <f t="shared" si="2"/>
        <v>1055703.9032666122</v>
      </c>
    </row>
    <row r="189" spans="1:7" x14ac:dyDescent="0.25">
      <c r="A189" s="49">
        <f>'A) Base RI'!A184</f>
        <v>5706</v>
      </c>
      <c r="B189" s="286" t="str">
        <f>'A) Base RI'!B184</f>
        <v>Borex</v>
      </c>
      <c r="C189" s="10">
        <f>'A) Base RI'!V184</f>
        <v>1165</v>
      </c>
      <c r="D189" s="432">
        <f>'C) Prél. conj.'!H183</f>
        <v>163044.04499999998</v>
      </c>
      <c r="E189" s="10">
        <f>'D) Ecrêtage'!M183</f>
        <v>188636.60233762339</v>
      </c>
      <c r="F189" s="432">
        <f>$F$11*'D) Ecrêtage'!C183</f>
        <v>868263.06550161785</v>
      </c>
      <c r="G189" s="55">
        <f t="shared" si="2"/>
        <v>1219943.7128392414</v>
      </c>
    </row>
    <row r="190" spans="1:7" x14ac:dyDescent="0.25">
      <c r="A190" s="49">
        <f>'A) Base RI'!A185</f>
        <v>5707</v>
      </c>
      <c r="B190" s="286" t="str">
        <f>'A) Base RI'!B185</f>
        <v>Chavannes-de-Bogis</v>
      </c>
      <c r="C190" s="10">
        <f>'A) Base RI'!V185</f>
        <v>1330</v>
      </c>
      <c r="D190" s="432">
        <f>'C) Prél. conj.'!H184</f>
        <v>636337.80999999994</v>
      </c>
      <c r="E190" s="10">
        <f>'D) Ecrêtage'!M184</f>
        <v>336201.60886287602</v>
      </c>
      <c r="F190" s="432">
        <f>$F$11*'D) Ecrêtage'!C184</f>
        <v>1073274.750694439</v>
      </c>
      <c r="G190" s="55">
        <f t="shared" si="2"/>
        <v>2045814.1695573148</v>
      </c>
    </row>
    <row r="191" spans="1:7" x14ac:dyDescent="0.25">
      <c r="A191" s="49">
        <f>'A) Base RI'!A186</f>
        <v>5708</v>
      </c>
      <c r="B191" s="286" t="str">
        <f>'A) Base RI'!B186</f>
        <v>Chavannes-des-Bois</v>
      </c>
      <c r="C191" s="10">
        <f>'A) Base RI'!V186</f>
        <v>1005</v>
      </c>
      <c r="D191" s="432">
        <f>'C) Prél. conj.'!H185</f>
        <v>144971.82499999998</v>
      </c>
      <c r="E191" s="10">
        <f>'D) Ecrêtage'!M185</f>
        <v>307828.32697678165</v>
      </c>
      <c r="F191" s="432">
        <f>$F$11*'D) Ecrêtage'!C185</f>
        <v>816973.55123856536</v>
      </c>
      <c r="G191" s="55">
        <f t="shared" si="2"/>
        <v>1269773.7032153469</v>
      </c>
    </row>
    <row r="192" spans="1:7" x14ac:dyDescent="0.25">
      <c r="A192" s="49">
        <f>'A) Base RI'!A187</f>
        <v>5709</v>
      </c>
      <c r="B192" s="286" t="str">
        <f>'A) Base RI'!B187</f>
        <v>Chéserex</v>
      </c>
      <c r="C192" s="10">
        <f>'A) Base RI'!V187</f>
        <v>1263</v>
      </c>
      <c r="D192" s="432">
        <f>'C) Prél. conj.'!H186</f>
        <v>931836.8</v>
      </c>
      <c r="E192" s="10">
        <f>'D) Ecrêtage'!M186</f>
        <v>395073.315458728</v>
      </c>
      <c r="F192" s="432">
        <f>$F$11*'D) Ecrêtage'!C186</f>
        <v>1077188.4464318333</v>
      </c>
      <c r="G192" s="55">
        <f t="shared" si="2"/>
        <v>2404098.5618905611</v>
      </c>
    </row>
    <row r="193" spans="1:7" x14ac:dyDescent="0.25">
      <c r="A193" s="49">
        <f>'A) Base RI'!A188</f>
        <v>5710</v>
      </c>
      <c r="B193" s="286" t="str">
        <f>'A) Base RI'!B188</f>
        <v>Coinsins</v>
      </c>
      <c r="C193" s="10">
        <f>'A) Base RI'!V188</f>
        <v>508</v>
      </c>
      <c r="D193" s="432">
        <f>'C) Prél. conj.'!H187</f>
        <v>93103.86</v>
      </c>
      <c r="E193" s="10">
        <f>'D) Ecrêtage'!M187</f>
        <v>295945.87822951598</v>
      </c>
      <c r="F193" s="432">
        <f>$F$11*'D) Ecrêtage'!C187</f>
        <v>529340.36218300217</v>
      </c>
      <c r="G193" s="55">
        <f t="shared" si="2"/>
        <v>918390.10041251814</v>
      </c>
    </row>
    <row r="194" spans="1:7" x14ac:dyDescent="0.25">
      <c r="A194" s="49">
        <f>'A) Base RI'!A189</f>
        <v>5711</v>
      </c>
      <c r="B194" s="286" t="str">
        <f>'A) Base RI'!B189</f>
        <v>Commugny</v>
      </c>
      <c r="C194" s="10">
        <f>'A) Base RI'!V189</f>
        <v>3001</v>
      </c>
      <c r="D194" s="432">
        <f>'C) Prél. conj.'!H188</f>
        <v>1103213.575</v>
      </c>
      <c r="E194" s="10">
        <f>'D) Ecrêtage'!M188</f>
        <v>2564469.4422120438</v>
      </c>
      <c r="F194" s="432">
        <f>$F$11*'D) Ecrêtage'!C188</f>
        <v>3490623.4800696322</v>
      </c>
      <c r="G194" s="55">
        <f t="shared" si="2"/>
        <v>7158306.4972816762</v>
      </c>
    </row>
    <row r="195" spans="1:7" x14ac:dyDescent="0.25">
      <c r="A195" s="49">
        <f>'A) Base RI'!A190</f>
        <v>5712</v>
      </c>
      <c r="B195" s="286" t="str">
        <f>'A) Base RI'!B190</f>
        <v>Coppet</v>
      </c>
      <c r="C195" s="10">
        <f>'A) Base RI'!V190</f>
        <v>3211</v>
      </c>
      <c r="D195" s="432">
        <f>'C) Prél. conj.'!H189</f>
        <v>1067851.45</v>
      </c>
      <c r="E195" s="10">
        <f>'D) Ecrêtage'!M189</f>
        <v>3322902.3044926971</v>
      </c>
      <c r="F195" s="432">
        <f>$F$11*'D) Ecrêtage'!C189</f>
        <v>4069579.6840086896</v>
      </c>
      <c r="G195" s="55">
        <f t="shared" si="2"/>
        <v>8460333.4385013878</v>
      </c>
    </row>
    <row r="196" spans="1:7" x14ac:dyDescent="0.25">
      <c r="A196" s="49">
        <f>'A) Base RI'!A191</f>
        <v>5713</v>
      </c>
      <c r="B196" s="286" t="str">
        <f>'A) Base RI'!B191</f>
        <v>Crans</v>
      </c>
      <c r="C196" s="10">
        <f>'A) Base RI'!V191</f>
        <v>2373</v>
      </c>
      <c r="D196" s="432">
        <f>'C) Prél. conj.'!H190</f>
        <v>1655105.51</v>
      </c>
      <c r="E196" s="10">
        <f>'D) Ecrêtage'!M190</f>
        <v>4158581.8954400276</v>
      </c>
      <c r="F196" s="432">
        <f>$F$11*'D) Ecrêtage'!C190</f>
        <v>3688542.8562170085</v>
      </c>
      <c r="G196" s="55">
        <f t="shared" si="2"/>
        <v>9502230.2616570368</v>
      </c>
    </row>
    <row r="197" spans="1:7" x14ac:dyDescent="0.25">
      <c r="A197" s="49">
        <f>'A) Base RI'!A192</f>
        <v>5714</v>
      </c>
      <c r="B197" s="286" t="str">
        <f>'A) Base RI'!B192</f>
        <v>Crassier</v>
      </c>
      <c r="C197" s="10">
        <f>'A) Base RI'!V192</f>
        <v>1228</v>
      </c>
      <c r="D197" s="432">
        <f>'C) Prél. conj.'!H191</f>
        <v>351015.245</v>
      </c>
      <c r="E197" s="10">
        <f>'D) Ecrêtage'!M191</f>
        <v>36307.283089233526</v>
      </c>
      <c r="F197" s="432">
        <f>$F$11*'D) Ecrêtage'!C191</f>
        <v>757645.52880829258</v>
      </c>
      <c r="G197" s="55">
        <f t="shared" si="2"/>
        <v>1144968.0568975261</v>
      </c>
    </row>
    <row r="198" spans="1:7" x14ac:dyDescent="0.25">
      <c r="A198" s="49">
        <f>'A) Base RI'!A193</f>
        <v>5715</v>
      </c>
      <c r="B198" s="286" t="str">
        <f>'A) Base RI'!B193</f>
        <v>Duillier</v>
      </c>
      <c r="C198" s="10">
        <f>'A) Base RI'!V193</f>
        <v>1146</v>
      </c>
      <c r="D198" s="432">
        <f>'C) Prél. conj.'!H192</f>
        <v>462986.87</v>
      </c>
      <c r="E198" s="10">
        <f>'D) Ecrêtage'!M192</f>
        <v>221758.71068597963</v>
      </c>
      <c r="F198" s="432">
        <f>$F$11*'D) Ecrêtage'!C192</f>
        <v>858351.5097669994</v>
      </c>
      <c r="G198" s="55">
        <f t="shared" si="2"/>
        <v>1543097.0904529789</v>
      </c>
    </row>
    <row r="199" spans="1:7" x14ac:dyDescent="0.25">
      <c r="A199" s="49">
        <f>'A) Base RI'!A194</f>
        <v>5716</v>
      </c>
      <c r="B199" s="286" t="str">
        <f>'A) Base RI'!B194</f>
        <v>Eysins</v>
      </c>
      <c r="C199" s="10">
        <f>'A) Base RI'!V194</f>
        <v>1736</v>
      </c>
      <c r="D199" s="432">
        <f>'C) Prél. conj.'!H193</f>
        <v>222904.06</v>
      </c>
      <c r="E199" s="10">
        <f>'D) Ecrêtage'!M193</f>
        <v>2713357.4087786069</v>
      </c>
      <c r="F199" s="432">
        <f>$F$11*'D) Ecrêtage'!C193</f>
        <v>2485664.9086156427</v>
      </c>
      <c r="G199" s="55">
        <f t="shared" si="2"/>
        <v>5421926.3773942497</v>
      </c>
    </row>
    <row r="200" spans="1:7" x14ac:dyDescent="0.25">
      <c r="A200" s="49">
        <f>'A) Base RI'!A195</f>
        <v>5717</v>
      </c>
      <c r="B200" s="286" t="str">
        <f>'A) Base RI'!B195</f>
        <v>Founex</v>
      </c>
      <c r="C200" s="10">
        <f>'A) Base RI'!V195</f>
        <v>3822</v>
      </c>
      <c r="D200" s="432">
        <f>'C) Prél. conj.'!H194</f>
        <v>893633.59999999986</v>
      </c>
      <c r="E200" s="10">
        <f>'D) Ecrêtage'!M194</f>
        <v>4067493.293951462</v>
      </c>
      <c r="F200" s="432">
        <f>$F$11*'D) Ecrêtage'!C194</f>
        <v>4764286.8137152912</v>
      </c>
      <c r="G200" s="55">
        <f t="shared" si="2"/>
        <v>9725413.7076667529</v>
      </c>
    </row>
    <row r="201" spans="1:7" x14ac:dyDescent="0.25">
      <c r="A201" s="49">
        <f>'A) Base RI'!A196</f>
        <v>5718</v>
      </c>
      <c r="B201" s="286" t="str">
        <f>'A) Base RI'!B196</f>
        <v>Genolier</v>
      </c>
      <c r="C201" s="10">
        <f>'A) Base RI'!V196</f>
        <v>2022</v>
      </c>
      <c r="D201" s="432">
        <f>'C) Prél. conj.'!H195</f>
        <v>683896.73499999999</v>
      </c>
      <c r="E201" s="10">
        <f>'D) Ecrêtage'!M195</f>
        <v>1698908.5128541163</v>
      </c>
      <c r="F201" s="432">
        <f>$F$11*'D) Ecrêtage'!C195</f>
        <v>2344468.5905281985</v>
      </c>
      <c r="G201" s="55">
        <f t="shared" si="2"/>
        <v>4727273.8383823149</v>
      </c>
    </row>
    <row r="202" spans="1:7" x14ac:dyDescent="0.25">
      <c r="A202" s="49">
        <f>'A) Base RI'!A197</f>
        <v>5719</v>
      </c>
      <c r="B202" s="286" t="str">
        <f>'A) Base RI'!B197</f>
        <v>Gingins</v>
      </c>
      <c r="C202" s="10">
        <f>'A) Base RI'!V197</f>
        <v>1265</v>
      </c>
      <c r="D202" s="432">
        <f>'C) Prél. conj.'!H196</f>
        <v>401597.29</v>
      </c>
      <c r="E202" s="10">
        <f>'D) Ecrêtage'!M196</f>
        <v>2076324.5749000541</v>
      </c>
      <c r="F202" s="432">
        <f>$F$11*'D) Ecrêtage'!C196</f>
        <v>1844811.5289787473</v>
      </c>
      <c r="G202" s="55">
        <f t="shared" si="2"/>
        <v>4322733.3938788017</v>
      </c>
    </row>
    <row r="203" spans="1:7" x14ac:dyDescent="0.25">
      <c r="A203" s="49">
        <f>'A) Base RI'!A198</f>
        <v>5720</v>
      </c>
      <c r="B203" s="286" t="str">
        <f>'A) Base RI'!B198</f>
        <v>Givrins</v>
      </c>
      <c r="C203" s="10">
        <f>'A) Base RI'!V198</f>
        <v>1010</v>
      </c>
      <c r="D203" s="432">
        <f>'C) Prél. conj.'!H197</f>
        <v>271278.55500000005</v>
      </c>
      <c r="E203" s="10">
        <f>'D) Ecrêtage'!M197</f>
        <v>464202.81237380998</v>
      </c>
      <c r="F203" s="432">
        <f>$F$11*'D) Ecrêtage'!C197</f>
        <v>911937.57222642913</v>
      </c>
      <c r="G203" s="55">
        <f t="shared" si="2"/>
        <v>1647418.939600239</v>
      </c>
    </row>
    <row r="204" spans="1:7" x14ac:dyDescent="0.25">
      <c r="A204" s="49">
        <f>'A) Base RI'!A199</f>
        <v>5721</v>
      </c>
      <c r="B204" s="286" t="str">
        <f>'A) Base RI'!B199</f>
        <v>Gland</v>
      </c>
      <c r="C204" s="10">
        <f>'A) Base RI'!V199</f>
        <v>13306</v>
      </c>
      <c r="D204" s="432">
        <f>'C) Prél. conj.'!H198</f>
        <v>2525722.87</v>
      </c>
      <c r="E204" s="10">
        <f>'D) Ecrêtage'!M198</f>
        <v>959842.28155458393</v>
      </c>
      <c r="F204" s="432">
        <f>$F$11*'D) Ecrêtage'!C198</f>
        <v>8816072.7303525526</v>
      </c>
      <c r="G204" s="55">
        <f t="shared" ref="G204:G267" si="3">D204+F204+E204</f>
        <v>12301637.881907135</v>
      </c>
    </row>
    <row r="205" spans="1:7" x14ac:dyDescent="0.25">
      <c r="A205" s="49">
        <f>'A) Base RI'!A200</f>
        <v>5722</v>
      </c>
      <c r="B205" s="286" t="str">
        <f>'A) Base RI'!B200</f>
        <v>Grens</v>
      </c>
      <c r="C205" s="10">
        <f>'A) Base RI'!V200</f>
        <v>401</v>
      </c>
      <c r="D205" s="432">
        <f>'C) Prél. conj.'!H199</f>
        <v>12375.334999999999</v>
      </c>
      <c r="E205" s="10">
        <f>'D) Ecrêtage'!M199</f>
        <v>35937.437815488287</v>
      </c>
      <c r="F205" s="432">
        <f>$F$11*'D) Ecrêtage'!C199</f>
        <v>272115.78092309774</v>
      </c>
      <c r="G205" s="55">
        <f t="shared" si="3"/>
        <v>320428.55373858602</v>
      </c>
    </row>
    <row r="206" spans="1:7" x14ac:dyDescent="0.25">
      <c r="A206" s="49">
        <f>'A) Base RI'!A201</f>
        <v>5723</v>
      </c>
      <c r="B206" s="286" t="str">
        <f>'A) Base RI'!B201</f>
        <v>Mies</v>
      </c>
      <c r="C206" s="10">
        <f>'A) Base RI'!V201</f>
        <v>2195</v>
      </c>
      <c r="D206" s="432">
        <f>'C) Prél. conj.'!H200</f>
        <v>1674563.0150000001</v>
      </c>
      <c r="E206" s="10">
        <f>'D) Ecrêtage'!M200</f>
        <v>2692072.5294267717</v>
      </c>
      <c r="F206" s="432">
        <f>$F$11*'D) Ecrêtage'!C200</f>
        <v>2999254.0921270913</v>
      </c>
      <c r="G206" s="55">
        <f t="shared" si="3"/>
        <v>7365889.6365538631</v>
      </c>
    </row>
    <row r="207" spans="1:7" x14ac:dyDescent="0.25">
      <c r="A207" s="49">
        <f>'A) Base RI'!A202</f>
        <v>5724</v>
      </c>
      <c r="B207" s="286" t="str">
        <f>'A) Base RI'!B202</f>
        <v>Nyon</v>
      </c>
      <c r="C207" s="10">
        <f>'A) Base RI'!V202</f>
        <v>22124</v>
      </c>
      <c r="D207" s="432">
        <f>'C) Prél. conj.'!H201</f>
        <v>6783547.1850000005</v>
      </c>
      <c r="E207" s="10">
        <f>'D) Ecrêtage'!M201</f>
        <v>5839265.1485482706</v>
      </c>
      <c r="F207" s="432">
        <f>$F$11*'D) Ecrêtage'!C201</f>
        <v>17825110.019461919</v>
      </c>
      <c r="G207" s="55">
        <f t="shared" si="3"/>
        <v>30447922.353010189</v>
      </c>
    </row>
    <row r="208" spans="1:7" x14ac:dyDescent="0.25">
      <c r="A208" s="49">
        <f>'A) Base RI'!A203</f>
        <v>5725</v>
      </c>
      <c r="B208" s="286" t="str">
        <f>'A) Base RI'!B203</f>
        <v>Prangins</v>
      </c>
      <c r="C208" s="10">
        <f>'A) Base RI'!V203</f>
        <v>4060</v>
      </c>
      <c r="D208" s="432">
        <f>'C) Prél. conj.'!H202</f>
        <v>1049962.0449999999</v>
      </c>
      <c r="E208" s="10">
        <f>'D) Ecrêtage'!M202</f>
        <v>2729524.0257285587</v>
      </c>
      <c r="F208" s="432">
        <f>$F$11*'D) Ecrêtage'!C202</f>
        <v>4329641.5292387046</v>
      </c>
      <c r="G208" s="55">
        <f t="shared" si="3"/>
        <v>8109127.5999672636</v>
      </c>
    </row>
    <row r="209" spans="1:7" x14ac:dyDescent="0.25">
      <c r="A209" s="49">
        <f>'A) Base RI'!A204</f>
        <v>5726</v>
      </c>
      <c r="B209" s="286" t="str">
        <f>'A) Base RI'!B204</f>
        <v>La Rippe</v>
      </c>
      <c r="C209" s="10">
        <f>'A) Base RI'!V204</f>
        <v>1165</v>
      </c>
      <c r="D209" s="432">
        <f>'C) Prél. conj.'!H203</f>
        <v>246771.04</v>
      </c>
      <c r="E209" s="10">
        <f>'D) Ecrêtage'!M203</f>
        <v>195645.19634399822</v>
      </c>
      <c r="F209" s="432">
        <f>$F$11*'D) Ecrêtage'!C203</f>
        <v>858002.05231868557</v>
      </c>
      <c r="G209" s="55">
        <f t="shared" si="3"/>
        <v>1300418.2886626837</v>
      </c>
    </row>
    <row r="210" spans="1:7" x14ac:dyDescent="0.25">
      <c r="A210" s="49">
        <f>'A) Base RI'!A205</f>
        <v>5727</v>
      </c>
      <c r="B210" s="286" t="str">
        <f>'A) Base RI'!B205</f>
        <v>Saint-Cergue</v>
      </c>
      <c r="C210" s="10">
        <f>'A) Base RI'!V205</f>
        <v>2755</v>
      </c>
      <c r="D210" s="432">
        <f>'C) Prél. conj.'!H204</f>
        <v>736560.51000000013</v>
      </c>
      <c r="E210" s="10">
        <f>'D) Ecrêtage'!M204</f>
        <v>0</v>
      </c>
      <c r="F210" s="432">
        <f>$F$11*'D) Ecrêtage'!C204</f>
        <v>1294606.8372150415</v>
      </c>
      <c r="G210" s="55">
        <f t="shared" si="3"/>
        <v>2031167.3472150415</v>
      </c>
    </row>
    <row r="211" spans="1:7" x14ac:dyDescent="0.25">
      <c r="A211" s="49">
        <f>'A) Base RI'!A206</f>
        <v>5728</v>
      </c>
      <c r="B211" s="286" t="str">
        <f>'A) Base RI'!B206</f>
        <v>Signy-Avenex</v>
      </c>
      <c r="C211" s="10">
        <f>'A) Base RI'!V206</f>
        <v>584</v>
      </c>
      <c r="D211" s="432">
        <f>'C) Prél. conj.'!H205</f>
        <v>176734.82</v>
      </c>
      <c r="E211" s="10">
        <f>'D) Ecrêtage'!M205</f>
        <v>539342.5762420164</v>
      </c>
      <c r="F211" s="432">
        <f>$F$11*'D) Ecrêtage'!C205</f>
        <v>688643.39236534806</v>
      </c>
      <c r="G211" s="55">
        <f t="shared" si="3"/>
        <v>1404720.7886073645</v>
      </c>
    </row>
    <row r="212" spans="1:7" x14ac:dyDescent="0.25">
      <c r="A212" s="49">
        <f>'A) Base RI'!A207</f>
        <v>5729</v>
      </c>
      <c r="B212" s="286" t="str">
        <f>'A) Base RI'!B207</f>
        <v>Tannay</v>
      </c>
      <c r="C212" s="10">
        <f>'A) Base RI'!V207</f>
        <v>1644</v>
      </c>
      <c r="D212" s="432">
        <f>'C) Prél. conj.'!H206</f>
        <v>632102.57500000007</v>
      </c>
      <c r="E212" s="10">
        <f>'D) Ecrêtage'!M206</f>
        <v>1664017.6307197495</v>
      </c>
      <c r="F212" s="432">
        <f>$F$11*'D) Ecrêtage'!C206</f>
        <v>1971516.7060343851</v>
      </c>
      <c r="G212" s="55">
        <f t="shared" si="3"/>
        <v>4267636.911754135</v>
      </c>
    </row>
    <row r="213" spans="1:7" x14ac:dyDescent="0.25">
      <c r="A213" s="49">
        <f>'A) Base RI'!A208</f>
        <v>5730</v>
      </c>
      <c r="B213" s="286" t="str">
        <f>'A) Base RI'!B208</f>
        <v>Trélex</v>
      </c>
      <c r="C213" s="10">
        <f>'A) Base RI'!V208</f>
        <v>1439</v>
      </c>
      <c r="D213" s="432">
        <f>'C) Prél. conj.'!H207</f>
        <v>782261.57500000007</v>
      </c>
      <c r="E213" s="10">
        <f>'D) Ecrêtage'!M207</f>
        <v>959190.77840234095</v>
      </c>
      <c r="F213" s="432">
        <f>$F$11*'D) Ecrêtage'!C207</f>
        <v>1525211.4231824286</v>
      </c>
      <c r="G213" s="55">
        <f t="shared" si="3"/>
        <v>3266663.7765847696</v>
      </c>
    </row>
    <row r="214" spans="1:7" x14ac:dyDescent="0.25">
      <c r="A214" s="49">
        <f>'A) Base RI'!A209</f>
        <v>5731</v>
      </c>
      <c r="B214" s="286" t="str">
        <f>'A) Base RI'!B209</f>
        <v>Le Vaud</v>
      </c>
      <c r="C214" s="10">
        <f>'A) Base RI'!V209</f>
        <v>1387</v>
      </c>
      <c r="D214" s="432">
        <f>'C) Prél. conj.'!H208</f>
        <v>135597.76000000001</v>
      </c>
      <c r="E214" s="10">
        <f>'D) Ecrêtage'!M208</f>
        <v>35972.87827000003</v>
      </c>
      <c r="F214" s="432">
        <f>$F$11*'D) Ecrêtage'!C208</f>
        <v>848614.93408683722</v>
      </c>
      <c r="G214" s="55">
        <f t="shared" si="3"/>
        <v>1020185.5723568372</v>
      </c>
    </row>
    <row r="215" spans="1:7" x14ac:dyDescent="0.25">
      <c r="A215" s="49">
        <f>'A) Base RI'!A210</f>
        <v>5732</v>
      </c>
      <c r="B215" s="286" t="str">
        <f>'A) Base RI'!B210</f>
        <v>Vich</v>
      </c>
      <c r="C215" s="10">
        <f>'A) Base RI'!V210</f>
        <v>1157</v>
      </c>
      <c r="D215" s="432">
        <f>'C) Prél. conj.'!H209</f>
        <v>132180.55499999999</v>
      </c>
      <c r="E215" s="10">
        <f>'D) Ecrêtage'!M209</f>
        <v>521764.16019251297</v>
      </c>
      <c r="F215" s="432">
        <f>$F$11*'D) Ecrêtage'!C209</f>
        <v>1055187.3503853474</v>
      </c>
      <c r="G215" s="55">
        <f t="shared" si="3"/>
        <v>1709132.0655778602</v>
      </c>
    </row>
    <row r="216" spans="1:7" x14ac:dyDescent="0.25">
      <c r="A216" s="49">
        <f>'A) Base RI'!A211</f>
        <v>5741</v>
      </c>
      <c r="B216" s="286" t="str">
        <f>'A) Base RI'!B211</f>
        <v>L'Abergement</v>
      </c>
      <c r="C216" s="10">
        <f>'A) Base RI'!V211</f>
        <v>256</v>
      </c>
      <c r="D216" s="432">
        <f>'C) Prél. conj.'!H210</f>
        <v>31332.945</v>
      </c>
      <c r="E216" s="10">
        <f>'D) Ecrêtage'!M210</f>
        <v>0</v>
      </c>
      <c r="F216" s="432">
        <f>$F$11*'D) Ecrêtage'!C210</f>
        <v>109586.12893188228</v>
      </c>
      <c r="G216" s="55">
        <f t="shared" si="3"/>
        <v>140919.07393188227</v>
      </c>
    </row>
    <row r="217" spans="1:7" x14ac:dyDescent="0.25">
      <c r="A217" s="49">
        <f>'A) Base RI'!A212</f>
        <v>5742</v>
      </c>
      <c r="B217" s="286" t="str">
        <f>'A) Base RI'!B212</f>
        <v>Agiez</v>
      </c>
      <c r="C217" s="10">
        <f>'A) Base RI'!V212</f>
        <v>375</v>
      </c>
      <c r="D217" s="432">
        <f>'C) Prél. conj.'!H211</f>
        <v>2261.56</v>
      </c>
      <c r="E217" s="10">
        <f>'D) Ecrêtage'!M211</f>
        <v>0</v>
      </c>
      <c r="F217" s="432">
        <f>$F$11*'D) Ecrêtage'!C211</f>
        <v>123885.1488746074</v>
      </c>
      <c r="G217" s="55">
        <f t="shared" si="3"/>
        <v>126146.7088746074</v>
      </c>
    </row>
    <row r="218" spans="1:7" x14ac:dyDescent="0.25">
      <c r="A218" s="49">
        <f>'A) Base RI'!A213</f>
        <v>5743</v>
      </c>
      <c r="B218" s="286" t="str">
        <f>'A) Base RI'!B213</f>
        <v>Arnex-sur-Orbe</v>
      </c>
      <c r="C218" s="10">
        <f>'A) Base RI'!V213</f>
        <v>665</v>
      </c>
      <c r="D218" s="432">
        <f>'C) Prél. conj.'!H212</f>
        <v>47199.57</v>
      </c>
      <c r="E218" s="10">
        <f>'D) Ecrêtage'!M212</f>
        <v>0</v>
      </c>
      <c r="F218" s="432">
        <f>$F$11*'D) Ecrêtage'!C212</f>
        <v>225980.54433289502</v>
      </c>
      <c r="G218" s="55">
        <f t="shared" si="3"/>
        <v>273180.11433289503</v>
      </c>
    </row>
    <row r="219" spans="1:7" x14ac:dyDescent="0.25">
      <c r="A219" s="49">
        <f>'A) Base RI'!A214</f>
        <v>5744</v>
      </c>
      <c r="B219" s="286" t="str">
        <f>'A) Base RI'!B214</f>
        <v>Ballaigues</v>
      </c>
      <c r="C219" s="10">
        <f>'A) Base RI'!V214</f>
        <v>1173</v>
      </c>
      <c r="D219" s="432">
        <f>'C) Prél. conj.'!H213</f>
        <v>595828.4</v>
      </c>
      <c r="E219" s="10">
        <f>'D) Ecrêtage'!M213</f>
        <v>0</v>
      </c>
      <c r="F219" s="432">
        <f>$F$11*'D) Ecrêtage'!C213</f>
        <v>600464.0288281003</v>
      </c>
      <c r="G219" s="55">
        <f t="shared" si="3"/>
        <v>1196292.4288281002</v>
      </c>
    </row>
    <row r="220" spans="1:7" x14ac:dyDescent="0.25">
      <c r="A220" s="49">
        <f>'A) Base RI'!A215</f>
        <v>5745</v>
      </c>
      <c r="B220" s="286" t="str">
        <f>'A) Base RI'!B215</f>
        <v>Baulmes</v>
      </c>
      <c r="C220" s="10">
        <f>'A) Base RI'!V215</f>
        <v>1126</v>
      </c>
      <c r="D220" s="432">
        <f>'C) Prél. conj.'!H214</f>
        <v>170044.535</v>
      </c>
      <c r="E220" s="10">
        <f>'D) Ecrêtage'!M214</f>
        <v>0</v>
      </c>
      <c r="F220" s="432">
        <f>$F$11*'D) Ecrêtage'!C214</f>
        <v>347163.4636754744</v>
      </c>
      <c r="G220" s="55">
        <f t="shared" si="3"/>
        <v>517207.99867547443</v>
      </c>
    </row>
    <row r="221" spans="1:7" x14ac:dyDescent="0.25">
      <c r="A221" s="49">
        <f>'A) Base RI'!A216</f>
        <v>5746</v>
      </c>
      <c r="B221" s="286" t="str">
        <f>'A) Base RI'!B216</f>
        <v>Bavois</v>
      </c>
      <c r="C221" s="10">
        <f>'A) Base RI'!V216</f>
        <v>978</v>
      </c>
      <c r="D221" s="432">
        <f>'C) Prél. conj.'!H215</f>
        <v>169935.845</v>
      </c>
      <c r="E221" s="10">
        <f>'D) Ecrêtage'!M215</f>
        <v>0</v>
      </c>
      <c r="F221" s="432">
        <f>$F$11*'D) Ecrêtage'!C215</f>
        <v>334196.49339077435</v>
      </c>
      <c r="G221" s="55">
        <f t="shared" si="3"/>
        <v>504132.33839077433</v>
      </c>
    </row>
    <row r="222" spans="1:7" x14ac:dyDescent="0.25">
      <c r="A222" s="49">
        <f>'A) Base RI'!A217</f>
        <v>5747</v>
      </c>
      <c r="B222" s="286" t="str">
        <f>'A) Base RI'!B217</f>
        <v>Bofflens</v>
      </c>
      <c r="C222" s="10">
        <f>'A) Base RI'!V217</f>
        <v>206</v>
      </c>
      <c r="D222" s="432">
        <f>'C) Prél. conj.'!H216</f>
        <v>180.78</v>
      </c>
      <c r="E222" s="10">
        <f>'D) Ecrêtage'!M216</f>
        <v>0</v>
      </c>
      <c r="F222" s="432">
        <f>$F$11*'D) Ecrêtage'!C216</f>
        <v>70821.044463655198</v>
      </c>
      <c r="G222" s="55">
        <f t="shared" si="3"/>
        <v>71001.824463655197</v>
      </c>
    </row>
    <row r="223" spans="1:7" x14ac:dyDescent="0.25">
      <c r="A223" s="49">
        <f>'A) Base RI'!A218</f>
        <v>5748</v>
      </c>
      <c r="B223" s="286" t="str">
        <f>'A) Base RI'!B218</f>
        <v>Bretonnières</v>
      </c>
      <c r="C223" s="10">
        <f>'A) Base RI'!V218</f>
        <v>266</v>
      </c>
      <c r="D223" s="432">
        <f>'C) Prél. conj.'!H217</f>
        <v>16887.16</v>
      </c>
      <c r="E223" s="10">
        <f>'D) Ecrêtage'!M217</f>
        <v>0</v>
      </c>
      <c r="F223" s="432">
        <f>$F$11*'D) Ecrêtage'!C217</f>
        <v>81007.838598810878</v>
      </c>
      <c r="G223" s="55">
        <f t="shared" si="3"/>
        <v>97894.998598810882</v>
      </c>
    </row>
    <row r="224" spans="1:7" x14ac:dyDescent="0.25">
      <c r="A224" s="49">
        <f>'A) Base RI'!A219</f>
        <v>5749</v>
      </c>
      <c r="B224" s="286" t="str">
        <f>'A) Base RI'!B219</f>
        <v>Chavornay</v>
      </c>
      <c r="C224" s="10">
        <f>'A) Base RI'!V219</f>
        <v>5366</v>
      </c>
      <c r="D224" s="432">
        <f>'C) Prél. conj.'!H218</f>
        <v>476008.64500000002</v>
      </c>
      <c r="E224" s="10">
        <f>'D) Ecrêtage'!M218</f>
        <v>0</v>
      </c>
      <c r="F224" s="432">
        <f>$F$11*'D) Ecrêtage'!C218</f>
        <v>1869709.3738899508</v>
      </c>
      <c r="G224" s="55">
        <f t="shared" si="3"/>
        <v>2345718.0188899506</v>
      </c>
    </row>
    <row r="225" spans="1:7" x14ac:dyDescent="0.25">
      <c r="A225" s="49">
        <f>'A) Base RI'!A220</f>
        <v>5750</v>
      </c>
      <c r="B225" s="286" t="str">
        <f>'A) Base RI'!B220</f>
        <v>Les Clées</v>
      </c>
      <c r="C225" s="10">
        <f>'A) Base RI'!V220</f>
        <v>182</v>
      </c>
      <c r="D225" s="432">
        <f>'C) Prél. conj.'!H219</f>
        <v>22556.965</v>
      </c>
      <c r="E225" s="10">
        <f>'D) Ecrêtage'!M219</f>
        <v>0</v>
      </c>
      <c r="F225" s="432">
        <f>$F$11*'D) Ecrêtage'!C219</f>
        <v>58769.128891614644</v>
      </c>
      <c r="G225" s="55">
        <f t="shared" si="3"/>
        <v>81326.093891614641</v>
      </c>
    </row>
    <row r="226" spans="1:7" x14ac:dyDescent="0.25">
      <c r="A226" s="49">
        <f>'A) Base RI'!A221</f>
        <v>5752</v>
      </c>
      <c r="B226" s="286" t="str">
        <f>'A) Base RI'!B221</f>
        <v>Croy</v>
      </c>
      <c r="C226" s="10">
        <f>'A) Base RI'!V221</f>
        <v>390</v>
      </c>
      <c r="D226" s="432">
        <f>'C) Prél. conj.'!H220</f>
        <v>19197.72</v>
      </c>
      <c r="E226" s="10">
        <f>'D) Ecrêtage'!M220</f>
        <v>0</v>
      </c>
      <c r="F226" s="432">
        <f>$F$11*'D) Ecrêtage'!C220</f>
        <v>117921.70040047812</v>
      </c>
      <c r="G226" s="55">
        <f t="shared" si="3"/>
        <v>137119.42040047812</v>
      </c>
    </row>
    <row r="227" spans="1:7" x14ac:dyDescent="0.25">
      <c r="A227" s="49">
        <f>'A) Base RI'!A222</f>
        <v>5754</v>
      </c>
      <c r="B227" s="286" t="str">
        <f>'A) Base RI'!B222</f>
        <v>Juriens</v>
      </c>
      <c r="C227" s="10">
        <f>'A) Base RI'!V222</f>
        <v>348</v>
      </c>
      <c r="D227" s="432">
        <f>'C) Prél. conj.'!H221</f>
        <v>65099.869999999995</v>
      </c>
      <c r="E227" s="10">
        <f>'D) Ecrêtage'!M221</f>
        <v>0</v>
      </c>
      <c r="F227" s="432">
        <f>$F$11*'D) Ecrêtage'!C221</f>
        <v>110638.59985726194</v>
      </c>
      <c r="G227" s="55">
        <f t="shared" si="3"/>
        <v>175738.46985726192</v>
      </c>
    </row>
    <row r="228" spans="1:7" x14ac:dyDescent="0.25">
      <c r="A228" s="49">
        <f>'A) Base RI'!A223</f>
        <v>5755</v>
      </c>
      <c r="B228" s="286" t="str">
        <f>'A) Base RI'!B223</f>
        <v>Lignerolle</v>
      </c>
      <c r="C228" s="10">
        <f>'A) Base RI'!V223</f>
        <v>409</v>
      </c>
      <c r="D228" s="432">
        <f>'C) Prél. conj.'!H222</f>
        <v>36656.605000000003</v>
      </c>
      <c r="E228" s="10">
        <f>'D) Ecrêtage'!M222</f>
        <v>0</v>
      </c>
      <c r="F228" s="432">
        <f>$F$11*'D) Ecrêtage'!C222</f>
        <v>131038.35065630953</v>
      </c>
      <c r="G228" s="55">
        <f t="shared" si="3"/>
        <v>167694.95565630952</v>
      </c>
    </row>
    <row r="229" spans="1:7" x14ac:dyDescent="0.25">
      <c r="A229" s="49">
        <f>'A) Base RI'!A224</f>
        <v>5756</v>
      </c>
      <c r="B229" s="286" t="str">
        <f>'A) Base RI'!B224</f>
        <v>Montcherand</v>
      </c>
      <c r="C229" s="10">
        <f>'A) Base RI'!V224</f>
        <v>502</v>
      </c>
      <c r="D229" s="432">
        <f>'C) Prél. conj.'!H223</f>
        <v>29969.08</v>
      </c>
      <c r="E229" s="10">
        <f>'D) Ecrêtage'!M223</f>
        <v>0</v>
      </c>
      <c r="F229" s="432">
        <f>$F$11*'D) Ecrêtage'!C223</f>
        <v>216303.99319570549</v>
      </c>
      <c r="G229" s="55">
        <f t="shared" si="3"/>
        <v>246273.07319570548</v>
      </c>
    </row>
    <row r="230" spans="1:7" x14ac:dyDescent="0.25">
      <c r="A230" s="49">
        <f>'A) Base RI'!A225</f>
        <v>5757</v>
      </c>
      <c r="B230" s="286" t="str">
        <f>'A) Base RI'!B225</f>
        <v>Orbe</v>
      </c>
      <c r="C230" s="10">
        <f>'A) Base RI'!V225</f>
        <v>7570</v>
      </c>
      <c r="D230" s="432">
        <f>'C) Prél. conj.'!H224</f>
        <v>1665678.925</v>
      </c>
      <c r="E230" s="10">
        <f>'D) Ecrêtage'!M224</f>
        <v>0</v>
      </c>
      <c r="F230" s="432">
        <f>$F$11*'D) Ecrêtage'!C224</f>
        <v>2636014.3231758508</v>
      </c>
      <c r="G230" s="55">
        <f t="shared" si="3"/>
        <v>4301693.2481758511</v>
      </c>
    </row>
    <row r="231" spans="1:7" x14ac:dyDescent="0.25">
      <c r="A231" s="49">
        <f>'A) Base RI'!A226</f>
        <v>5758</v>
      </c>
      <c r="B231" s="286" t="str">
        <f>'A) Base RI'!B226</f>
        <v>La Praz</v>
      </c>
      <c r="C231" s="10">
        <f>'A) Base RI'!V226</f>
        <v>182</v>
      </c>
      <c r="D231" s="432">
        <f>'C) Prél. conj.'!H225</f>
        <v>21886.690000000002</v>
      </c>
      <c r="E231" s="10">
        <f>'D) Ecrêtage'!M225</f>
        <v>0</v>
      </c>
      <c r="F231" s="432">
        <f>$F$11*'D) Ecrêtage'!C225</f>
        <v>58184.970251044993</v>
      </c>
      <c r="G231" s="55">
        <f t="shared" si="3"/>
        <v>80071.660251044988</v>
      </c>
    </row>
    <row r="232" spans="1:7" x14ac:dyDescent="0.25">
      <c r="A232" s="49">
        <f>'A) Base RI'!A227</f>
        <v>5759</v>
      </c>
      <c r="B232" s="286" t="str">
        <f>'A) Base RI'!B227</f>
        <v>Premier</v>
      </c>
      <c r="C232" s="10">
        <f>'A) Base RI'!V227</f>
        <v>232</v>
      </c>
      <c r="D232" s="432">
        <f>'C) Prél. conj.'!H226</f>
        <v>1323.1949999999999</v>
      </c>
      <c r="E232" s="10">
        <f>'D) Ecrêtage'!M226</f>
        <v>0</v>
      </c>
      <c r="F232" s="432">
        <f>$F$11*'D) Ecrêtage'!C226</f>
        <v>71941.383970799769</v>
      </c>
      <c r="G232" s="55">
        <f t="shared" si="3"/>
        <v>73264.578970799776</v>
      </c>
    </row>
    <row r="233" spans="1:7" x14ac:dyDescent="0.25">
      <c r="A233" s="49">
        <f>'A) Base RI'!A228</f>
        <v>5760</v>
      </c>
      <c r="B233" s="286" t="str">
        <f>'A) Base RI'!B228</f>
        <v>Rances</v>
      </c>
      <c r="C233" s="10">
        <f>'A) Base RI'!V228</f>
        <v>512</v>
      </c>
      <c r="D233" s="432">
        <f>'C) Prél. conj.'!H227</f>
        <v>56312.829999999994</v>
      </c>
      <c r="E233" s="10">
        <f>'D) Ecrêtage'!M227</f>
        <v>0</v>
      </c>
      <c r="F233" s="432">
        <f>$F$11*'D) Ecrêtage'!C227</f>
        <v>176582.58981768077</v>
      </c>
      <c r="G233" s="55">
        <f t="shared" si="3"/>
        <v>232895.41981768075</v>
      </c>
    </row>
    <row r="234" spans="1:7" x14ac:dyDescent="0.25">
      <c r="A234" s="49">
        <f>'A) Base RI'!A229</f>
        <v>5761</v>
      </c>
      <c r="B234" s="286" t="str">
        <f>'A) Base RI'!B229</f>
        <v>Romainmôtier-Envy</v>
      </c>
      <c r="C234" s="10">
        <f>'A) Base RI'!V229</f>
        <v>551</v>
      </c>
      <c r="D234" s="432">
        <f>'C) Prél. conj.'!H228</f>
        <v>95372.93</v>
      </c>
      <c r="E234" s="10">
        <f>'D) Ecrêtage'!M228</f>
        <v>0</v>
      </c>
      <c r="F234" s="432">
        <f>$F$11*'D) Ecrêtage'!C228</f>
        <v>157464.56379965943</v>
      </c>
      <c r="G234" s="55">
        <f t="shared" si="3"/>
        <v>252837.49379965942</v>
      </c>
    </row>
    <row r="235" spans="1:7" x14ac:dyDescent="0.25">
      <c r="A235" s="49">
        <f>'A) Base RI'!A230</f>
        <v>5762</v>
      </c>
      <c r="B235" s="286" t="str">
        <f>'A) Base RI'!B230</f>
        <v>Sergey</v>
      </c>
      <c r="C235" s="10">
        <f>'A) Base RI'!V230</f>
        <v>141</v>
      </c>
      <c r="D235" s="432">
        <f>'C) Prél. conj.'!H229</f>
        <v>3649.62</v>
      </c>
      <c r="E235" s="10">
        <f>'D) Ecrêtage'!M229</f>
        <v>0</v>
      </c>
      <c r="F235" s="432">
        <f>$F$11*'D) Ecrêtage'!C229</f>
        <v>46939.814166219403</v>
      </c>
      <c r="G235" s="55">
        <f t="shared" si="3"/>
        <v>50589.434166219406</v>
      </c>
    </row>
    <row r="236" spans="1:7" x14ac:dyDescent="0.25">
      <c r="A236" s="49">
        <f>'A) Base RI'!A231</f>
        <v>5763</v>
      </c>
      <c r="B236" s="286" t="str">
        <f>'A) Base RI'!B231</f>
        <v>Valeyres-sous-Rances</v>
      </c>
      <c r="C236" s="10">
        <f>'A) Base RI'!V231</f>
        <v>614</v>
      </c>
      <c r="D236" s="432">
        <f>'C) Prél. conj.'!H230</f>
        <v>23504.595000000001</v>
      </c>
      <c r="E236" s="10">
        <f>'D) Ecrêtage'!M230</f>
        <v>0</v>
      </c>
      <c r="F236" s="432">
        <f>$F$11*'D) Ecrêtage'!C230</f>
        <v>276349.45860280981</v>
      </c>
      <c r="G236" s="55">
        <f t="shared" si="3"/>
        <v>299854.05360280978</v>
      </c>
    </row>
    <row r="237" spans="1:7" x14ac:dyDescent="0.25">
      <c r="A237" s="49">
        <f>'A) Base RI'!A232</f>
        <v>5764</v>
      </c>
      <c r="B237" s="286" t="str">
        <f>'A) Base RI'!B232</f>
        <v>Vallorbe</v>
      </c>
      <c r="C237" s="10">
        <f>'A) Base RI'!V232</f>
        <v>3924</v>
      </c>
      <c r="D237" s="432">
        <f>'C) Prél. conj.'!H231</f>
        <v>891489.3</v>
      </c>
      <c r="E237" s="10">
        <f>'D) Ecrêtage'!M231</f>
        <v>0</v>
      </c>
      <c r="F237" s="432">
        <f>$F$11*'D) Ecrêtage'!C231</f>
        <v>1020367.4633924748</v>
      </c>
      <c r="G237" s="55">
        <f t="shared" si="3"/>
        <v>1911856.763392475</v>
      </c>
    </row>
    <row r="238" spans="1:7" x14ac:dyDescent="0.25">
      <c r="A238" s="49">
        <f>'A) Base RI'!A233</f>
        <v>5765</v>
      </c>
      <c r="B238" s="286" t="str">
        <f>'A) Base RI'!B233</f>
        <v>Vaulion</v>
      </c>
      <c r="C238" s="10">
        <f>'A) Base RI'!V233</f>
        <v>492</v>
      </c>
      <c r="D238" s="432">
        <f>'C) Prél. conj.'!H232</f>
        <v>49914.945</v>
      </c>
      <c r="E238" s="10">
        <f>'D) Ecrêtage'!M232</f>
        <v>0</v>
      </c>
      <c r="F238" s="432">
        <f>$F$11*'D) Ecrêtage'!C232</f>
        <v>125341.14797187573</v>
      </c>
      <c r="G238" s="55">
        <f t="shared" si="3"/>
        <v>175256.09297187574</v>
      </c>
    </row>
    <row r="239" spans="1:7" x14ac:dyDescent="0.25">
      <c r="A239" s="49">
        <f>'A) Base RI'!A234</f>
        <v>5766</v>
      </c>
      <c r="B239" s="286" t="str">
        <f>'A) Base RI'!B234</f>
        <v>Vuiteboeuf</v>
      </c>
      <c r="C239" s="10">
        <f>'A) Base RI'!V234</f>
        <v>591</v>
      </c>
      <c r="D239" s="432">
        <f>'C) Prél. conj.'!H233</f>
        <v>51897.274999999994</v>
      </c>
      <c r="E239" s="10">
        <f>'D) Ecrêtage'!M233</f>
        <v>0</v>
      </c>
      <c r="F239" s="432">
        <f>$F$11*'D) Ecrêtage'!C233</f>
        <v>189656.40049198593</v>
      </c>
      <c r="G239" s="55">
        <f t="shared" si="3"/>
        <v>241553.67549198592</v>
      </c>
    </row>
    <row r="240" spans="1:7" x14ac:dyDescent="0.25">
      <c r="A240" s="49">
        <f>'A) Base RI'!A235</f>
        <v>5785</v>
      </c>
      <c r="B240" s="286" t="str">
        <f>'A) Base RI'!B235</f>
        <v>Corcelles-le-Jorat</v>
      </c>
      <c r="C240" s="10">
        <f>'A) Base RI'!V235</f>
        <v>489</v>
      </c>
      <c r="D240" s="432">
        <f>'C) Prél. conj.'!H234</f>
        <v>37952.399999999994</v>
      </c>
      <c r="E240" s="10">
        <f>'D) Ecrêtage'!M234</f>
        <v>0</v>
      </c>
      <c r="F240" s="432">
        <f>$F$11*'D) Ecrêtage'!C234</f>
        <v>177778.12754058608</v>
      </c>
      <c r="G240" s="55">
        <f t="shared" si="3"/>
        <v>215730.52754058607</v>
      </c>
    </row>
    <row r="241" spans="1:7" x14ac:dyDescent="0.25">
      <c r="A241" s="49">
        <f>'A) Base RI'!A236</f>
        <v>5788</v>
      </c>
      <c r="B241" s="286" t="str">
        <f>'A) Base RI'!B236</f>
        <v>Essertes</v>
      </c>
      <c r="C241" s="10">
        <f>'A) Base RI'!V236</f>
        <v>397</v>
      </c>
      <c r="D241" s="432">
        <f>'C) Prél. conj.'!H235</f>
        <v>14583.55</v>
      </c>
      <c r="E241" s="10">
        <f>'D) Ecrêtage'!M235</f>
        <v>0</v>
      </c>
      <c r="F241" s="432">
        <f>$F$11*'D) Ecrêtage'!C235</f>
        <v>162353.68034318555</v>
      </c>
      <c r="G241" s="55">
        <f t="shared" si="3"/>
        <v>176937.23034318554</v>
      </c>
    </row>
    <row r="242" spans="1:7" x14ac:dyDescent="0.25">
      <c r="A242" s="49">
        <f>'A) Base RI'!A237</f>
        <v>5790</v>
      </c>
      <c r="B242" s="286" t="str">
        <f>'A) Base RI'!B237</f>
        <v>Maracon</v>
      </c>
      <c r="C242" s="10">
        <f>'A) Base RI'!V237</f>
        <v>547</v>
      </c>
      <c r="D242" s="432">
        <f>'C) Prél. conj.'!H236</f>
        <v>33169.729999999996</v>
      </c>
      <c r="E242" s="10">
        <f>'D) Ecrêtage'!M236</f>
        <v>0</v>
      </c>
      <c r="F242" s="432">
        <f>$F$11*'D) Ecrêtage'!C236</f>
        <v>184997.92037244211</v>
      </c>
      <c r="G242" s="55">
        <f t="shared" si="3"/>
        <v>218167.65037244209</v>
      </c>
    </row>
    <row r="243" spans="1:7" x14ac:dyDescent="0.25">
      <c r="A243" s="49">
        <f>'A) Base RI'!A238</f>
        <v>5792</v>
      </c>
      <c r="B243" s="286" t="str">
        <f>'A) Base RI'!B238</f>
        <v>Montpreveyres</v>
      </c>
      <c r="C243" s="10">
        <f>'A) Base RI'!V238</f>
        <v>662</v>
      </c>
      <c r="D243" s="432">
        <f>'C) Prél. conj.'!H237</f>
        <v>87511.865000000005</v>
      </c>
      <c r="E243" s="10">
        <f>'D) Ecrêtage'!M237</f>
        <v>0</v>
      </c>
      <c r="F243" s="432">
        <f>$F$11*'D) Ecrêtage'!C237</f>
        <v>245644.96358071611</v>
      </c>
      <c r="G243" s="55">
        <f t="shared" si="3"/>
        <v>333156.8285807161</v>
      </c>
    </row>
    <row r="244" spans="1:7" x14ac:dyDescent="0.25">
      <c r="A244" s="49">
        <f>'A) Base RI'!A239</f>
        <v>5798</v>
      </c>
      <c r="B244" s="286" t="str">
        <f>'A) Base RI'!B239</f>
        <v>Ropraz</v>
      </c>
      <c r="C244" s="10">
        <f>'A) Base RI'!V239</f>
        <v>534</v>
      </c>
      <c r="D244" s="432">
        <f>'C) Prél. conj.'!H238</f>
        <v>69018.13</v>
      </c>
      <c r="E244" s="10">
        <f>'D) Ecrêtage'!M238</f>
        <v>0</v>
      </c>
      <c r="F244" s="432">
        <f>$F$11*'D) Ecrêtage'!C238</f>
        <v>212710.38176504648</v>
      </c>
      <c r="G244" s="55">
        <f t="shared" si="3"/>
        <v>281728.51176504651</v>
      </c>
    </row>
    <row r="245" spans="1:7" x14ac:dyDescent="0.25">
      <c r="A245" s="49">
        <f>'A) Base RI'!A240</f>
        <v>5799</v>
      </c>
      <c r="B245" s="286" t="str">
        <f>'A) Base RI'!B240</f>
        <v>Servion</v>
      </c>
      <c r="C245" s="10">
        <f>'A) Base RI'!V240</f>
        <v>2107</v>
      </c>
      <c r="D245" s="432">
        <f>'C) Prél. conj.'!H239</f>
        <v>249140.88</v>
      </c>
      <c r="E245" s="10">
        <f>'D) Ecrêtage'!M239</f>
        <v>0</v>
      </c>
      <c r="F245" s="432">
        <f>$F$11*'D) Ecrêtage'!C239</f>
        <v>874801.95581526216</v>
      </c>
      <c r="G245" s="55">
        <f t="shared" si="3"/>
        <v>1123942.835815262</v>
      </c>
    </row>
    <row r="246" spans="1:7" x14ac:dyDescent="0.25">
      <c r="A246" s="49">
        <f>'A) Base RI'!A241</f>
        <v>5803</v>
      </c>
      <c r="B246" s="286" t="str">
        <f>'A) Base RI'!B241</f>
        <v>Vulliens</v>
      </c>
      <c r="C246" s="10">
        <f>'A) Base RI'!V241</f>
        <v>631</v>
      </c>
      <c r="D246" s="432">
        <f>'C) Prél. conj.'!H240</f>
        <v>54035.61</v>
      </c>
      <c r="E246" s="10">
        <f>'D) Ecrêtage'!M240</f>
        <v>0</v>
      </c>
      <c r="F246" s="432">
        <f>$F$11*'D) Ecrêtage'!C240</f>
        <v>219433.57864995784</v>
      </c>
      <c r="G246" s="55">
        <f t="shared" si="3"/>
        <v>273469.18864995782</v>
      </c>
    </row>
    <row r="247" spans="1:7" x14ac:dyDescent="0.25">
      <c r="A247" s="49">
        <f>'A) Base RI'!A242</f>
        <v>5804</v>
      </c>
      <c r="B247" s="286" t="str">
        <f>'A) Base RI'!B242</f>
        <v>Jorat-Menthue</v>
      </c>
      <c r="C247" s="10">
        <f>'A) Base RI'!V242</f>
        <v>1603</v>
      </c>
      <c r="D247" s="432">
        <f>'C) Prél. conj.'!H241</f>
        <v>85788.494999999995</v>
      </c>
      <c r="E247" s="10">
        <f>'D) Ecrêtage'!M241</f>
        <v>0</v>
      </c>
      <c r="F247" s="432">
        <f>$F$11*'D) Ecrêtage'!C241</f>
        <v>571311.77097862074</v>
      </c>
      <c r="G247" s="55">
        <f t="shared" si="3"/>
        <v>657100.26597862074</v>
      </c>
    </row>
    <row r="248" spans="1:7" x14ac:dyDescent="0.25">
      <c r="A248" s="49">
        <f>'A) Base RI'!A243</f>
        <v>5805</v>
      </c>
      <c r="B248" s="286" t="str">
        <f>'A) Base RI'!B243</f>
        <v>Oron</v>
      </c>
      <c r="C248" s="10">
        <f>'A) Base RI'!V243</f>
        <v>5703</v>
      </c>
      <c r="D248" s="432">
        <f>'C) Prél. conj.'!H242</f>
        <v>319705.88</v>
      </c>
      <c r="E248" s="10">
        <f>'D) Ecrêtage'!M242</f>
        <v>0</v>
      </c>
      <c r="F248" s="432">
        <f>$F$11*'D) Ecrêtage'!C242</f>
        <v>1976729.9013313826</v>
      </c>
      <c r="G248" s="55">
        <f t="shared" si="3"/>
        <v>2296435.7813313827</v>
      </c>
    </row>
    <row r="249" spans="1:7" x14ac:dyDescent="0.25">
      <c r="A249" s="49">
        <f>'A) Base RI'!A244</f>
        <v>5806</v>
      </c>
      <c r="B249" s="286" t="str">
        <f>'A) Base RI'!B244</f>
        <v>Jorat-Mézières</v>
      </c>
      <c r="C249" s="10">
        <f>'A) Base RI'!V244</f>
        <v>3095</v>
      </c>
      <c r="D249" s="432">
        <f>'C) Prél. conj.'!H243</f>
        <v>495124.67</v>
      </c>
      <c r="E249" s="10">
        <f>'D) Ecrêtage'!M243</f>
        <v>0</v>
      </c>
      <c r="F249" s="432">
        <f>$F$11*'D) Ecrêtage'!C243</f>
        <v>1244668.3029742141</v>
      </c>
      <c r="G249" s="55">
        <f t="shared" si="3"/>
        <v>1739792.972974214</v>
      </c>
    </row>
    <row r="250" spans="1:7" x14ac:dyDescent="0.25">
      <c r="A250" s="49">
        <f>'A) Base RI'!A245</f>
        <v>5812</v>
      </c>
      <c r="B250" s="286" t="str">
        <f>'A) Base RI'!B245</f>
        <v>Champtauroz</v>
      </c>
      <c r="C250" s="10">
        <f>'A) Base RI'!V245</f>
        <v>169</v>
      </c>
      <c r="D250" s="432">
        <f>'C) Prél. conj.'!H244</f>
        <v>7105.65</v>
      </c>
      <c r="E250" s="10">
        <f>'D) Ecrêtage'!M244</f>
        <v>0</v>
      </c>
      <c r="F250" s="432">
        <f>$F$11*'D) Ecrêtage'!C244</f>
        <v>40837.319706390546</v>
      </c>
      <c r="G250" s="55">
        <f t="shared" si="3"/>
        <v>47942.969706390548</v>
      </c>
    </row>
    <row r="251" spans="1:7" x14ac:dyDescent="0.25">
      <c r="A251" s="49">
        <f>'A) Base RI'!A246</f>
        <v>5813</v>
      </c>
      <c r="B251" s="286" t="str">
        <f>'A) Base RI'!B246</f>
        <v>Chevroux</v>
      </c>
      <c r="C251" s="10">
        <f>'A) Base RI'!V246</f>
        <v>506</v>
      </c>
      <c r="D251" s="432">
        <f>'C) Prél. conj.'!H245</f>
        <v>76164.799999999988</v>
      </c>
      <c r="E251" s="10">
        <f>'D) Ecrêtage'!M245</f>
        <v>0</v>
      </c>
      <c r="F251" s="432">
        <f>$F$11*'D) Ecrêtage'!C245</f>
        <v>186276.4493247206</v>
      </c>
      <c r="G251" s="55">
        <f t="shared" si="3"/>
        <v>262441.24932472059</v>
      </c>
    </row>
    <row r="252" spans="1:7" x14ac:dyDescent="0.25">
      <c r="A252" s="49">
        <f>'A) Base RI'!A247</f>
        <v>5816</v>
      </c>
      <c r="B252" s="286" t="str">
        <f>'A) Base RI'!B247</f>
        <v>Corcelles-près-Payerne</v>
      </c>
      <c r="C252" s="10">
        <f>'A) Base RI'!V247</f>
        <v>2722</v>
      </c>
      <c r="D252" s="432">
        <f>'C) Prél. conj.'!H246</f>
        <v>135581.375</v>
      </c>
      <c r="E252" s="10">
        <f>'D) Ecrêtage'!M246</f>
        <v>0</v>
      </c>
      <c r="F252" s="432">
        <f>$F$11*'D) Ecrêtage'!C246</f>
        <v>800507.85432510811</v>
      </c>
      <c r="G252" s="55">
        <f t="shared" si="3"/>
        <v>936089.22932510811</v>
      </c>
    </row>
    <row r="253" spans="1:7" x14ac:dyDescent="0.25">
      <c r="A253" s="49">
        <f>'A) Base RI'!A248</f>
        <v>5817</v>
      </c>
      <c r="B253" s="286" t="str">
        <f>'A) Base RI'!B248</f>
        <v>Grandcour</v>
      </c>
      <c r="C253" s="10">
        <f>'A) Base RI'!V248</f>
        <v>987</v>
      </c>
      <c r="D253" s="432">
        <f>'C) Prél. conj.'!H247</f>
        <v>22879.514999999999</v>
      </c>
      <c r="E253" s="10">
        <f>'D) Ecrêtage'!M247</f>
        <v>0</v>
      </c>
      <c r="F253" s="432">
        <f>$F$11*'D) Ecrêtage'!C247</f>
        <v>300237.79360897001</v>
      </c>
      <c r="G253" s="55">
        <f t="shared" si="3"/>
        <v>323117.30860897002</v>
      </c>
    </row>
    <row r="254" spans="1:7" x14ac:dyDescent="0.25">
      <c r="A254" s="49">
        <f>'A) Base RI'!A249</f>
        <v>5819</v>
      </c>
      <c r="B254" s="286" t="str">
        <f>'A) Base RI'!B249</f>
        <v>Henniez</v>
      </c>
      <c r="C254" s="10">
        <f>'A) Base RI'!V249</f>
        <v>407</v>
      </c>
      <c r="D254" s="432">
        <f>'C) Prél. conj.'!H248</f>
        <v>33181.68</v>
      </c>
      <c r="E254" s="10">
        <f>'D) Ecrêtage'!M248</f>
        <v>0</v>
      </c>
      <c r="F254" s="432">
        <f>$F$11*'D) Ecrêtage'!C248</f>
        <v>122831.37019325337</v>
      </c>
      <c r="G254" s="55">
        <f t="shared" si="3"/>
        <v>156013.05019325338</v>
      </c>
    </row>
    <row r="255" spans="1:7" x14ac:dyDescent="0.25">
      <c r="A255" s="49">
        <f>'A) Base RI'!A250</f>
        <v>5821</v>
      </c>
      <c r="B255" s="286" t="str">
        <f>'A) Base RI'!B250</f>
        <v>Missy</v>
      </c>
      <c r="C255" s="10">
        <f>'A) Base RI'!V250</f>
        <v>366</v>
      </c>
      <c r="D255" s="432">
        <f>'C) Prél. conj.'!H249</f>
        <v>12292.875</v>
      </c>
      <c r="E255" s="10">
        <f>'D) Ecrêtage'!M249</f>
        <v>0</v>
      </c>
      <c r="F255" s="432">
        <f>$F$11*'D) Ecrêtage'!C249</f>
        <v>98091.559056163591</v>
      </c>
      <c r="G255" s="55">
        <f t="shared" si="3"/>
        <v>110384.43405616359</v>
      </c>
    </row>
    <row r="256" spans="1:7" x14ac:dyDescent="0.25">
      <c r="A256" s="49">
        <f>'A) Base RI'!A251</f>
        <v>5822</v>
      </c>
      <c r="B256" s="286" t="str">
        <f>'A) Base RI'!B251</f>
        <v>Payerne</v>
      </c>
      <c r="C256" s="10">
        <f>'A) Base RI'!V251</f>
        <v>10258</v>
      </c>
      <c r="D256" s="432">
        <f>'C) Prél. conj.'!H250</f>
        <v>1140366.645</v>
      </c>
      <c r="E256" s="10">
        <f>'D) Ecrêtage'!M250</f>
        <v>0</v>
      </c>
      <c r="F256" s="432">
        <f>$F$11*'D) Ecrêtage'!C250</f>
        <v>2926211.114506125</v>
      </c>
      <c r="G256" s="55">
        <f t="shared" si="3"/>
        <v>4066577.759506125</v>
      </c>
    </row>
    <row r="257" spans="1:7" x14ac:dyDescent="0.25">
      <c r="A257" s="49">
        <f>'A) Base RI'!A252</f>
        <v>5827</v>
      </c>
      <c r="B257" s="286" t="str">
        <f>'A) Base RI'!B252</f>
        <v>Trey</v>
      </c>
      <c r="C257" s="10">
        <f>'A) Base RI'!V252</f>
        <v>321</v>
      </c>
      <c r="D257" s="432">
        <f>'C) Prél. conj.'!H251</f>
        <v>57691.375</v>
      </c>
      <c r="E257" s="10">
        <f>'D) Ecrêtage'!M251</f>
        <v>0</v>
      </c>
      <c r="F257" s="432">
        <f>$F$11*'D) Ecrêtage'!C251</f>
        <v>94467.190833144909</v>
      </c>
      <c r="G257" s="55">
        <f t="shared" si="3"/>
        <v>152158.56583314491</v>
      </c>
    </row>
    <row r="258" spans="1:7" x14ac:dyDescent="0.25">
      <c r="A258" s="49">
        <f>'A) Base RI'!A253</f>
        <v>5828</v>
      </c>
      <c r="B258" s="286" t="str">
        <f>'A) Base RI'!B253</f>
        <v>Treytorrens (Payerne)</v>
      </c>
      <c r="C258" s="10">
        <f>'A) Base RI'!V253</f>
        <v>110</v>
      </c>
      <c r="D258" s="432">
        <f>'C) Prél. conj.'!H252</f>
        <v>6837.0249999999996</v>
      </c>
      <c r="E258" s="10">
        <f>'D) Ecrêtage'!M252</f>
        <v>0</v>
      </c>
      <c r="F258" s="432">
        <f>$F$11*'D) Ecrêtage'!C252</f>
        <v>35351.169363826506</v>
      </c>
      <c r="G258" s="55">
        <f t="shared" si="3"/>
        <v>42188.194363826507</v>
      </c>
    </row>
    <row r="259" spans="1:7" x14ac:dyDescent="0.25">
      <c r="A259" s="49">
        <f>'A) Base RI'!A254</f>
        <v>5830</v>
      </c>
      <c r="B259" s="286" t="str">
        <f>'A) Base RI'!B254</f>
        <v>Villarzel</v>
      </c>
      <c r="C259" s="10">
        <f>'A) Base RI'!V254</f>
        <v>500</v>
      </c>
      <c r="D259" s="432">
        <f>'C) Prél. conj.'!H253</f>
        <v>64705.97</v>
      </c>
      <c r="E259" s="10">
        <f>'D) Ecrêtage'!M253</f>
        <v>0</v>
      </c>
      <c r="F259" s="432">
        <f>$F$11*'D) Ecrêtage'!C253</f>
        <v>151319.1482439762</v>
      </c>
      <c r="G259" s="55">
        <f t="shared" si="3"/>
        <v>216025.11824397621</v>
      </c>
    </row>
    <row r="260" spans="1:7" x14ac:dyDescent="0.25">
      <c r="A260" s="49">
        <f>'A) Base RI'!A255</f>
        <v>5831</v>
      </c>
      <c r="B260" s="286" t="str">
        <f>'A) Base RI'!B255</f>
        <v>Valbroye</v>
      </c>
      <c r="C260" s="10">
        <f>'A) Base RI'!V255</f>
        <v>3349</v>
      </c>
      <c r="D260" s="432">
        <f>'C) Prél. conj.'!H254</f>
        <v>432307.00500000006</v>
      </c>
      <c r="E260" s="10">
        <f>'D) Ecrêtage'!M254</f>
        <v>0</v>
      </c>
      <c r="F260" s="432">
        <f>$F$11*'D) Ecrêtage'!C254</f>
        <v>988262.66681084549</v>
      </c>
      <c r="G260" s="55">
        <f t="shared" si="3"/>
        <v>1420569.6718108456</v>
      </c>
    </row>
    <row r="261" spans="1:7" x14ac:dyDescent="0.25">
      <c r="A261" s="49">
        <f>'A) Base RI'!A256</f>
        <v>5841</v>
      </c>
      <c r="B261" s="286" t="str">
        <f>'A) Base RI'!B256</f>
        <v>Château-d'Oex</v>
      </c>
      <c r="C261" s="10">
        <f>'A) Base RI'!V256</f>
        <v>3549</v>
      </c>
      <c r="D261" s="432">
        <f>'C) Prél. conj.'!H255</f>
        <v>894406.98499999999</v>
      </c>
      <c r="E261" s="10">
        <f>'D) Ecrêtage'!M255</f>
        <v>0</v>
      </c>
      <c r="F261" s="432">
        <f>$F$11*'D) Ecrêtage'!C255</f>
        <v>1351724.4955252984</v>
      </c>
      <c r="G261" s="55">
        <f t="shared" si="3"/>
        <v>2246131.4805252985</v>
      </c>
    </row>
    <row r="262" spans="1:7" x14ac:dyDescent="0.25">
      <c r="A262" s="49">
        <f>'A) Base RI'!A257</f>
        <v>5842</v>
      </c>
      <c r="B262" s="286" t="str">
        <f>'A) Base RI'!B257</f>
        <v>Rossinière</v>
      </c>
      <c r="C262" s="10">
        <f>'A) Base RI'!V257</f>
        <v>534</v>
      </c>
      <c r="D262" s="432">
        <f>'C) Prél. conj.'!H256</f>
        <v>43581.175000000003</v>
      </c>
      <c r="E262" s="10">
        <f>'D) Ecrêtage'!M256</f>
        <v>0</v>
      </c>
      <c r="F262" s="432">
        <f>$F$11*'D) Ecrêtage'!C256</f>
        <v>182225.51907575797</v>
      </c>
      <c r="G262" s="55">
        <f t="shared" si="3"/>
        <v>225806.69407575799</v>
      </c>
    </row>
    <row r="263" spans="1:7" x14ac:dyDescent="0.25">
      <c r="A263" s="49">
        <f>'A) Base RI'!A258</f>
        <v>5843</v>
      </c>
      <c r="B263" s="286" t="str">
        <f>'A) Base RI'!B258</f>
        <v>Rougemont</v>
      </c>
      <c r="C263" s="10">
        <f>'A) Base RI'!V258</f>
        <v>862</v>
      </c>
      <c r="D263" s="432">
        <f>'C) Prél. conj.'!H257</f>
        <v>1161512.0549999999</v>
      </c>
      <c r="E263" s="10">
        <f>'D) Ecrêtage'!M257</f>
        <v>1522657.7469934723</v>
      </c>
      <c r="F263" s="432">
        <f>$F$11*'D) Ecrêtage'!C257</f>
        <v>1183828.0013464317</v>
      </c>
      <c r="G263" s="55">
        <f t="shared" si="3"/>
        <v>3867997.8033399037</v>
      </c>
    </row>
    <row r="264" spans="1:7" x14ac:dyDescent="0.25">
      <c r="A264" s="49">
        <f>'A) Base RI'!A259</f>
        <v>5851</v>
      </c>
      <c r="B264" s="286" t="str">
        <f>'A) Base RI'!B259</f>
        <v>Allaman</v>
      </c>
      <c r="C264" s="10">
        <f>'A) Base RI'!V259</f>
        <v>430</v>
      </c>
      <c r="D264" s="432">
        <f>'C) Prél. conj.'!H258</f>
        <v>53699.05</v>
      </c>
      <c r="E264" s="10">
        <f>'D) Ecrêtage'!M258</f>
        <v>48636.22681116694</v>
      </c>
      <c r="F264" s="432">
        <f>$F$11*'D) Ecrêtage'!C258</f>
        <v>303320.65940121206</v>
      </c>
      <c r="G264" s="55">
        <f t="shared" si="3"/>
        <v>405655.93621237902</v>
      </c>
    </row>
    <row r="265" spans="1:7" x14ac:dyDescent="0.25">
      <c r="A265" s="49">
        <f>'A) Base RI'!A260</f>
        <v>5852</v>
      </c>
      <c r="B265" s="286" t="str">
        <f>'A) Base RI'!B260</f>
        <v>Bursinel</v>
      </c>
      <c r="C265" s="10">
        <f>'A) Base RI'!V260</f>
        <v>515</v>
      </c>
      <c r="D265" s="432">
        <f>'C) Prél. conj.'!H259</f>
        <v>170591.81500000003</v>
      </c>
      <c r="E265" s="10">
        <f>'D) Ecrêtage'!M259</f>
        <v>149450.58673556679</v>
      </c>
      <c r="F265" s="432">
        <f>$F$11*'D) Ecrêtage'!C259</f>
        <v>422336.42690746771</v>
      </c>
      <c r="G265" s="55">
        <f t="shared" si="3"/>
        <v>742378.82864303445</v>
      </c>
    </row>
    <row r="266" spans="1:7" x14ac:dyDescent="0.25">
      <c r="A266" s="49">
        <f>'A) Base RI'!A261</f>
        <v>5853</v>
      </c>
      <c r="B266" s="286" t="str">
        <f>'A) Base RI'!B261</f>
        <v>Bursins</v>
      </c>
      <c r="C266" s="10">
        <f>'A) Base RI'!V261</f>
        <v>773</v>
      </c>
      <c r="D266" s="432">
        <f>'C) Prél. conj.'!H260</f>
        <v>285825.07</v>
      </c>
      <c r="E266" s="10">
        <f>'D) Ecrêtage'!M260</f>
        <v>100159.51010720931</v>
      </c>
      <c r="F266" s="432">
        <f>$F$11*'D) Ecrêtage'!C260</f>
        <v>542436.57383610401</v>
      </c>
      <c r="G266" s="55">
        <f t="shared" si="3"/>
        <v>928421.1539433134</v>
      </c>
    </row>
    <row r="267" spans="1:7" x14ac:dyDescent="0.25">
      <c r="A267" s="49">
        <f>'A) Base RI'!A262</f>
        <v>5854</v>
      </c>
      <c r="B267" s="286" t="str">
        <f>'A) Base RI'!B262</f>
        <v>Burtigny</v>
      </c>
      <c r="C267" s="10">
        <f>'A) Base RI'!V262</f>
        <v>416</v>
      </c>
      <c r="D267" s="432">
        <f>'C) Prél. conj.'!H261</f>
        <v>35355.040000000001</v>
      </c>
      <c r="E267" s="10">
        <f>'D) Ecrêtage'!M261</f>
        <v>0</v>
      </c>
      <c r="F267" s="432">
        <f>$F$11*'D) Ecrêtage'!C261</f>
        <v>186021.1437775431</v>
      </c>
      <c r="G267" s="55">
        <f t="shared" si="3"/>
        <v>221376.1837775431</v>
      </c>
    </row>
    <row r="268" spans="1:7" x14ac:dyDescent="0.25">
      <c r="A268" s="49">
        <f>'A) Base RI'!A263</f>
        <v>5855</v>
      </c>
      <c r="B268" s="286" t="str">
        <f>'A) Base RI'!B263</f>
        <v>Dully</v>
      </c>
      <c r="C268" s="10">
        <f>'A) Base RI'!V263</f>
        <v>634</v>
      </c>
      <c r="D268" s="432">
        <f>'C) Prél. conj.'!H262</f>
        <v>334178.92</v>
      </c>
      <c r="E268" s="10">
        <f>'D) Ecrêtage'!M262</f>
        <v>1295062.4780865416</v>
      </c>
      <c r="F268" s="432">
        <f>$F$11*'D) Ecrêtage'!C262</f>
        <v>1142322.4126226848</v>
      </c>
      <c r="G268" s="55">
        <f t="shared" ref="G268:G319" si="4">D268+F268+E268</f>
        <v>2771563.8107092264</v>
      </c>
    </row>
    <row r="269" spans="1:7" x14ac:dyDescent="0.25">
      <c r="A269" s="49">
        <f>'A) Base RI'!A264</f>
        <v>5856</v>
      </c>
      <c r="B269" s="286" t="str">
        <f>'A) Base RI'!B264</f>
        <v>Essertines-sur-Rolle</v>
      </c>
      <c r="C269" s="10">
        <f>'A) Base RI'!V264</f>
        <v>753</v>
      </c>
      <c r="D269" s="432">
        <f>'C) Prél. conj.'!H263</f>
        <v>234852</v>
      </c>
      <c r="E269" s="10">
        <f>'D) Ecrêtage'!M263</f>
        <v>76552.101765736472</v>
      </c>
      <c r="F269" s="432">
        <f>$F$11*'D) Ecrêtage'!C263</f>
        <v>514804.06770790979</v>
      </c>
      <c r="G269" s="55">
        <f t="shared" si="4"/>
        <v>826208.16947364621</v>
      </c>
    </row>
    <row r="270" spans="1:7" x14ac:dyDescent="0.25">
      <c r="A270" s="49">
        <f>'A) Base RI'!A265</f>
        <v>5857</v>
      </c>
      <c r="B270" s="286" t="str">
        <f>'A) Base RI'!B265</f>
        <v>Gilly</v>
      </c>
      <c r="C270" s="10">
        <f>'A) Base RI'!V265</f>
        <v>1438</v>
      </c>
      <c r="D270" s="432">
        <f>'C) Prél. conj.'!H264</f>
        <v>245765.75999999998</v>
      </c>
      <c r="E270" s="10">
        <f>'D) Ecrêtage'!M264</f>
        <v>282286.80170365033</v>
      </c>
      <c r="F270" s="432">
        <f>$F$11*'D) Ecrêtage'!C264</f>
        <v>1083579.8074452351</v>
      </c>
      <c r="G270" s="55">
        <f t="shared" si="4"/>
        <v>1611632.3691488854</v>
      </c>
    </row>
    <row r="271" spans="1:7" x14ac:dyDescent="0.25">
      <c r="A271" s="49">
        <f>'A) Base RI'!A266</f>
        <v>5858</v>
      </c>
      <c r="B271" s="286" t="str">
        <f>'A) Base RI'!B266</f>
        <v>Luins</v>
      </c>
      <c r="C271" s="10">
        <f>'A) Base RI'!V266</f>
        <v>630</v>
      </c>
      <c r="D271" s="432">
        <f>'C) Prél. conj.'!H265</f>
        <v>54184.259999999995</v>
      </c>
      <c r="E271" s="10">
        <f>'D) Ecrêtage'!M265</f>
        <v>100237.46296443182</v>
      </c>
      <c r="F271" s="432">
        <f>$F$11*'D) Ecrêtage'!C265</f>
        <v>466436.54937312799</v>
      </c>
      <c r="G271" s="55">
        <f t="shared" si="4"/>
        <v>620858.27233755984</v>
      </c>
    </row>
    <row r="272" spans="1:7" x14ac:dyDescent="0.25">
      <c r="A272" s="49">
        <f>'A) Base RI'!A267</f>
        <v>5859</v>
      </c>
      <c r="B272" s="286" t="str">
        <f>'A) Base RI'!B267</f>
        <v>Mont-sur-Rolle</v>
      </c>
      <c r="C272" s="10">
        <f>'A) Base RI'!V267</f>
        <v>2739</v>
      </c>
      <c r="D272" s="432">
        <f>'C) Prél. conj.'!H266</f>
        <v>871600.13000000012</v>
      </c>
      <c r="E272" s="10">
        <f>'D) Ecrêtage'!M266</f>
        <v>370166.71628684801</v>
      </c>
      <c r="F272" s="432">
        <f>$F$11*'D) Ecrêtage'!C266</f>
        <v>1962041.2318822967</v>
      </c>
      <c r="G272" s="55">
        <f t="shared" si="4"/>
        <v>3203808.0781691447</v>
      </c>
    </row>
    <row r="273" spans="1:7" x14ac:dyDescent="0.25">
      <c r="A273" s="49">
        <f>'A) Base RI'!A268</f>
        <v>5860</v>
      </c>
      <c r="B273" s="286" t="str">
        <f>'A) Base RI'!B268</f>
        <v>Perroy</v>
      </c>
      <c r="C273" s="10">
        <f>'A) Base RI'!V268</f>
        <v>1514</v>
      </c>
      <c r="D273" s="432">
        <f>'C) Prél. conj.'!H267</f>
        <v>512248.72000000003</v>
      </c>
      <c r="E273" s="10">
        <f>'D) Ecrêtage'!M267</f>
        <v>891440.71163631638</v>
      </c>
      <c r="F273" s="432">
        <f>$F$11*'D) Ecrêtage'!C267</f>
        <v>1514925.7635880962</v>
      </c>
      <c r="G273" s="55">
        <f t="shared" si="4"/>
        <v>2918615.1952244127</v>
      </c>
    </row>
    <row r="274" spans="1:7" x14ac:dyDescent="0.25">
      <c r="A274" s="49">
        <f>'A) Base RI'!A269</f>
        <v>5861</v>
      </c>
      <c r="B274" s="286" t="str">
        <f>'A) Base RI'!B269</f>
        <v>Rolle</v>
      </c>
      <c r="C274" s="10">
        <f>'A) Base RI'!V269</f>
        <v>6291</v>
      </c>
      <c r="D274" s="432">
        <f>'C) Prél. conj.'!H268</f>
        <v>1812803.0649999999</v>
      </c>
      <c r="E274" s="10">
        <f>'D) Ecrêtage'!M268</f>
        <v>6839687.6492720153</v>
      </c>
      <c r="F274" s="432">
        <f>$F$11*'D) Ecrêtage'!C268</f>
        <v>7780916.6379327206</v>
      </c>
      <c r="G274" s="55">
        <f t="shared" si="4"/>
        <v>16433407.352204736</v>
      </c>
    </row>
    <row r="275" spans="1:7" x14ac:dyDescent="0.25">
      <c r="A275" s="49">
        <f>'A) Base RI'!A270</f>
        <v>5862</v>
      </c>
      <c r="B275" s="286" t="str">
        <f>'A) Base RI'!B270</f>
        <v>Tartegnin</v>
      </c>
      <c r="C275" s="10">
        <f>'A) Base RI'!V270</f>
        <v>241</v>
      </c>
      <c r="D275" s="432">
        <f>'C) Prél. conj.'!H269</f>
        <v>18035.195</v>
      </c>
      <c r="E275" s="10">
        <f>'D) Ecrêtage'!M269</f>
        <v>0</v>
      </c>
      <c r="F275" s="432">
        <f>$F$11*'D) Ecrêtage'!C269</f>
        <v>96217.8909912245</v>
      </c>
      <c r="G275" s="55">
        <f t="shared" si="4"/>
        <v>114253.08599122451</v>
      </c>
    </row>
    <row r="276" spans="1:7" x14ac:dyDescent="0.25">
      <c r="A276" s="49">
        <f>'A) Base RI'!A271</f>
        <v>5863</v>
      </c>
      <c r="B276" s="286" t="str">
        <f>'A) Base RI'!B271</f>
        <v>Vinzel</v>
      </c>
      <c r="C276" s="10">
        <f>'A) Base RI'!V271</f>
        <v>369</v>
      </c>
      <c r="D276" s="432">
        <f>'C) Prél. conj.'!H270</f>
        <v>104646.435</v>
      </c>
      <c r="E276" s="10">
        <f>'D) Ecrêtage'!M270</f>
        <v>47639.147606882536</v>
      </c>
      <c r="F276" s="432">
        <f>$F$11*'D) Ecrêtage'!C270</f>
        <v>261231.61088196005</v>
      </c>
      <c r="G276" s="55">
        <f t="shared" si="4"/>
        <v>413517.19348884263</v>
      </c>
    </row>
    <row r="277" spans="1:7" x14ac:dyDescent="0.25">
      <c r="A277" s="49">
        <f>'A) Base RI'!A272</f>
        <v>5871</v>
      </c>
      <c r="B277" s="286" t="str">
        <f>'A) Base RI'!B272</f>
        <v>L'Abbaye</v>
      </c>
      <c r="C277" s="10">
        <f>'A) Base RI'!V272</f>
        <v>1521</v>
      </c>
      <c r="D277" s="432">
        <f>'C) Prél. conj.'!H271</f>
        <v>485972.72499999998</v>
      </c>
      <c r="E277" s="10">
        <f>'D) Ecrêtage'!M271</f>
        <v>0</v>
      </c>
      <c r="F277" s="432">
        <f>$F$11*'D) Ecrêtage'!C271</f>
        <v>649532.61186482315</v>
      </c>
      <c r="G277" s="55">
        <f t="shared" si="4"/>
        <v>1135505.336864823</v>
      </c>
    </row>
    <row r="278" spans="1:7" x14ac:dyDescent="0.25">
      <c r="A278" s="49">
        <f>'A) Base RI'!A273</f>
        <v>5872</v>
      </c>
      <c r="B278" s="286" t="str">
        <f>'A) Base RI'!B273</f>
        <v>Le Chenit</v>
      </c>
      <c r="C278" s="10">
        <f>'A) Base RI'!V273</f>
        <v>4569</v>
      </c>
      <c r="D278" s="432">
        <f>'C) Prél. conj.'!H272</f>
        <v>2863982.8899999997</v>
      </c>
      <c r="E278" s="10">
        <f>'D) Ecrêtage'!M272</f>
        <v>79475.050463780062</v>
      </c>
      <c r="F278" s="432">
        <f>$F$11*'D) Ecrêtage'!C272</f>
        <v>2780670.1523726373</v>
      </c>
      <c r="G278" s="55">
        <f t="shared" si="4"/>
        <v>5724128.0928364163</v>
      </c>
    </row>
    <row r="279" spans="1:7" x14ac:dyDescent="0.25">
      <c r="A279" s="49">
        <f>'A) Base RI'!A274</f>
        <v>5873</v>
      </c>
      <c r="B279" s="286" t="str">
        <f>'A) Base RI'!B274</f>
        <v>Le Lieu</v>
      </c>
      <c r="C279" s="10">
        <f>'A) Base RI'!V274</f>
        <v>881</v>
      </c>
      <c r="D279" s="432">
        <f>'C) Prél. conj.'!H273</f>
        <v>372933.495</v>
      </c>
      <c r="E279" s="10">
        <f>'D) Ecrêtage'!M273</f>
        <v>0</v>
      </c>
      <c r="F279" s="432">
        <f>$F$11*'D) Ecrêtage'!C273</f>
        <v>383786.84813947609</v>
      </c>
      <c r="G279" s="55">
        <f t="shared" si="4"/>
        <v>756720.34313947614</v>
      </c>
    </row>
    <row r="280" spans="1:7" x14ac:dyDescent="0.25">
      <c r="A280" s="49">
        <f>'A) Base RI'!A275</f>
        <v>5881</v>
      </c>
      <c r="B280" s="286" t="str">
        <f>'A) Base RI'!B275</f>
        <v>Blonay</v>
      </c>
      <c r="C280" s="10">
        <f>'A) Base RI'!V275</f>
        <v>6291</v>
      </c>
      <c r="D280" s="432">
        <f>'C) Prél. conj.'!H274</f>
        <v>2437315.2349999999</v>
      </c>
      <c r="E280" s="10">
        <f>'D) Ecrêtage'!M274</f>
        <v>954510.78552257689</v>
      </c>
      <c r="F280" s="432">
        <f>$F$11*'D) Ecrêtage'!C274</f>
        <v>4528628.8578532999</v>
      </c>
      <c r="G280" s="55">
        <f t="shared" si="4"/>
        <v>7920454.8783758767</v>
      </c>
    </row>
    <row r="281" spans="1:7" x14ac:dyDescent="0.25">
      <c r="A281" s="49">
        <f>'A) Base RI'!A276</f>
        <v>5882</v>
      </c>
      <c r="B281" s="286" t="str">
        <f>'A) Base RI'!B276</f>
        <v>Chardonne</v>
      </c>
      <c r="C281" s="10">
        <f>'A) Base RI'!V276</f>
        <v>3078</v>
      </c>
      <c r="D281" s="432">
        <f>'C) Prél. conj.'!H275</f>
        <v>734217.58499999996</v>
      </c>
      <c r="E281" s="10">
        <f>'D) Ecrêtage'!M275</f>
        <v>570434.00878262089</v>
      </c>
      <c r="F281" s="432">
        <f>$F$11*'D) Ecrêtage'!C275</f>
        <v>2279577.0327247791</v>
      </c>
      <c r="G281" s="55">
        <f t="shared" si="4"/>
        <v>3584228.6265074001</v>
      </c>
    </row>
    <row r="282" spans="1:7" x14ac:dyDescent="0.25">
      <c r="A282" s="49">
        <f>'A) Base RI'!A277</f>
        <v>5883</v>
      </c>
      <c r="B282" s="286" t="str">
        <f>'A) Base RI'!B277</f>
        <v>Corseaux</v>
      </c>
      <c r="C282" s="10">
        <f>'A) Base RI'!V277</f>
        <v>2330</v>
      </c>
      <c r="D282" s="432">
        <f>'C) Prél. conj.'!H276</f>
        <v>1552478.375</v>
      </c>
      <c r="E282" s="10">
        <f>'D) Ecrêtage'!M276</f>
        <v>1634004.7568011072</v>
      </c>
      <c r="F282" s="432">
        <f>$F$11*'D) Ecrêtage'!C276</f>
        <v>2354476.0088968133</v>
      </c>
      <c r="G282" s="55">
        <f t="shared" si="4"/>
        <v>5540959.1406979207</v>
      </c>
    </row>
    <row r="283" spans="1:7" x14ac:dyDescent="0.25">
      <c r="A283" s="49">
        <f>'A) Base RI'!A278</f>
        <v>5884</v>
      </c>
      <c r="B283" s="286" t="str">
        <f>'A) Base RI'!B278</f>
        <v>Corsier-sur-Vevey</v>
      </c>
      <c r="C283" s="10">
        <f>'A) Base RI'!V278</f>
        <v>3390</v>
      </c>
      <c r="D283" s="432">
        <f>'C) Prél. conj.'!H277</f>
        <v>557221.98499999999</v>
      </c>
      <c r="E283" s="10">
        <f>'D) Ecrêtage'!M277</f>
        <v>0</v>
      </c>
      <c r="F283" s="432">
        <f>$F$11*'D) Ecrêtage'!C277</f>
        <v>1815548.6850750975</v>
      </c>
      <c r="G283" s="55">
        <f t="shared" si="4"/>
        <v>2372770.6700750976</v>
      </c>
    </row>
    <row r="284" spans="1:7" x14ac:dyDescent="0.25">
      <c r="A284" s="49">
        <f>'A) Base RI'!A279</f>
        <v>5885</v>
      </c>
      <c r="B284" s="286" t="str">
        <f>'A) Base RI'!B279</f>
        <v>Jongny</v>
      </c>
      <c r="C284" s="10">
        <f>'A) Base RI'!V279</f>
        <v>1805</v>
      </c>
      <c r="D284" s="432">
        <f>'C) Prél. conj.'!H278</f>
        <v>581298.58000000007</v>
      </c>
      <c r="E284" s="10">
        <f>'D) Ecrêtage'!M278</f>
        <v>134400.69659990291</v>
      </c>
      <c r="F284" s="432">
        <f>$F$11*'D) Ecrêtage'!C278</f>
        <v>1183691.8148002098</v>
      </c>
      <c r="G284" s="55">
        <f t="shared" si="4"/>
        <v>1899391.0914001127</v>
      </c>
    </row>
    <row r="285" spans="1:7" x14ac:dyDescent="0.25">
      <c r="A285" s="49">
        <f>'A) Base RI'!A280</f>
        <v>5886</v>
      </c>
      <c r="B285" s="286" t="str">
        <f>'A) Base RI'!B280</f>
        <v>Montreux</v>
      </c>
      <c r="C285" s="10">
        <f>'A) Base RI'!V280</f>
        <v>26012</v>
      </c>
      <c r="D285" s="432">
        <f>'C) Prél. conj.'!H279</f>
        <v>15532852.059999999</v>
      </c>
      <c r="E285" s="10">
        <f>'D) Ecrêtage'!M279</f>
        <v>0</v>
      </c>
      <c r="F285" s="432">
        <f>$F$11*'D) Ecrêtage'!C279</f>
        <v>14917389.524282144</v>
      </c>
      <c r="G285" s="55">
        <f t="shared" si="4"/>
        <v>30450241.584282145</v>
      </c>
    </row>
    <row r="286" spans="1:7" x14ac:dyDescent="0.25">
      <c r="A286" s="49">
        <f>'A) Base RI'!A281</f>
        <v>5888</v>
      </c>
      <c r="B286" s="286" t="str">
        <f>'A) Base RI'!B281</f>
        <v>Saint-Légier-La Chiésaz</v>
      </c>
      <c r="C286" s="10">
        <f>'A) Base RI'!V281</f>
        <v>5634</v>
      </c>
      <c r="D286" s="432">
        <f>'C) Prél. conj.'!H280</f>
        <v>1394565.2749999999</v>
      </c>
      <c r="E286" s="10">
        <f>'D) Ecrêtage'!M280</f>
        <v>883649.52186857269</v>
      </c>
      <c r="F286" s="432">
        <f>$F$11*'D) Ecrêtage'!C280</f>
        <v>4072784.0320229502</v>
      </c>
      <c r="G286" s="55">
        <f t="shared" si="4"/>
        <v>6350998.8288915223</v>
      </c>
    </row>
    <row r="287" spans="1:7" x14ac:dyDescent="0.25">
      <c r="A287" s="49">
        <f>'A) Base RI'!A282</f>
        <v>5889</v>
      </c>
      <c r="B287" s="286" t="str">
        <f>'A) Base RI'!B282</f>
        <v>La Tour-de-Peilz</v>
      </c>
      <c r="C287" s="10">
        <f>'A) Base RI'!V282</f>
        <v>12222</v>
      </c>
      <c r="D287" s="432">
        <f>'C) Prél. conj.'!H281</f>
        <v>1988211.64</v>
      </c>
      <c r="E287" s="10">
        <f>'D) Ecrêtage'!M281</f>
        <v>2097091.1770861344</v>
      </c>
      <c r="F287" s="432">
        <f>$F$11*'D) Ecrêtage'!C281</f>
        <v>9029599.8498323914</v>
      </c>
      <c r="G287" s="55">
        <f t="shared" si="4"/>
        <v>13114902.666918527</v>
      </c>
    </row>
    <row r="288" spans="1:7" x14ac:dyDescent="0.25">
      <c r="A288" s="49">
        <f>'A) Base RI'!A283</f>
        <v>5890</v>
      </c>
      <c r="B288" s="286" t="str">
        <f>'A) Base RI'!B283</f>
        <v>Vevey</v>
      </c>
      <c r="C288" s="10">
        <f>'A) Base RI'!V283</f>
        <v>19721</v>
      </c>
      <c r="D288" s="432">
        <f>'C) Prél. conj.'!H282</f>
        <v>3344709.7549999999</v>
      </c>
      <c r="E288" s="10">
        <f>'D) Ecrêtage'!M282</f>
        <v>220217.78966473369</v>
      </c>
      <c r="F288" s="432">
        <f>$F$11*'D) Ecrêtage'!C282</f>
        <v>11824814.949910732</v>
      </c>
      <c r="G288" s="55">
        <f t="shared" si="4"/>
        <v>15389742.494575467</v>
      </c>
    </row>
    <row r="289" spans="1:7" x14ac:dyDescent="0.25">
      <c r="A289" s="49">
        <f>'A) Base RI'!A284</f>
        <v>5891</v>
      </c>
      <c r="B289" s="286" t="str">
        <f>'A) Base RI'!B284</f>
        <v>Veytaux</v>
      </c>
      <c r="C289" s="10">
        <f>'A) Base RI'!V284</f>
        <v>952</v>
      </c>
      <c r="D289" s="432">
        <f>'C) Prél. conj.'!H283</f>
        <v>130905.74</v>
      </c>
      <c r="E289" s="10">
        <f>'D) Ecrêtage'!M283</f>
        <v>0</v>
      </c>
      <c r="F289" s="432">
        <f>$F$11*'D) Ecrêtage'!C283</f>
        <v>477044.21784717316</v>
      </c>
      <c r="G289" s="55">
        <f t="shared" si="4"/>
        <v>607949.95784717321</v>
      </c>
    </row>
    <row r="290" spans="1:7" x14ac:dyDescent="0.25">
      <c r="A290" s="49">
        <f>'A) Base RI'!A285</f>
        <v>5902</v>
      </c>
      <c r="B290" s="286" t="str">
        <f>'A) Base RI'!B285</f>
        <v>Belmont-sur-Yverdon</v>
      </c>
      <c r="C290" s="10">
        <f>'A) Base RI'!V285</f>
        <v>415</v>
      </c>
      <c r="D290" s="432">
        <f>'C) Prél. conj.'!H284</f>
        <v>31388.274999999998</v>
      </c>
      <c r="E290" s="10">
        <f>'D) Ecrêtage'!M284</f>
        <v>0</v>
      </c>
      <c r="F290" s="432">
        <f>$F$11*'D) Ecrêtage'!C284</f>
        <v>147650.94224530132</v>
      </c>
      <c r="G290" s="55">
        <f t="shared" si="4"/>
        <v>179039.21724530132</v>
      </c>
    </row>
    <row r="291" spans="1:7" x14ac:dyDescent="0.25">
      <c r="A291" s="49">
        <f>'A) Base RI'!A286</f>
        <v>5903</v>
      </c>
      <c r="B291" s="286" t="str">
        <f>'A) Base RI'!B286</f>
        <v>Bioley-Magnoux</v>
      </c>
      <c r="C291" s="10">
        <f>'A) Base RI'!V286</f>
        <v>234</v>
      </c>
      <c r="D291" s="432">
        <f>'C) Prél. conj.'!H285</f>
        <v>10760.355</v>
      </c>
      <c r="E291" s="10">
        <f>'D) Ecrêtage'!M285</f>
        <v>0</v>
      </c>
      <c r="F291" s="432">
        <f>$F$11*'D) Ecrêtage'!C285</f>
        <v>73881.857804691666</v>
      </c>
      <c r="G291" s="55">
        <f t="shared" si="4"/>
        <v>84642.212804691662</v>
      </c>
    </row>
    <row r="292" spans="1:7" x14ac:dyDescent="0.25">
      <c r="A292" s="49">
        <f>'A) Base RI'!A287</f>
        <v>5904</v>
      </c>
      <c r="B292" s="286" t="str">
        <f>'A) Base RI'!B287</f>
        <v>Chamblon</v>
      </c>
      <c r="C292" s="10">
        <f>'A) Base RI'!V287</f>
        <v>561</v>
      </c>
      <c r="D292" s="432">
        <f>'C) Prél. conj.'!H286</f>
        <v>33055.434999999998</v>
      </c>
      <c r="E292" s="10">
        <f>'D) Ecrêtage'!M286</f>
        <v>0</v>
      </c>
      <c r="F292" s="432">
        <f>$F$11*'D) Ecrêtage'!C286</f>
        <v>270426.44318058906</v>
      </c>
      <c r="G292" s="55">
        <f t="shared" si="4"/>
        <v>303481.87818058906</v>
      </c>
    </row>
    <row r="293" spans="1:7" x14ac:dyDescent="0.25">
      <c r="A293" s="49">
        <f>'A) Base RI'!A288</f>
        <v>5905</v>
      </c>
      <c r="B293" s="286" t="str">
        <f>'A) Base RI'!B288</f>
        <v>Champvent</v>
      </c>
      <c r="C293" s="10">
        <f>'A) Base RI'!V288</f>
        <v>712</v>
      </c>
      <c r="D293" s="432">
        <f>'C) Prél. conj.'!H287</f>
        <v>174756.07499999998</v>
      </c>
      <c r="E293" s="10">
        <f>'D) Ecrêtage'!M287</f>
        <v>0</v>
      </c>
      <c r="F293" s="432">
        <f>$F$11*'D) Ecrêtage'!C287</f>
        <v>283327.17090320587</v>
      </c>
      <c r="G293" s="55">
        <f t="shared" si="4"/>
        <v>458083.24590320583</v>
      </c>
    </row>
    <row r="294" spans="1:7" x14ac:dyDescent="0.25">
      <c r="A294" s="49">
        <f>'A) Base RI'!A289</f>
        <v>5907</v>
      </c>
      <c r="B294" s="286" t="str">
        <f>'A) Base RI'!B289</f>
        <v>Chavannes-le-Chêne</v>
      </c>
      <c r="C294" s="10">
        <f>'A) Base RI'!V289</f>
        <v>325</v>
      </c>
      <c r="D294" s="432">
        <f>'C) Prél. conj.'!H288</f>
        <v>12711.205</v>
      </c>
      <c r="E294" s="10">
        <f>'D) Ecrêtage'!M288</f>
        <v>0</v>
      </c>
      <c r="F294" s="432">
        <f>$F$11*'D) Ecrêtage'!C288</f>
        <v>95331.745797853902</v>
      </c>
      <c r="G294" s="55">
        <f t="shared" si="4"/>
        <v>108042.9507978539</v>
      </c>
    </row>
    <row r="295" spans="1:7" x14ac:dyDescent="0.25">
      <c r="A295" s="49">
        <f>'A) Base RI'!A290</f>
        <v>5908</v>
      </c>
      <c r="B295" s="286" t="str">
        <f>'A) Base RI'!B290</f>
        <v>Chêne-Pâquier</v>
      </c>
      <c r="C295" s="10">
        <f>'A) Base RI'!V290</f>
        <v>153</v>
      </c>
      <c r="D295" s="432">
        <f>'C) Prél. conj.'!H289</f>
        <v>7434.085</v>
      </c>
      <c r="E295" s="10">
        <f>'D) Ecrêtage'!M289</f>
        <v>0</v>
      </c>
      <c r="F295" s="432">
        <f>$F$11*'D) Ecrêtage'!C289</f>
        <v>53819.901529653223</v>
      </c>
      <c r="G295" s="55">
        <f t="shared" si="4"/>
        <v>61253.986529653223</v>
      </c>
    </row>
    <row r="296" spans="1:7" x14ac:dyDescent="0.25">
      <c r="A296" s="49">
        <f>'A) Base RI'!A291</f>
        <v>5909</v>
      </c>
      <c r="B296" s="286" t="str">
        <f>'A) Base RI'!B291</f>
        <v>Cheseaux-Noréaz</v>
      </c>
      <c r="C296" s="10">
        <f>'A) Base RI'!V291</f>
        <v>728</v>
      </c>
      <c r="D296" s="432">
        <f>'C) Prél. conj.'!H290</f>
        <v>134913.19</v>
      </c>
      <c r="E296" s="10">
        <f>'D) Ecrêtage'!M290</f>
        <v>22041.533229838762</v>
      </c>
      <c r="F296" s="432">
        <f>$F$11*'D) Ecrêtage'!C290</f>
        <v>449916.72336957947</v>
      </c>
      <c r="G296" s="55">
        <f t="shared" si="4"/>
        <v>606871.44659941818</v>
      </c>
    </row>
    <row r="297" spans="1:7" x14ac:dyDescent="0.25">
      <c r="A297" s="49">
        <f>'A) Base RI'!A292</f>
        <v>5910</v>
      </c>
      <c r="B297" s="286" t="str">
        <f>'A) Base RI'!B292</f>
        <v>Cronay</v>
      </c>
      <c r="C297" s="10">
        <f>'A) Base RI'!V292</f>
        <v>403</v>
      </c>
      <c r="D297" s="432">
        <f>'C) Prél. conj.'!H291</f>
        <v>28881.25</v>
      </c>
      <c r="E297" s="10">
        <f>'D) Ecrêtage'!M291</f>
        <v>0</v>
      </c>
      <c r="F297" s="432">
        <f>$F$11*'D) Ecrêtage'!C291</f>
        <v>129254.44196599479</v>
      </c>
      <c r="G297" s="55">
        <f t="shared" si="4"/>
        <v>158135.69196599477</v>
      </c>
    </row>
    <row r="298" spans="1:7" x14ac:dyDescent="0.25">
      <c r="A298" s="49">
        <f>'A) Base RI'!A293</f>
        <v>5911</v>
      </c>
      <c r="B298" s="286" t="str">
        <f>'A) Base RI'!B293</f>
        <v>Cuarny</v>
      </c>
      <c r="C298" s="10">
        <f>'A) Base RI'!V293</f>
        <v>245</v>
      </c>
      <c r="D298" s="432">
        <f>'C) Prél. conj.'!H292</f>
        <v>24250.785</v>
      </c>
      <c r="E298" s="10">
        <f>'D) Ecrêtage'!M292</f>
        <v>0</v>
      </c>
      <c r="F298" s="432">
        <f>$F$11*'D) Ecrêtage'!C292</f>
        <v>91499.950891201268</v>
      </c>
      <c r="G298" s="55">
        <f t="shared" si="4"/>
        <v>115750.73589120127</v>
      </c>
    </row>
    <row r="299" spans="1:7" x14ac:dyDescent="0.25">
      <c r="A299" s="49">
        <f>'A) Base RI'!A294</f>
        <v>5912</v>
      </c>
      <c r="B299" s="286" t="str">
        <f>'A) Base RI'!B294</f>
        <v>Démoret</v>
      </c>
      <c r="C299" s="10">
        <f>'A) Base RI'!V294</f>
        <v>164</v>
      </c>
      <c r="D299" s="432">
        <f>'C) Prél. conj.'!H293</f>
        <v>16859.174999999999</v>
      </c>
      <c r="E299" s="10">
        <f>'D) Ecrêtage'!M293</f>
        <v>0</v>
      </c>
      <c r="F299" s="432">
        <f>$F$11*'D) Ecrêtage'!C293</f>
        <v>57583.705123648324</v>
      </c>
      <c r="G299" s="55">
        <f t="shared" si="4"/>
        <v>74442.880123648327</v>
      </c>
    </row>
    <row r="300" spans="1:7" x14ac:dyDescent="0.25">
      <c r="A300" s="49">
        <f>'A) Base RI'!A295</f>
        <v>5913</v>
      </c>
      <c r="B300" s="286" t="str">
        <f>'A) Base RI'!B295</f>
        <v>Donneloye</v>
      </c>
      <c r="C300" s="10">
        <f>'A) Base RI'!V295</f>
        <v>891</v>
      </c>
      <c r="D300" s="432">
        <f>'C) Prél. conj.'!H294</f>
        <v>80409.085000000006</v>
      </c>
      <c r="E300" s="10">
        <f>'D) Ecrêtage'!M294</f>
        <v>0</v>
      </c>
      <c r="F300" s="432">
        <f>$F$11*'D) Ecrêtage'!C294</f>
        <v>291339.32401855785</v>
      </c>
      <c r="G300" s="55">
        <f t="shared" si="4"/>
        <v>371748.40901855787</v>
      </c>
    </row>
    <row r="301" spans="1:7" x14ac:dyDescent="0.25">
      <c r="A301" s="49">
        <f>'A) Base RI'!A296</f>
        <v>5914</v>
      </c>
      <c r="B301" s="286" t="str">
        <f>'A) Base RI'!B296</f>
        <v>Ependes</v>
      </c>
      <c r="C301" s="10">
        <f>'A) Base RI'!V296</f>
        <v>381</v>
      </c>
      <c r="D301" s="432">
        <f>'C) Prél. conj.'!H295</f>
        <v>63985.214999999997</v>
      </c>
      <c r="E301" s="10">
        <f>'D) Ecrêtage'!M295</f>
        <v>0</v>
      </c>
      <c r="F301" s="432">
        <f>$F$11*'D) Ecrêtage'!C295</f>
        <v>119854.56497602386</v>
      </c>
      <c r="G301" s="55">
        <f t="shared" si="4"/>
        <v>183839.77997602386</v>
      </c>
    </row>
    <row r="302" spans="1:7" x14ac:dyDescent="0.25">
      <c r="A302" s="49">
        <f>'A) Base RI'!A297</f>
        <v>5919</v>
      </c>
      <c r="B302" s="286" t="str">
        <f>'A) Base RI'!B297</f>
        <v>Mathod</v>
      </c>
      <c r="C302" s="10">
        <f>'A) Base RI'!V297</f>
        <v>655</v>
      </c>
      <c r="D302" s="432">
        <f>'C) Prél. conj.'!H296</f>
        <v>47788.514999999999</v>
      </c>
      <c r="E302" s="10">
        <f>'D) Ecrêtage'!M296</f>
        <v>0</v>
      </c>
      <c r="F302" s="432">
        <f>$F$11*'D) Ecrêtage'!C296</f>
        <v>227831.10454033723</v>
      </c>
      <c r="G302" s="55">
        <f t="shared" si="4"/>
        <v>275619.61954033724</v>
      </c>
    </row>
    <row r="303" spans="1:7" x14ac:dyDescent="0.25">
      <c r="A303" s="49">
        <f>'A) Base RI'!A298</f>
        <v>5921</v>
      </c>
      <c r="B303" s="286" t="str">
        <f>'A) Base RI'!B298</f>
        <v>Molondin</v>
      </c>
      <c r="C303" s="10">
        <f>'A) Base RI'!V298</f>
        <v>239</v>
      </c>
      <c r="D303" s="432">
        <f>'C) Prél. conj.'!H297</f>
        <v>4549.92</v>
      </c>
      <c r="E303" s="10">
        <f>'D) Ecrêtage'!M297</f>
        <v>0</v>
      </c>
      <c r="F303" s="432">
        <f>$F$11*'D) Ecrêtage'!C297</f>
        <v>71635.812052979614</v>
      </c>
      <c r="G303" s="55">
        <f t="shared" si="4"/>
        <v>76185.732052979612</v>
      </c>
    </row>
    <row r="304" spans="1:7" x14ac:dyDescent="0.25">
      <c r="A304" s="49">
        <f>'A) Base RI'!A299</f>
        <v>5922</v>
      </c>
      <c r="B304" s="286" t="str">
        <f>'A) Base RI'!B299</f>
        <v>Montagny-près-Yverdon</v>
      </c>
      <c r="C304" s="10">
        <f>'A) Base RI'!V299</f>
        <v>775</v>
      </c>
      <c r="D304" s="432">
        <f>'C) Prél. conj.'!H298</f>
        <v>276288.565</v>
      </c>
      <c r="E304" s="10">
        <f>'D) Ecrêtage'!M298</f>
        <v>26888.103673908648</v>
      </c>
      <c r="F304" s="432">
        <f>$F$11*'D) Ecrêtage'!C298</f>
        <v>483027.14159590221</v>
      </c>
      <c r="G304" s="55">
        <f t="shared" si="4"/>
        <v>786203.81026981084</v>
      </c>
    </row>
    <row r="305" spans="1:7" x14ac:dyDescent="0.25">
      <c r="A305" s="49">
        <f>'A) Base RI'!A300</f>
        <v>5923</v>
      </c>
      <c r="B305" s="286" t="str">
        <f>'A) Base RI'!B300</f>
        <v>Oppens</v>
      </c>
      <c r="C305" s="10">
        <f>'A) Base RI'!V300</f>
        <v>201</v>
      </c>
      <c r="D305" s="432">
        <f>'C) Prél. conj.'!H299</f>
        <v>34730.39</v>
      </c>
      <c r="E305" s="10">
        <f>'D) Ecrêtage'!M299</f>
        <v>0</v>
      </c>
      <c r="F305" s="432">
        <f>$F$11*'D) Ecrêtage'!C299</f>
        <v>62123.049516124192</v>
      </c>
      <c r="G305" s="55">
        <f t="shared" si="4"/>
        <v>96853.439516124199</v>
      </c>
    </row>
    <row r="306" spans="1:7" x14ac:dyDescent="0.25">
      <c r="A306" s="49">
        <f>'A) Base RI'!A301</f>
        <v>5924</v>
      </c>
      <c r="B306" s="286" t="str">
        <f>'A) Base RI'!B301</f>
        <v>Orges</v>
      </c>
      <c r="C306" s="10">
        <f>'A) Base RI'!V301</f>
        <v>367</v>
      </c>
      <c r="D306" s="432">
        <f>'C) Prél. conj.'!H300</f>
        <v>46697.440000000002</v>
      </c>
      <c r="E306" s="10">
        <f>'D) Ecrêtage'!M300</f>
        <v>0</v>
      </c>
      <c r="F306" s="432">
        <f>$F$11*'D) Ecrêtage'!C300</f>
        <v>159856.71443026577</v>
      </c>
      <c r="G306" s="55">
        <f t="shared" si="4"/>
        <v>206554.15443026577</v>
      </c>
    </row>
    <row r="307" spans="1:7" x14ac:dyDescent="0.25">
      <c r="A307" s="49">
        <f>'A) Base RI'!A302</f>
        <v>5925</v>
      </c>
      <c r="B307" s="286" t="str">
        <f>'A) Base RI'!B302</f>
        <v>Orzens</v>
      </c>
      <c r="C307" s="10">
        <f>'A) Base RI'!V302</f>
        <v>202</v>
      </c>
      <c r="D307" s="432">
        <f>'C) Prél. conj.'!H301</f>
        <v>68662.324999999997</v>
      </c>
      <c r="E307" s="10">
        <f>'D) Ecrêtage'!M301</f>
        <v>0</v>
      </c>
      <c r="F307" s="432">
        <f>$F$11*'D) Ecrêtage'!C301</f>
        <v>63778.306053606859</v>
      </c>
      <c r="G307" s="55">
        <f t="shared" si="4"/>
        <v>132440.63105360686</v>
      </c>
    </row>
    <row r="308" spans="1:7" x14ac:dyDescent="0.25">
      <c r="A308" s="49">
        <f>'A) Base RI'!A303</f>
        <v>5926</v>
      </c>
      <c r="B308" s="286" t="str">
        <f>'A) Base RI'!B303</f>
        <v>Pomy</v>
      </c>
      <c r="C308" s="10">
        <f>'A) Base RI'!V303</f>
        <v>838</v>
      </c>
      <c r="D308" s="432">
        <f>'C) Prél. conj.'!H302</f>
        <v>106457.55499999999</v>
      </c>
      <c r="E308" s="10">
        <f>'D) Ecrêtage'!M302</f>
        <v>0</v>
      </c>
      <c r="F308" s="432">
        <f>$F$11*'D) Ecrêtage'!C302</f>
        <v>339890.52596321009</v>
      </c>
      <c r="G308" s="55">
        <f t="shared" si="4"/>
        <v>446348.08096321009</v>
      </c>
    </row>
    <row r="309" spans="1:7" x14ac:dyDescent="0.25">
      <c r="A309" s="49">
        <f>'A) Base RI'!A304</f>
        <v>5928</v>
      </c>
      <c r="B309" s="286" t="str">
        <f>'A) Base RI'!B304</f>
        <v>Rovray</v>
      </c>
      <c r="C309" s="10">
        <f>'A) Base RI'!V304</f>
        <v>206</v>
      </c>
      <c r="D309" s="432">
        <f>'C) Prél. conj.'!H303</f>
        <v>13014.73</v>
      </c>
      <c r="E309" s="10">
        <f>'D) Ecrêtage'!M303</f>
        <v>0</v>
      </c>
      <c r="F309" s="432">
        <f>$F$11*'D) Ecrêtage'!C303</f>
        <v>66569.042121283477</v>
      </c>
      <c r="G309" s="55">
        <f t="shared" si="4"/>
        <v>79583.772121283473</v>
      </c>
    </row>
    <row r="310" spans="1:7" x14ac:dyDescent="0.25">
      <c r="A310" s="49">
        <f>'A) Base RI'!A305</f>
        <v>5929</v>
      </c>
      <c r="B310" s="286" t="str">
        <f>'A) Base RI'!B305</f>
        <v>Suchy</v>
      </c>
      <c r="C310" s="10">
        <f>'A) Base RI'!V305</f>
        <v>656</v>
      </c>
      <c r="D310" s="432">
        <f>'C) Prél. conj.'!H304</f>
        <v>73535.040000000008</v>
      </c>
      <c r="E310" s="10">
        <f>'D) Ecrêtage'!M304</f>
        <v>0</v>
      </c>
      <c r="F310" s="432">
        <f>$F$11*'D) Ecrêtage'!C304</f>
        <v>247122.21193724932</v>
      </c>
      <c r="G310" s="55">
        <f t="shared" si="4"/>
        <v>320657.25193724933</v>
      </c>
    </row>
    <row r="311" spans="1:7" x14ac:dyDescent="0.25">
      <c r="A311" s="49">
        <f>'A) Base RI'!A306</f>
        <v>5930</v>
      </c>
      <c r="B311" s="286" t="str">
        <f>'A) Base RI'!B306</f>
        <v>Suscévaz</v>
      </c>
      <c r="C311" s="10">
        <f>'A) Base RI'!V306</f>
        <v>215</v>
      </c>
      <c r="D311" s="432">
        <f>'C) Prél. conj.'!H305</f>
        <v>39920.9</v>
      </c>
      <c r="E311" s="10">
        <f>'D) Ecrêtage'!M305</f>
        <v>0</v>
      </c>
      <c r="F311" s="432">
        <f>$F$11*'D) Ecrêtage'!C305</f>
        <v>81229.739309305747</v>
      </c>
      <c r="G311" s="55">
        <f t="shared" si="4"/>
        <v>121150.63930930576</v>
      </c>
    </row>
    <row r="312" spans="1:7" x14ac:dyDescent="0.25">
      <c r="A312" s="49">
        <f>'A) Base RI'!A307</f>
        <v>5931</v>
      </c>
      <c r="B312" s="286" t="str">
        <f>'A) Base RI'!B307</f>
        <v>Treycovagnes</v>
      </c>
      <c r="C312" s="10">
        <f>'A) Base RI'!V307</f>
        <v>490</v>
      </c>
      <c r="D312" s="432">
        <f>'C) Prél. conj.'!H306</f>
        <v>81251.62000000001</v>
      </c>
      <c r="E312" s="10">
        <f>'D) Ecrêtage'!M306</f>
        <v>0</v>
      </c>
      <c r="F312" s="432">
        <f>$F$11*'D) Ecrêtage'!C306</f>
        <v>186205.58333734391</v>
      </c>
      <c r="G312" s="55">
        <f t="shared" si="4"/>
        <v>267457.20333734393</v>
      </c>
    </row>
    <row r="313" spans="1:7" x14ac:dyDescent="0.25">
      <c r="A313" s="49">
        <f>'A) Base RI'!A308</f>
        <v>5932</v>
      </c>
      <c r="B313" s="286" t="str">
        <f>'A) Base RI'!B308</f>
        <v>Ursins</v>
      </c>
      <c r="C313" s="10">
        <f>'A) Base RI'!V308</f>
        <v>228</v>
      </c>
      <c r="D313" s="432">
        <f>'C) Prél. conj.'!H307</f>
        <v>4924.3500000000004</v>
      </c>
      <c r="E313" s="10">
        <f>'D) Ecrêtage'!M307</f>
        <v>0</v>
      </c>
      <c r="F313" s="432">
        <f>$F$11*'D) Ecrêtage'!C307</f>
        <v>93929.227574290591</v>
      </c>
      <c r="G313" s="55">
        <f t="shared" si="4"/>
        <v>98853.577574290597</v>
      </c>
    </row>
    <row r="314" spans="1:7" x14ac:dyDescent="0.25">
      <c r="A314" s="49">
        <f>'A) Base RI'!A309</f>
        <v>5933</v>
      </c>
      <c r="B314" s="286" t="str">
        <f>'A) Base RI'!B309</f>
        <v>Valeyres-sous-Montagny</v>
      </c>
      <c r="C314" s="10">
        <f>'A) Base RI'!V309</f>
        <v>697</v>
      </c>
      <c r="D314" s="432">
        <f>'C) Prél. conj.'!H308</f>
        <v>71457.494999999995</v>
      </c>
      <c r="E314" s="10">
        <f>'D) Ecrêtage'!M308</f>
        <v>0</v>
      </c>
      <c r="F314" s="432">
        <f>$F$11*'D) Ecrêtage'!C308</f>
        <v>239075.64201059492</v>
      </c>
      <c r="G314" s="55">
        <f t="shared" si="4"/>
        <v>310533.13701059495</v>
      </c>
    </row>
    <row r="315" spans="1:7" x14ac:dyDescent="0.25">
      <c r="A315" s="49">
        <f>'A) Base RI'!A310</f>
        <v>5934</v>
      </c>
      <c r="B315" s="286" t="str">
        <f>'A) Base RI'!B310</f>
        <v>Valeyres-sous-Ursins</v>
      </c>
      <c r="C315" s="10">
        <f>'A) Base RI'!V310</f>
        <v>247</v>
      </c>
      <c r="D315" s="432">
        <f>'C) Prél. conj.'!H309</f>
        <v>6024.6450000000004</v>
      </c>
      <c r="E315" s="10">
        <f>'D) Ecrêtage'!M309</f>
        <v>0</v>
      </c>
      <c r="F315" s="432">
        <f>$F$11*'D) Ecrêtage'!C309</f>
        <v>85576.29493844496</v>
      </c>
      <c r="G315" s="55">
        <f t="shared" si="4"/>
        <v>91600.939938444964</v>
      </c>
    </row>
    <row r="316" spans="1:7" x14ac:dyDescent="0.25">
      <c r="A316" s="49">
        <f>'A) Base RI'!A311</f>
        <v>5935</v>
      </c>
      <c r="B316" s="286" t="str">
        <f>'A) Base RI'!B311</f>
        <v>Villars-Epeney</v>
      </c>
      <c r="C316" s="10">
        <f>'A) Base RI'!V311</f>
        <v>95</v>
      </c>
      <c r="D316" s="432">
        <f>'C) Prél. conj.'!H310</f>
        <v>5060</v>
      </c>
      <c r="E316" s="10">
        <f>'D) Ecrêtage'!M310</f>
        <v>0</v>
      </c>
      <c r="F316" s="432">
        <f>$F$11*'D) Ecrêtage'!C310</f>
        <v>42045.435262094077</v>
      </c>
      <c r="G316" s="55">
        <f t="shared" si="4"/>
        <v>47105.435262094077</v>
      </c>
    </row>
    <row r="317" spans="1:7" x14ac:dyDescent="0.25">
      <c r="A317" s="49">
        <f>'A) Base RI'!A312</f>
        <v>5937</v>
      </c>
      <c r="B317" s="286" t="str">
        <f>'A) Base RI'!B312</f>
        <v>Vugelles-La Mothe</v>
      </c>
      <c r="C317" s="10">
        <f>'A) Base RI'!V312</f>
        <v>140</v>
      </c>
      <c r="D317" s="432">
        <f>'C) Prél. conj.'!H311</f>
        <v>5115</v>
      </c>
      <c r="E317" s="10">
        <f>'D) Ecrêtage'!M311</f>
        <v>0</v>
      </c>
      <c r="F317" s="432">
        <f>$F$11*'D) Ecrêtage'!C311</f>
        <v>42331.467672541614</v>
      </c>
      <c r="G317" s="55">
        <f t="shared" si="4"/>
        <v>47446.467672541614</v>
      </c>
    </row>
    <row r="318" spans="1:7" x14ac:dyDescent="0.25">
      <c r="A318" s="49">
        <f>'A) Base RI'!A313</f>
        <v>5938</v>
      </c>
      <c r="B318" s="286" t="str">
        <f>'A) Base RI'!B313</f>
        <v>Yverdon-les-Bains</v>
      </c>
      <c r="C318" s="10">
        <f>'A) Base RI'!V313</f>
        <v>29710</v>
      </c>
      <c r="D318" s="432">
        <f>'C) Prél. conj.'!H312</f>
        <v>4584273.9799999995</v>
      </c>
      <c r="E318" s="10">
        <f>'D) Ecrêtage'!M312</f>
        <v>0</v>
      </c>
      <c r="F318" s="432">
        <f>$F$11*'D) Ecrêtage'!C312</f>
        <v>9300715.0160098858</v>
      </c>
      <c r="G318" s="55">
        <f t="shared" si="4"/>
        <v>13884988.996009886</v>
      </c>
    </row>
    <row r="319" spans="1:7" x14ac:dyDescent="0.25">
      <c r="A319" s="49">
        <f>'A) Base RI'!A314</f>
        <v>5939</v>
      </c>
      <c r="B319" s="286" t="str">
        <f>'A) Base RI'!B314</f>
        <v>Yvonand</v>
      </c>
      <c r="C319" s="10">
        <f>'A) Base RI'!V314</f>
        <v>3512</v>
      </c>
      <c r="D319" s="432">
        <f>'C) Prél. conj.'!H313</f>
        <v>353543.815</v>
      </c>
      <c r="E319" s="10">
        <f>'D) Ecrêtage'!M313</f>
        <v>0</v>
      </c>
      <c r="F319" s="432">
        <f>$F$11*'D) Ecrêtage'!C313</f>
        <v>1284407.8991912103</v>
      </c>
      <c r="G319" s="55">
        <f t="shared" si="4"/>
        <v>1637951.7141912102</v>
      </c>
    </row>
    <row r="320" spans="1:7" x14ac:dyDescent="0.25">
      <c r="A320" s="30"/>
      <c r="B320" s="292">
        <f>COUNTA(B12:B319)</f>
        <v>308</v>
      </c>
      <c r="C320" s="11">
        <f>SUM(C12:C319)</f>
        <v>823881</v>
      </c>
      <c r="D320" s="293">
        <f>SUM(D12:D319)</f>
        <v>186127479.94500011</v>
      </c>
      <c r="E320" s="11">
        <f>SUM(E12:E319)</f>
        <v>122739972.62232283</v>
      </c>
      <c r="F320" s="293">
        <f>SUM(F12:F319)</f>
        <v>486474591.43267733</v>
      </c>
      <c r="G320" s="37">
        <f>SUM(G12:G319)</f>
        <v>795342043.99999928</v>
      </c>
    </row>
    <row r="321" spans="1:13" x14ac:dyDescent="0.25">
      <c r="C321" s="71"/>
      <c r="D321" s="71"/>
      <c r="E321" s="71"/>
      <c r="F321" s="71"/>
    </row>
    <row r="322" spans="1:13" x14ac:dyDescent="0.25">
      <c r="A322" s="72"/>
      <c r="B322" s="73"/>
      <c r="C322" s="73"/>
      <c r="D322" s="45"/>
      <c r="E322" s="74"/>
      <c r="F322" s="16"/>
      <c r="G322" s="16"/>
      <c r="H322" s="16"/>
      <c r="I322" s="16"/>
      <c r="J322" s="16"/>
      <c r="M322" s="16"/>
    </row>
    <row r="323" spans="1:13" x14ac:dyDescent="0.25">
      <c r="F323" s="72"/>
      <c r="G323" s="72"/>
      <c r="H323" s="72"/>
      <c r="I323" s="72"/>
      <c r="J323" s="72"/>
      <c r="K323" s="72"/>
      <c r="L323" s="73"/>
      <c r="M323" s="72"/>
    </row>
    <row r="324" spans="1:13" x14ac:dyDescent="0.25">
      <c r="F324" s="73"/>
      <c r="G324" s="72"/>
      <c r="H324" s="72"/>
      <c r="I324" s="72"/>
      <c r="J324" s="72"/>
      <c r="K324" s="72"/>
      <c r="L324" s="72"/>
      <c r="M324" s="72"/>
    </row>
    <row r="325" spans="1:13" x14ac:dyDescent="0.25">
      <c r="F325" s="73"/>
      <c r="G325" s="72"/>
      <c r="H325" s="72"/>
      <c r="I325" s="72"/>
      <c r="M325" s="72"/>
    </row>
    <row r="326" spans="1:13" x14ac:dyDescent="0.25">
      <c r="F326" s="73"/>
      <c r="G326" s="72"/>
      <c r="H326" s="72"/>
      <c r="I326" s="72"/>
      <c r="M326" s="72"/>
    </row>
    <row r="327" spans="1:13" x14ac:dyDescent="0.25">
      <c r="F327" s="85"/>
      <c r="G327" s="72"/>
      <c r="H327" s="72"/>
      <c r="I327" s="72"/>
      <c r="M327" s="72"/>
    </row>
    <row r="328" spans="1:13" x14ac:dyDescent="0.25">
      <c r="D328" s="17"/>
      <c r="E328" s="72"/>
      <c r="F328" s="72"/>
      <c r="G328" s="72"/>
      <c r="H328" s="72"/>
      <c r="I328" s="72"/>
      <c r="J328" s="72"/>
      <c r="K328" s="72"/>
      <c r="L328" s="72"/>
      <c r="M328" s="72"/>
    </row>
    <row r="329" spans="1:13" x14ac:dyDescent="0.25">
      <c r="C329" s="58"/>
      <c r="E329" s="72"/>
      <c r="F329" s="72"/>
      <c r="G329" s="72"/>
      <c r="H329" s="72"/>
      <c r="I329" s="72"/>
      <c r="J329" s="72"/>
      <c r="K329" s="72"/>
      <c r="L329" s="72"/>
      <c r="M329" s="72"/>
    </row>
    <row r="330" spans="1:13" x14ac:dyDescent="0.25">
      <c r="E330" s="72"/>
      <c r="F330" s="72"/>
      <c r="G330" s="72"/>
      <c r="H330" s="72"/>
      <c r="I330" s="72"/>
      <c r="J330" s="72"/>
      <c r="M330" s="72"/>
    </row>
    <row r="331" spans="1:13" x14ac:dyDescent="0.25">
      <c r="E331" s="72"/>
      <c r="F331" s="72"/>
      <c r="G331" s="72"/>
      <c r="H331" s="72"/>
      <c r="I331" s="72"/>
      <c r="J331" s="72"/>
      <c r="M331" s="72"/>
    </row>
    <row r="332" spans="1:13" x14ac:dyDescent="0.25">
      <c r="E332" s="72"/>
      <c r="F332" s="72"/>
      <c r="G332" s="72"/>
      <c r="H332" s="72"/>
      <c r="I332" s="72"/>
      <c r="J332" s="72"/>
      <c r="M332" s="72"/>
    </row>
  </sheetData>
  <mergeCells count="7">
    <mergeCell ref="A4:C4"/>
    <mergeCell ref="A10:A11"/>
    <mergeCell ref="G10:G11"/>
    <mergeCell ref="E10:E11"/>
    <mergeCell ref="D10:D11"/>
    <mergeCell ref="C10:C11"/>
    <mergeCell ref="B10:B11"/>
  </mergeCells>
  <phoneticPr fontId="0" type="noConversion"/>
  <printOptions horizontalCentered="1"/>
  <pageMargins left="0" right="0" top="0" bottom="0" header="0.51181102362204722" footer="0.51181102362204722"/>
  <pageSetup paperSize="9" scale="73" orientation="portrait" horizontalDpi="4294967292" verticalDpi="4294967292"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Feuil9">
    <tabColor rgb="FF00B050"/>
  </sheetPr>
  <dimension ref="A1:L328"/>
  <sheetViews>
    <sheetView workbookViewId="0">
      <selection activeCell="A3" sqref="A3"/>
    </sheetView>
  </sheetViews>
  <sheetFormatPr baseColWidth="10" defaultColWidth="11" defaultRowHeight="15" x14ac:dyDescent="0.25"/>
  <cols>
    <col min="1" max="1" width="7.25" style="13" customWidth="1"/>
    <col min="2" max="2" width="17.375" style="13" bestFit="1" customWidth="1"/>
    <col min="3" max="3" width="11.875" style="13" customWidth="1"/>
    <col min="4" max="9" width="11" style="13"/>
    <col min="10" max="10" width="8.25" style="13" bestFit="1" customWidth="1"/>
    <col min="11" max="11" width="13" style="13" bestFit="1" customWidth="1"/>
    <col min="12" max="16384" width="11" style="13"/>
  </cols>
  <sheetData>
    <row r="1" spans="1:12" ht="21" x14ac:dyDescent="0.25">
      <c r="A1" s="51" t="s">
        <v>437</v>
      </c>
      <c r="B1" s="42"/>
      <c r="C1" s="68"/>
    </row>
    <row r="2" spans="1:12" s="400" customFormat="1" ht="21" x14ac:dyDescent="0.25">
      <c r="A2" s="200" t="str">
        <f>Paramètres!B5</f>
        <v>décompte provisoire 2021</v>
      </c>
      <c r="B2" s="42"/>
      <c r="C2" s="404"/>
    </row>
    <row r="3" spans="1:12" x14ac:dyDescent="0.25">
      <c r="A3" s="27"/>
      <c r="B3" s="53"/>
    </row>
    <row r="4" spans="1:12" x14ac:dyDescent="0.25">
      <c r="A4" s="27"/>
      <c r="B4" s="53"/>
      <c r="C4" s="599" t="s">
        <v>301</v>
      </c>
      <c r="D4" s="600"/>
      <c r="E4" s="600"/>
      <c r="F4" s="600"/>
      <c r="G4" s="600"/>
      <c r="H4" s="600"/>
      <c r="I4" s="600"/>
      <c r="J4" s="601"/>
    </row>
    <row r="5" spans="1:12" x14ac:dyDescent="0.25">
      <c r="C5" s="122" t="s">
        <v>300</v>
      </c>
      <c r="D5" s="102">
        <f>Paramètres!B20</f>
        <v>0</v>
      </c>
      <c r="E5" s="102">
        <f>Paramètres!C20</f>
        <v>1000</v>
      </c>
      <c r="F5" s="102">
        <f>Paramètres!D20</f>
        <v>3000</v>
      </c>
      <c r="G5" s="102">
        <f>Paramètres!E20</f>
        <v>5000</v>
      </c>
      <c r="H5" s="102">
        <f>Paramètres!F20</f>
        <v>9000</v>
      </c>
      <c r="I5" s="102">
        <f>Paramètres!G20</f>
        <v>12000</v>
      </c>
      <c r="J5" s="102">
        <f>Paramètres!H20</f>
        <v>15000</v>
      </c>
    </row>
    <row r="6" spans="1:12" x14ac:dyDescent="0.25">
      <c r="C6" s="105" t="s">
        <v>302</v>
      </c>
      <c r="D6" s="102">
        <f>Paramètres!B21</f>
        <v>1000</v>
      </c>
      <c r="E6" s="102">
        <f>Paramètres!C21</f>
        <v>3000</v>
      </c>
      <c r="F6" s="102">
        <f>Paramètres!D21</f>
        <v>5000</v>
      </c>
      <c r="G6" s="102">
        <f>Paramètres!E21</f>
        <v>9000</v>
      </c>
      <c r="H6" s="102">
        <f>Paramètres!F21</f>
        <v>12000</v>
      </c>
      <c r="I6" s="102">
        <f>Paramètres!G21</f>
        <v>15000</v>
      </c>
      <c r="J6" s="102"/>
    </row>
    <row r="7" spans="1:12" ht="30" customHeight="1" x14ac:dyDescent="0.25">
      <c r="A7" s="581" t="s">
        <v>46</v>
      </c>
      <c r="B7" s="581" t="s">
        <v>94</v>
      </c>
      <c r="C7" s="581" t="s">
        <v>297</v>
      </c>
      <c r="D7" s="588" t="s">
        <v>303</v>
      </c>
      <c r="E7" s="589"/>
      <c r="F7" s="589"/>
      <c r="G7" s="589"/>
      <c r="H7" s="589"/>
      <c r="I7" s="589"/>
      <c r="J7" s="590"/>
      <c r="K7" s="581" t="s">
        <v>288</v>
      </c>
    </row>
    <row r="8" spans="1:12" x14ac:dyDescent="0.25">
      <c r="A8" s="582"/>
      <c r="B8" s="583"/>
      <c r="C8" s="583"/>
      <c r="D8" s="270">
        <f>Paramètres!B25</f>
        <v>124.74849094567404</v>
      </c>
      <c r="E8" s="270">
        <f>Paramètres!C25</f>
        <v>349.2957746478873</v>
      </c>
      <c r="F8" s="270">
        <f>Paramètres!D25</f>
        <v>498.99396378269614</v>
      </c>
      <c r="G8" s="270">
        <f>Paramètres!E25</f>
        <v>598.79275653923537</v>
      </c>
      <c r="H8" s="270">
        <f>Paramètres!F25</f>
        <v>848.2897384305835</v>
      </c>
      <c r="I8" s="270">
        <f>Paramètres!G25</f>
        <v>997.98792756539228</v>
      </c>
      <c r="J8" s="270">
        <f>Paramètres!H25</f>
        <v>1047.8873239436618</v>
      </c>
      <c r="K8" s="582"/>
    </row>
    <row r="9" spans="1:12" x14ac:dyDescent="0.25">
      <c r="A9" s="46">
        <f>'A) Base RI'!A7</f>
        <v>5401</v>
      </c>
      <c r="B9" s="288" t="str">
        <f>'A) Base RI'!B7</f>
        <v>Aigle</v>
      </c>
      <c r="C9" s="54">
        <f>'A) Base RI'!V7</f>
        <v>10828</v>
      </c>
      <c r="D9" s="10">
        <f>IF($C9&gt;D$5,IF($C9&lt;D$6,$C9-D$5,D$6-D$5),0)</f>
        <v>1000</v>
      </c>
      <c r="E9" s="14">
        <f t="shared" ref="E9:I24" si="0">IF($C9&gt;E$5,IF($C9&lt;E$6,$C9-E$5,E$6-E$5),0)</f>
        <v>2000</v>
      </c>
      <c r="F9" s="10">
        <f t="shared" si="0"/>
        <v>2000</v>
      </c>
      <c r="G9" s="14">
        <f t="shared" si="0"/>
        <v>4000</v>
      </c>
      <c r="H9" s="41">
        <f t="shared" si="0"/>
        <v>1828</v>
      </c>
      <c r="I9" s="10">
        <f t="shared" si="0"/>
        <v>0</v>
      </c>
      <c r="J9" s="10">
        <f>IF(C9&gt;$J$5,C9-$J$5,0)</f>
        <v>0</v>
      </c>
      <c r="K9" s="113">
        <f>(D9*D$8)+(E9*E$8)+(F9*F$8)+(G9*G$8)+(H9*H$8)+(I9*I$8)+(J9*J$8)</f>
        <v>5767172.6358148884</v>
      </c>
    </row>
    <row r="10" spans="1:12" x14ac:dyDescent="0.25">
      <c r="A10" s="49">
        <f>'A) Base RI'!A8</f>
        <v>5402</v>
      </c>
      <c r="B10" s="288" t="str">
        <f>'A) Base RI'!B8</f>
        <v>Bex</v>
      </c>
      <c r="C10" s="10">
        <f>'A) Base RI'!V8</f>
        <v>8063</v>
      </c>
      <c r="D10" s="10">
        <f t="shared" ref="D10:I63" si="1">IF($C10&gt;D$5,IF($C10&lt;D$6,$C10-D$5,D$6-D$5),0)</f>
        <v>1000</v>
      </c>
      <c r="E10" s="411">
        <f t="shared" si="0"/>
        <v>2000</v>
      </c>
      <c r="F10" s="10">
        <f t="shared" si="0"/>
        <v>2000</v>
      </c>
      <c r="G10" s="411">
        <f t="shared" si="0"/>
        <v>3063</v>
      </c>
      <c r="H10" s="41">
        <f t="shared" si="0"/>
        <v>0</v>
      </c>
      <c r="I10" s="10">
        <f t="shared" si="0"/>
        <v>0</v>
      </c>
      <c r="J10" s="10">
        <f t="shared" ref="J10:J72" si="2">IF(C10&gt;$J$5,C10-$J$5,0)</f>
        <v>0</v>
      </c>
      <c r="K10" s="113">
        <f t="shared" ref="K10:K72" si="3">(D10*D$8)+(E10*E$8)+(F10*F$8)+(G10*G$8)+(H10*H$8)+(I10*I$8)+(J10*J$8)</f>
        <v>3655430.1810865188</v>
      </c>
    </row>
    <row r="11" spans="1:12" x14ac:dyDescent="0.25">
      <c r="A11" s="49">
        <f>'A) Base RI'!A9</f>
        <v>5403</v>
      </c>
      <c r="B11" s="288" t="str">
        <f>'A) Base RI'!B9</f>
        <v>Chessel</v>
      </c>
      <c r="C11" s="10">
        <f>'A) Base RI'!V9</f>
        <v>497</v>
      </c>
      <c r="D11" s="10">
        <f t="shared" si="1"/>
        <v>497</v>
      </c>
      <c r="E11" s="411">
        <f t="shared" si="0"/>
        <v>0</v>
      </c>
      <c r="F11" s="10">
        <f t="shared" si="0"/>
        <v>0</v>
      </c>
      <c r="G11" s="411">
        <f t="shared" si="0"/>
        <v>0</v>
      </c>
      <c r="H11" s="41">
        <f t="shared" si="0"/>
        <v>0</v>
      </c>
      <c r="I11" s="10">
        <f t="shared" si="0"/>
        <v>0</v>
      </c>
      <c r="J11" s="10">
        <f t="shared" si="2"/>
        <v>0</v>
      </c>
      <c r="K11" s="113">
        <f t="shared" si="3"/>
        <v>61999.999999999993</v>
      </c>
    </row>
    <row r="12" spans="1:12" x14ac:dyDescent="0.25">
      <c r="A12" s="49">
        <f>'A) Base RI'!A10</f>
        <v>5404</v>
      </c>
      <c r="B12" s="288" t="str">
        <f>'A) Base RI'!B10</f>
        <v>Corbeyrier</v>
      </c>
      <c r="C12" s="10">
        <f>'A) Base RI'!V10</f>
        <v>439</v>
      </c>
      <c r="D12" s="10">
        <f t="shared" si="1"/>
        <v>439</v>
      </c>
      <c r="E12" s="411">
        <f t="shared" si="0"/>
        <v>0</v>
      </c>
      <c r="F12" s="10">
        <f t="shared" si="0"/>
        <v>0</v>
      </c>
      <c r="G12" s="411">
        <f t="shared" si="0"/>
        <v>0</v>
      </c>
      <c r="H12" s="41">
        <f t="shared" si="0"/>
        <v>0</v>
      </c>
      <c r="I12" s="10">
        <f t="shared" si="0"/>
        <v>0</v>
      </c>
      <c r="J12" s="10">
        <f t="shared" si="2"/>
        <v>0</v>
      </c>
      <c r="K12" s="113">
        <f t="shared" si="3"/>
        <v>54764.587525150899</v>
      </c>
    </row>
    <row r="13" spans="1:12" x14ac:dyDescent="0.25">
      <c r="A13" s="49">
        <f>'A) Base RI'!A11</f>
        <v>5405</v>
      </c>
      <c r="B13" s="288" t="str">
        <f>'A) Base RI'!B11</f>
        <v>Gryon</v>
      </c>
      <c r="C13" s="10">
        <f>'A) Base RI'!V11</f>
        <v>1382</v>
      </c>
      <c r="D13" s="10">
        <f t="shared" si="1"/>
        <v>1000</v>
      </c>
      <c r="E13" s="411">
        <f t="shared" si="0"/>
        <v>382</v>
      </c>
      <c r="F13" s="10">
        <f t="shared" si="0"/>
        <v>0</v>
      </c>
      <c r="G13" s="411">
        <f t="shared" si="0"/>
        <v>0</v>
      </c>
      <c r="H13" s="41">
        <f t="shared" si="0"/>
        <v>0</v>
      </c>
      <c r="I13" s="10">
        <f t="shared" si="0"/>
        <v>0</v>
      </c>
      <c r="J13" s="10">
        <f t="shared" si="2"/>
        <v>0</v>
      </c>
      <c r="K13" s="113">
        <f t="shared" si="3"/>
        <v>258179.476861167</v>
      </c>
    </row>
    <row r="14" spans="1:12" x14ac:dyDescent="0.25">
      <c r="A14" s="49">
        <f>'A) Base RI'!A12</f>
        <v>5406</v>
      </c>
      <c r="B14" s="288" t="str">
        <f>'A) Base RI'!B12</f>
        <v>Lavey-Morcles</v>
      </c>
      <c r="C14" s="10">
        <f>'A) Base RI'!V12</f>
        <v>966</v>
      </c>
      <c r="D14" s="10">
        <f t="shared" si="1"/>
        <v>966</v>
      </c>
      <c r="E14" s="411">
        <f t="shared" si="0"/>
        <v>0</v>
      </c>
      <c r="F14" s="10">
        <f t="shared" si="0"/>
        <v>0</v>
      </c>
      <c r="G14" s="411">
        <f t="shared" si="0"/>
        <v>0</v>
      </c>
      <c r="H14" s="41">
        <f t="shared" si="0"/>
        <v>0</v>
      </c>
      <c r="I14" s="10">
        <f t="shared" si="0"/>
        <v>0</v>
      </c>
      <c r="J14" s="10">
        <f t="shared" si="2"/>
        <v>0</v>
      </c>
      <c r="K14" s="113">
        <f t="shared" si="3"/>
        <v>120507.04225352111</v>
      </c>
    </row>
    <row r="15" spans="1:12" x14ac:dyDescent="0.25">
      <c r="A15" s="49">
        <f>'A) Base RI'!A13</f>
        <v>5407</v>
      </c>
      <c r="B15" s="288" t="str">
        <f>'A) Base RI'!B13</f>
        <v>Leysin</v>
      </c>
      <c r="C15" s="10">
        <f>'A) Base RI'!V13</f>
        <v>3637</v>
      </c>
      <c r="D15" s="10">
        <f t="shared" si="1"/>
        <v>1000</v>
      </c>
      <c r="E15" s="411">
        <f t="shared" si="0"/>
        <v>2000</v>
      </c>
      <c r="F15" s="10">
        <f t="shared" si="0"/>
        <v>637</v>
      </c>
      <c r="G15" s="411">
        <f t="shared" si="0"/>
        <v>0</v>
      </c>
      <c r="H15" s="41">
        <f t="shared" si="0"/>
        <v>0</v>
      </c>
      <c r="I15" s="10">
        <f t="shared" si="0"/>
        <v>0</v>
      </c>
      <c r="J15" s="10">
        <f t="shared" si="2"/>
        <v>0</v>
      </c>
      <c r="K15" s="113">
        <f t="shared" si="3"/>
        <v>1141199.195171026</v>
      </c>
      <c r="L15" s="12"/>
    </row>
    <row r="16" spans="1:12" x14ac:dyDescent="0.25">
      <c r="A16" s="49">
        <f>'A) Base RI'!A14</f>
        <v>5408</v>
      </c>
      <c r="B16" s="288" t="str">
        <f>'A) Base RI'!B14</f>
        <v>Noville</v>
      </c>
      <c r="C16" s="10">
        <f>'A) Base RI'!V14</f>
        <v>1169</v>
      </c>
      <c r="D16" s="10">
        <f t="shared" si="1"/>
        <v>1000</v>
      </c>
      <c r="E16" s="411">
        <f t="shared" si="0"/>
        <v>169</v>
      </c>
      <c r="F16" s="10">
        <f t="shared" si="0"/>
        <v>0</v>
      </c>
      <c r="G16" s="411">
        <f t="shared" si="0"/>
        <v>0</v>
      </c>
      <c r="H16" s="41">
        <f t="shared" si="0"/>
        <v>0</v>
      </c>
      <c r="I16" s="10">
        <f t="shared" si="0"/>
        <v>0</v>
      </c>
      <c r="J16" s="10">
        <f t="shared" si="2"/>
        <v>0</v>
      </c>
      <c r="K16" s="113">
        <f t="shared" si="3"/>
        <v>183779.476861167</v>
      </c>
    </row>
    <row r="17" spans="1:11" x14ac:dyDescent="0.25">
      <c r="A17" s="49">
        <f>'A) Base RI'!A15</f>
        <v>5409</v>
      </c>
      <c r="B17" s="288" t="str">
        <f>'A) Base RI'!B15</f>
        <v>Ollon</v>
      </c>
      <c r="C17" s="10">
        <f>'A) Base RI'!V15</f>
        <v>7904</v>
      </c>
      <c r="D17" s="10">
        <f t="shared" si="1"/>
        <v>1000</v>
      </c>
      <c r="E17" s="411">
        <f t="shared" si="0"/>
        <v>2000</v>
      </c>
      <c r="F17" s="10">
        <f t="shared" si="0"/>
        <v>2000</v>
      </c>
      <c r="G17" s="411">
        <f t="shared" si="0"/>
        <v>2904</v>
      </c>
      <c r="H17" s="41">
        <f t="shared" si="0"/>
        <v>0</v>
      </c>
      <c r="I17" s="10">
        <f t="shared" si="0"/>
        <v>0</v>
      </c>
      <c r="J17" s="10">
        <f t="shared" si="2"/>
        <v>0</v>
      </c>
      <c r="K17" s="113">
        <f t="shared" si="3"/>
        <v>3560222.1327967802</v>
      </c>
    </row>
    <row r="18" spans="1:11" x14ac:dyDescent="0.25">
      <c r="A18" s="49">
        <f>'A) Base RI'!A16</f>
        <v>5410</v>
      </c>
      <c r="B18" s="288" t="str">
        <f>'A) Base RI'!B16</f>
        <v>Ormont-Dessous</v>
      </c>
      <c r="C18" s="10">
        <f>'A) Base RI'!V16</f>
        <v>1162</v>
      </c>
      <c r="D18" s="10">
        <f t="shared" si="1"/>
        <v>1000</v>
      </c>
      <c r="E18" s="411">
        <f t="shared" si="0"/>
        <v>162</v>
      </c>
      <c r="F18" s="10">
        <f t="shared" si="0"/>
        <v>0</v>
      </c>
      <c r="G18" s="411">
        <f t="shared" si="0"/>
        <v>0</v>
      </c>
      <c r="H18" s="41">
        <f t="shared" si="0"/>
        <v>0</v>
      </c>
      <c r="I18" s="10">
        <f t="shared" si="0"/>
        <v>0</v>
      </c>
      <c r="J18" s="10">
        <f t="shared" si="2"/>
        <v>0</v>
      </c>
      <c r="K18" s="113">
        <f t="shared" si="3"/>
        <v>181334.40643863179</v>
      </c>
    </row>
    <row r="19" spans="1:11" x14ac:dyDescent="0.25">
      <c r="A19" s="49">
        <f>'A) Base RI'!A17</f>
        <v>5411</v>
      </c>
      <c r="B19" s="288" t="str">
        <f>'A) Base RI'!B17</f>
        <v>Ormont-Dessus</v>
      </c>
      <c r="C19" s="10">
        <f>'A) Base RI'!V17</f>
        <v>1451</v>
      </c>
      <c r="D19" s="10">
        <f t="shared" si="1"/>
        <v>1000</v>
      </c>
      <c r="E19" s="411">
        <f t="shared" si="0"/>
        <v>451</v>
      </c>
      <c r="F19" s="10">
        <f t="shared" si="0"/>
        <v>0</v>
      </c>
      <c r="G19" s="411">
        <f t="shared" si="0"/>
        <v>0</v>
      </c>
      <c r="H19" s="41">
        <f t="shared" si="0"/>
        <v>0</v>
      </c>
      <c r="I19" s="10">
        <f t="shared" si="0"/>
        <v>0</v>
      </c>
      <c r="J19" s="10">
        <f t="shared" si="2"/>
        <v>0</v>
      </c>
      <c r="K19" s="113">
        <f t="shared" si="3"/>
        <v>282280.88531187118</v>
      </c>
    </row>
    <row r="20" spans="1:11" x14ac:dyDescent="0.25">
      <c r="A20" s="49">
        <f>'A) Base RI'!A18</f>
        <v>5412</v>
      </c>
      <c r="B20" s="288" t="str">
        <f>'A) Base RI'!B18</f>
        <v>Rennaz</v>
      </c>
      <c r="C20" s="10">
        <f>'A) Base RI'!V18</f>
        <v>883</v>
      </c>
      <c r="D20" s="10">
        <f t="shared" si="1"/>
        <v>883</v>
      </c>
      <c r="E20" s="411">
        <f t="shared" si="0"/>
        <v>0</v>
      </c>
      <c r="F20" s="10">
        <f t="shared" si="0"/>
        <v>0</v>
      </c>
      <c r="G20" s="411">
        <f t="shared" si="0"/>
        <v>0</v>
      </c>
      <c r="H20" s="41">
        <f t="shared" si="0"/>
        <v>0</v>
      </c>
      <c r="I20" s="10">
        <f t="shared" si="0"/>
        <v>0</v>
      </c>
      <c r="J20" s="10">
        <f t="shared" si="2"/>
        <v>0</v>
      </c>
      <c r="K20" s="113">
        <f t="shared" si="3"/>
        <v>110152.91750503017</v>
      </c>
    </row>
    <row r="21" spans="1:11" x14ac:dyDescent="0.25">
      <c r="A21" s="49">
        <f>'A) Base RI'!A19</f>
        <v>5413</v>
      </c>
      <c r="B21" s="288" t="str">
        <f>'A) Base RI'!B19</f>
        <v>Roche</v>
      </c>
      <c r="C21" s="10">
        <f>'A) Base RI'!V19</f>
        <v>1874</v>
      </c>
      <c r="D21" s="10">
        <f t="shared" si="1"/>
        <v>1000</v>
      </c>
      <c r="E21" s="411">
        <f t="shared" si="0"/>
        <v>874</v>
      </c>
      <c r="F21" s="10">
        <f t="shared" si="0"/>
        <v>0</v>
      </c>
      <c r="G21" s="411">
        <f t="shared" si="0"/>
        <v>0</v>
      </c>
      <c r="H21" s="41">
        <f t="shared" si="0"/>
        <v>0</v>
      </c>
      <c r="I21" s="10">
        <f t="shared" si="0"/>
        <v>0</v>
      </c>
      <c r="J21" s="10">
        <f t="shared" si="2"/>
        <v>0</v>
      </c>
      <c r="K21" s="113">
        <f t="shared" si="3"/>
        <v>430032.99798792752</v>
      </c>
    </row>
    <row r="22" spans="1:11" x14ac:dyDescent="0.25">
      <c r="A22" s="49">
        <f>'A) Base RI'!A20</f>
        <v>5414</v>
      </c>
      <c r="B22" s="288" t="str">
        <f>'A) Base RI'!B20</f>
        <v>Villeneuve</v>
      </c>
      <c r="C22" s="10">
        <f>'A) Base RI'!V20</f>
        <v>5921</v>
      </c>
      <c r="D22" s="10">
        <f t="shared" si="1"/>
        <v>1000</v>
      </c>
      <c r="E22" s="411">
        <f t="shared" si="0"/>
        <v>2000</v>
      </c>
      <c r="F22" s="10">
        <f t="shared" si="0"/>
        <v>2000</v>
      </c>
      <c r="G22" s="411">
        <f t="shared" si="0"/>
        <v>921</v>
      </c>
      <c r="H22" s="41">
        <f t="shared" si="0"/>
        <v>0</v>
      </c>
      <c r="I22" s="10">
        <f t="shared" si="0"/>
        <v>0</v>
      </c>
      <c r="J22" s="10">
        <f t="shared" si="2"/>
        <v>0</v>
      </c>
      <c r="K22" s="113">
        <f t="shared" si="3"/>
        <v>2372816.0965794767</v>
      </c>
    </row>
    <row r="23" spans="1:11" x14ac:dyDescent="0.25">
      <c r="A23" s="49">
        <f>'A) Base RI'!A21</f>
        <v>5415</v>
      </c>
      <c r="B23" s="288" t="str">
        <f>'A) Base RI'!B21</f>
        <v>Yvorne</v>
      </c>
      <c r="C23" s="10">
        <f>'A) Base RI'!V21</f>
        <v>1038</v>
      </c>
      <c r="D23" s="10">
        <f t="shared" si="1"/>
        <v>1000</v>
      </c>
      <c r="E23" s="411">
        <f t="shared" si="0"/>
        <v>38</v>
      </c>
      <c r="F23" s="10">
        <f t="shared" si="0"/>
        <v>0</v>
      </c>
      <c r="G23" s="411">
        <f t="shared" si="0"/>
        <v>0</v>
      </c>
      <c r="H23" s="41">
        <f t="shared" si="0"/>
        <v>0</v>
      </c>
      <c r="I23" s="10">
        <f t="shared" si="0"/>
        <v>0</v>
      </c>
      <c r="J23" s="10">
        <f t="shared" si="2"/>
        <v>0</v>
      </c>
      <c r="K23" s="113">
        <f t="shared" si="3"/>
        <v>138021.73038229375</v>
      </c>
    </row>
    <row r="24" spans="1:11" x14ac:dyDescent="0.25">
      <c r="A24" s="49">
        <f>'A) Base RI'!A22</f>
        <v>5421</v>
      </c>
      <c r="B24" s="288" t="str">
        <f>'A) Base RI'!B22</f>
        <v>Apples</v>
      </c>
      <c r="C24" s="10">
        <f>'A) Base RI'!V22</f>
        <v>1469</v>
      </c>
      <c r="D24" s="10">
        <f t="shared" si="1"/>
        <v>1000</v>
      </c>
      <c r="E24" s="411">
        <f t="shared" si="0"/>
        <v>469</v>
      </c>
      <c r="F24" s="10">
        <f t="shared" si="0"/>
        <v>0</v>
      </c>
      <c r="G24" s="411">
        <f t="shared" si="0"/>
        <v>0</v>
      </c>
      <c r="H24" s="41">
        <f t="shared" si="0"/>
        <v>0</v>
      </c>
      <c r="I24" s="10">
        <f t="shared" si="0"/>
        <v>0</v>
      </c>
      <c r="J24" s="10">
        <f t="shared" si="2"/>
        <v>0</v>
      </c>
      <c r="K24" s="113">
        <f t="shared" si="3"/>
        <v>288568.20925553318</v>
      </c>
    </row>
    <row r="25" spans="1:11" x14ac:dyDescent="0.25">
      <c r="A25" s="49">
        <f>'A) Base RI'!A23</f>
        <v>5422</v>
      </c>
      <c r="B25" s="288" t="str">
        <f>'A) Base RI'!B23</f>
        <v>Aubonne</v>
      </c>
      <c r="C25" s="10">
        <f>'A) Base RI'!V23</f>
        <v>3781</v>
      </c>
      <c r="D25" s="10">
        <f t="shared" si="1"/>
        <v>1000</v>
      </c>
      <c r="E25" s="411">
        <f t="shared" si="1"/>
        <v>2000</v>
      </c>
      <c r="F25" s="10">
        <f t="shared" si="1"/>
        <v>781</v>
      </c>
      <c r="G25" s="411">
        <f t="shared" si="1"/>
        <v>0</v>
      </c>
      <c r="H25" s="41">
        <f t="shared" si="1"/>
        <v>0</v>
      </c>
      <c r="I25" s="10">
        <f t="shared" si="1"/>
        <v>0</v>
      </c>
      <c r="J25" s="10">
        <f t="shared" si="2"/>
        <v>0</v>
      </c>
      <c r="K25" s="113">
        <f t="shared" si="3"/>
        <v>1213054.3259557341</v>
      </c>
    </row>
    <row r="26" spans="1:11" x14ac:dyDescent="0.25">
      <c r="A26" s="49">
        <f>'A) Base RI'!A24</f>
        <v>5423</v>
      </c>
      <c r="B26" s="288" t="str">
        <f>'A) Base RI'!B24</f>
        <v>Ballens</v>
      </c>
      <c r="C26" s="10">
        <f>'A) Base RI'!V24</f>
        <v>567</v>
      </c>
      <c r="D26" s="10">
        <f t="shared" si="1"/>
        <v>567</v>
      </c>
      <c r="E26" s="411">
        <f t="shared" si="1"/>
        <v>0</v>
      </c>
      <c r="F26" s="10">
        <f t="shared" si="1"/>
        <v>0</v>
      </c>
      <c r="G26" s="411">
        <f t="shared" si="1"/>
        <v>0</v>
      </c>
      <c r="H26" s="41">
        <f t="shared" si="1"/>
        <v>0</v>
      </c>
      <c r="I26" s="10">
        <f t="shared" si="1"/>
        <v>0</v>
      </c>
      <c r="J26" s="10">
        <f t="shared" si="2"/>
        <v>0</v>
      </c>
      <c r="K26" s="113">
        <f t="shared" si="3"/>
        <v>70732.394366197172</v>
      </c>
    </row>
    <row r="27" spans="1:11" x14ac:dyDescent="0.25">
      <c r="A27" s="49">
        <f>'A) Base RI'!A25</f>
        <v>5424</v>
      </c>
      <c r="B27" s="288" t="str">
        <f>'A) Base RI'!B25</f>
        <v>Berolle</v>
      </c>
      <c r="C27" s="10">
        <f>'A) Base RI'!V25</f>
        <v>308</v>
      </c>
      <c r="D27" s="10">
        <f t="shared" si="1"/>
        <v>308</v>
      </c>
      <c r="E27" s="411">
        <f t="shared" si="1"/>
        <v>0</v>
      </c>
      <c r="F27" s="10">
        <f t="shared" si="1"/>
        <v>0</v>
      </c>
      <c r="G27" s="411">
        <f t="shared" si="1"/>
        <v>0</v>
      </c>
      <c r="H27" s="41">
        <f t="shared" si="1"/>
        <v>0</v>
      </c>
      <c r="I27" s="10">
        <f t="shared" si="1"/>
        <v>0</v>
      </c>
      <c r="J27" s="10">
        <f t="shared" si="2"/>
        <v>0</v>
      </c>
      <c r="K27" s="113">
        <f t="shared" si="3"/>
        <v>38422.535211267605</v>
      </c>
    </row>
    <row r="28" spans="1:11" x14ac:dyDescent="0.25">
      <c r="A28" s="49">
        <f>'A) Base RI'!A26</f>
        <v>5425</v>
      </c>
      <c r="B28" s="288" t="str">
        <f>'A) Base RI'!B26</f>
        <v>Bière</v>
      </c>
      <c r="C28" s="10">
        <f>'A) Base RI'!V26</f>
        <v>1634</v>
      </c>
      <c r="D28" s="10">
        <f t="shared" si="1"/>
        <v>1000</v>
      </c>
      <c r="E28" s="411">
        <f t="shared" si="1"/>
        <v>634</v>
      </c>
      <c r="F28" s="10">
        <f t="shared" si="1"/>
        <v>0</v>
      </c>
      <c r="G28" s="411">
        <f t="shared" si="1"/>
        <v>0</v>
      </c>
      <c r="H28" s="41">
        <f t="shared" si="1"/>
        <v>0</v>
      </c>
      <c r="I28" s="10">
        <f t="shared" si="1"/>
        <v>0</v>
      </c>
      <c r="J28" s="10">
        <f t="shared" si="2"/>
        <v>0</v>
      </c>
      <c r="K28" s="113">
        <f t="shared" si="3"/>
        <v>346202.01207243459</v>
      </c>
    </row>
    <row r="29" spans="1:11" x14ac:dyDescent="0.25">
      <c r="A29" s="49">
        <f>'A) Base RI'!A27</f>
        <v>5426</v>
      </c>
      <c r="B29" s="288" t="str">
        <f>'A) Base RI'!B27</f>
        <v>Bougy-Villars</v>
      </c>
      <c r="C29" s="10">
        <f>'A) Base RI'!V27</f>
        <v>497</v>
      </c>
      <c r="D29" s="10">
        <f t="shared" si="1"/>
        <v>497</v>
      </c>
      <c r="E29" s="411">
        <f t="shared" si="1"/>
        <v>0</v>
      </c>
      <c r="F29" s="10">
        <f t="shared" si="1"/>
        <v>0</v>
      </c>
      <c r="G29" s="411">
        <f t="shared" si="1"/>
        <v>0</v>
      </c>
      <c r="H29" s="41">
        <f t="shared" si="1"/>
        <v>0</v>
      </c>
      <c r="I29" s="10">
        <f t="shared" si="1"/>
        <v>0</v>
      </c>
      <c r="J29" s="10">
        <f t="shared" si="2"/>
        <v>0</v>
      </c>
      <c r="K29" s="113">
        <f t="shared" si="3"/>
        <v>61999.999999999993</v>
      </c>
    </row>
    <row r="30" spans="1:11" x14ac:dyDescent="0.25">
      <c r="A30" s="49">
        <f>'A) Base RI'!A28</f>
        <v>5427</v>
      </c>
      <c r="B30" s="288" t="str">
        <f>'A) Base RI'!B28</f>
        <v>Féchy</v>
      </c>
      <c r="C30" s="10">
        <f>'A) Base RI'!V28</f>
        <v>893</v>
      </c>
      <c r="D30" s="10">
        <f t="shared" si="1"/>
        <v>893</v>
      </c>
      <c r="E30" s="411">
        <f t="shared" si="1"/>
        <v>0</v>
      </c>
      <c r="F30" s="10">
        <f t="shared" si="1"/>
        <v>0</v>
      </c>
      <c r="G30" s="411">
        <f t="shared" si="1"/>
        <v>0</v>
      </c>
      <c r="H30" s="41">
        <f t="shared" si="1"/>
        <v>0</v>
      </c>
      <c r="I30" s="10">
        <f t="shared" si="1"/>
        <v>0</v>
      </c>
      <c r="J30" s="10">
        <f t="shared" si="2"/>
        <v>0</v>
      </c>
      <c r="K30" s="113">
        <f t="shared" si="3"/>
        <v>111400.40241448692</v>
      </c>
    </row>
    <row r="31" spans="1:11" x14ac:dyDescent="0.25">
      <c r="A31" s="49">
        <f>'A) Base RI'!A29</f>
        <v>5428</v>
      </c>
      <c r="B31" s="288" t="str">
        <f>'A) Base RI'!B29</f>
        <v>Gimel</v>
      </c>
      <c r="C31" s="10">
        <f>'A) Base RI'!V29</f>
        <v>2402</v>
      </c>
      <c r="D31" s="10">
        <f t="shared" si="1"/>
        <v>1000</v>
      </c>
      <c r="E31" s="411">
        <f t="shared" si="1"/>
        <v>1402</v>
      </c>
      <c r="F31" s="10">
        <f t="shared" si="1"/>
        <v>0</v>
      </c>
      <c r="G31" s="411">
        <f t="shared" si="1"/>
        <v>0</v>
      </c>
      <c r="H31" s="41">
        <f t="shared" si="1"/>
        <v>0</v>
      </c>
      <c r="I31" s="10">
        <f t="shared" si="1"/>
        <v>0</v>
      </c>
      <c r="J31" s="10">
        <f t="shared" si="2"/>
        <v>0</v>
      </c>
      <c r="K31" s="113">
        <f t="shared" si="3"/>
        <v>614461.16700201202</v>
      </c>
    </row>
    <row r="32" spans="1:11" x14ac:dyDescent="0.25">
      <c r="A32" s="49">
        <f>'A) Base RI'!A30</f>
        <v>5429</v>
      </c>
      <c r="B32" s="288" t="str">
        <f>'A) Base RI'!B30</f>
        <v>Longirod</v>
      </c>
      <c r="C32" s="10">
        <f>'A) Base RI'!V30</f>
        <v>520</v>
      </c>
      <c r="D32" s="10">
        <f t="shared" si="1"/>
        <v>520</v>
      </c>
      <c r="E32" s="411">
        <f t="shared" si="1"/>
        <v>0</v>
      </c>
      <c r="F32" s="10">
        <f t="shared" si="1"/>
        <v>0</v>
      </c>
      <c r="G32" s="411">
        <f t="shared" si="1"/>
        <v>0</v>
      </c>
      <c r="H32" s="41">
        <f t="shared" si="1"/>
        <v>0</v>
      </c>
      <c r="I32" s="10">
        <f t="shared" si="1"/>
        <v>0</v>
      </c>
      <c r="J32" s="10">
        <f t="shared" si="2"/>
        <v>0</v>
      </c>
      <c r="K32" s="113">
        <f t="shared" si="3"/>
        <v>64869.215291750501</v>
      </c>
    </row>
    <row r="33" spans="1:11" x14ac:dyDescent="0.25">
      <c r="A33" s="49">
        <f>'A) Base RI'!A31</f>
        <v>5430</v>
      </c>
      <c r="B33" s="288" t="str">
        <f>'A) Base RI'!B31</f>
        <v>Marchissy</v>
      </c>
      <c r="C33" s="10">
        <f>'A) Base RI'!V31</f>
        <v>485</v>
      </c>
      <c r="D33" s="10">
        <f t="shared" si="1"/>
        <v>485</v>
      </c>
      <c r="E33" s="411">
        <f t="shared" si="1"/>
        <v>0</v>
      </c>
      <c r="F33" s="10">
        <f t="shared" si="1"/>
        <v>0</v>
      </c>
      <c r="G33" s="411">
        <f t="shared" si="1"/>
        <v>0</v>
      </c>
      <c r="H33" s="41">
        <f t="shared" si="1"/>
        <v>0</v>
      </c>
      <c r="I33" s="10">
        <f t="shared" si="1"/>
        <v>0</v>
      </c>
      <c r="J33" s="10">
        <f t="shared" si="2"/>
        <v>0</v>
      </c>
      <c r="K33" s="113">
        <f t="shared" si="3"/>
        <v>60503.018108651908</v>
      </c>
    </row>
    <row r="34" spans="1:11" x14ac:dyDescent="0.25">
      <c r="A34" s="49">
        <f>'A) Base RI'!A32</f>
        <v>5431</v>
      </c>
      <c r="B34" s="288" t="str">
        <f>'A) Base RI'!B32</f>
        <v>Mollens</v>
      </c>
      <c r="C34" s="10">
        <f>'A) Base RI'!V32</f>
        <v>319</v>
      </c>
      <c r="D34" s="10">
        <f t="shared" si="1"/>
        <v>319</v>
      </c>
      <c r="E34" s="411">
        <f t="shared" si="1"/>
        <v>0</v>
      </c>
      <c r="F34" s="10">
        <f t="shared" si="1"/>
        <v>0</v>
      </c>
      <c r="G34" s="411">
        <f t="shared" si="1"/>
        <v>0</v>
      </c>
      <c r="H34" s="41">
        <f t="shared" si="1"/>
        <v>0</v>
      </c>
      <c r="I34" s="10">
        <f t="shared" si="1"/>
        <v>0</v>
      </c>
      <c r="J34" s="10">
        <f t="shared" si="2"/>
        <v>0</v>
      </c>
      <c r="K34" s="113">
        <f t="shared" si="3"/>
        <v>39794.768611670021</v>
      </c>
    </row>
    <row r="35" spans="1:11" x14ac:dyDescent="0.25">
      <c r="A35" s="49">
        <f>'A) Base RI'!A33</f>
        <v>5434</v>
      </c>
      <c r="B35" s="288" t="str">
        <f>'A) Base RI'!B33</f>
        <v>Saint-George</v>
      </c>
      <c r="C35" s="10">
        <f>'A) Base RI'!V33</f>
        <v>1072</v>
      </c>
      <c r="D35" s="10">
        <f t="shared" si="1"/>
        <v>1000</v>
      </c>
      <c r="E35" s="411">
        <f t="shared" si="1"/>
        <v>72</v>
      </c>
      <c r="F35" s="10">
        <f t="shared" si="1"/>
        <v>0</v>
      </c>
      <c r="G35" s="411">
        <f t="shared" si="1"/>
        <v>0</v>
      </c>
      <c r="H35" s="41">
        <f t="shared" si="1"/>
        <v>0</v>
      </c>
      <c r="I35" s="10">
        <f t="shared" si="1"/>
        <v>0</v>
      </c>
      <c r="J35" s="10">
        <f t="shared" si="2"/>
        <v>0</v>
      </c>
      <c r="K35" s="113">
        <f t="shared" si="3"/>
        <v>149897.78672032192</v>
      </c>
    </row>
    <row r="36" spans="1:11" x14ac:dyDescent="0.25">
      <c r="A36" s="49">
        <f>'A) Base RI'!A34</f>
        <v>5435</v>
      </c>
      <c r="B36" s="288" t="str">
        <f>'A) Base RI'!B34</f>
        <v>Saint-Livres</v>
      </c>
      <c r="C36" s="10">
        <f>'A) Base RI'!V34</f>
        <v>674</v>
      </c>
      <c r="D36" s="10">
        <f t="shared" si="1"/>
        <v>674</v>
      </c>
      <c r="E36" s="411">
        <f t="shared" si="1"/>
        <v>0</v>
      </c>
      <c r="F36" s="10">
        <f t="shared" si="1"/>
        <v>0</v>
      </c>
      <c r="G36" s="411">
        <f t="shared" si="1"/>
        <v>0</v>
      </c>
      <c r="H36" s="41">
        <f t="shared" si="1"/>
        <v>0</v>
      </c>
      <c r="I36" s="10">
        <f t="shared" si="1"/>
        <v>0</v>
      </c>
      <c r="J36" s="10">
        <f t="shared" si="2"/>
        <v>0</v>
      </c>
      <c r="K36" s="113">
        <f t="shared" si="3"/>
        <v>84080.482897384296</v>
      </c>
    </row>
    <row r="37" spans="1:11" x14ac:dyDescent="0.25">
      <c r="A37" s="49">
        <f>'A) Base RI'!A35</f>
        <v>5436</v>
      </c>
      <c r="B37" s="288" t="str">
        <f>'A) Base RI'!B35</f>
        <v>Saint-Oyens</v>
      </c>
      <c r="C37" s="10">
        <f>'A) Base RI'!V35</f>
        <v>458</v>
      </c>
      <c r="D37" s="10">
        <f t="shared" si="1"/>
        <v>458</v>
      </c>
      <c r="E37" s="411">
        <f t="shared" si="1"/>
        <v>0</v>
      </c>
      <c r="F37" s="10">
        <f t="shared" si="1"/>
        <v>0</v>
      </c>
      <c r="G37" s="411">
        <f t="shared" si="1"/>
        <v>0</v>
      </c>
      <c r="H37" s="41">
        <f t="shared" si="1"/>
        <v>0</v>
      </c>
      <c r="I37" s="10">
        <f t="shared" si="1"/>
        <v>0</v>
      </c>
      <c r="J37" s="10">
        <f t="shared" si="2"/>
        <v>0</v>
      </c>
      <c r="K37" s="113">
        <f t="shared" si="3"/>
        <v>57134.80885311871</v>
      </c>
    </row>
    <row r="38" spans="1:11" x14ac:dyDescent="0.25">
      <c r="A38" s="49">
        <f>'A) Base RI'!A36</f>
        <v>5437</v>
      </c>
      <c r="B38" s="288" t="str">
        <f>'A) Base RI'!B36</f>
        <v>Saubraz</v>
      </c>
      <c r="C38" s="10">
        <f>'A) Base RI'!V36</f>
        <v>444</v>
      </c>
      <c r="D38" s="10">
        <f t="shared" si="1"/>
        <v>444</v>
      </c>
      <c r="E38" s="411">
        <f t="shared" si="1"/>
        <v>0</v>
      </c>
      <c r="F38" s="10">
        <f t="shared" si="1"/>
        <v>0</v>
      </c>
      <c r="G38" s="411">
        <f t="shared" si="1"/>
        <v>0</v>
      </c>
      <c r="H38" s="41">
        <f t="shared" si="1"/>
        <v>0</v>
      </c>
      <c r="I38" s="10">
        <f t="shared" si="1"/>
        <v>0</v>
      </c>
      <c r="J38" s="10">
        <f t="shared" si="2"/>
        <v>0</v>
      </c>
      <c r="K38" s="113">
        <f t="shared" si="3"/>
        <v>55388.329979879272</v>
      </c>
    </row>
    <row r="39" spans="1:11" x14ac:dyDescent="0.25">
      <c r="A39" s="49">
        <f>'A) Base RI'!A37</f>
        <v>5451</v>
      </c>
      <c r="B39" s="288" t="str">
        <f>'A) Base RI'!B37</f>
        <v>Avenches</v>
      </c>
      <c r="C39" s="10">
        <f>'A) Base RI'!V37</f>
        <v>4616</v>
      </c>
      <c r="D39" s="10">
        <f t="shared" si="1"/>
        <v>1000</v>
      </c>
      <c r="E39" s="411">
        <f t="shared" si="1"/>
        <v>2000</v>
      </c>
      <c r="F39" s="10">
        <f t="shared" si="1"/>
        <v>1616</v>
      </c>
      <c r="G39" s="411">
        <f t="shared" si="1"/>
        <v>0</v>
      </c>
      <c r="H39" s="41">
        <f t="shared" si="1"/>
        <v>0</v>
      </c>
      <c r="I39" s="10">
        <f t="shared" si="1"/>
        <v>0</v>
      </c>
      <c r="J39" s="10">
        <f t="shared" si="2"/>
        <v>0</v>
      </c>
      <c r="K39" s="113">
        <f t="shared" si="3"/>
        <v>1629714.2857142854</v>
      </c>
    </row>
    <row r="40" spans="1:11" x14ac:dyDescent="0.25">
      <c r="A40" s="49">
        <f>'A) Base RI'!A38</f>
        <v>5456</v>
      </c>
      <c r="B40" s="288" t="str">
        <f>'A) Base RI'!B38</f>
        <v>Cudrefin</v>
      </c>
      <c r="C40" s="10">
        <f>'A) Base RI'!V38</f>
        <v>1836</v>
      </c>
      <c r="D40" s="10">
        <f t="shared" si="1"/>
        <v>1000</v>
      </c>
      <c r="E40" s="411">
        <f t="shared" si="1"/>
        <v>836</v>
      </c>
      <c r="F40" s="10">
        <f t="shared" si="1"/>
        <v>0</v>
      </c>
      <c r="G40" s="411">
        <f t="shared" si="1"/>
        <v>0</v>
      </c>
      <c r="H40" s="41">
        <f t="shared" si="1"/>
        <v>0</v>
      </c>
      <c r="I40" s="10">
        <f t="shared" si="1"/>
        <v>0</v>
      </c>
      <c r="J40" s="10">
        <f t="shared" si="2"/>
        <v>0</v>
      </c>
      <c r="K40" s="113">
        <f t="shared" si="3"/>
        <v>416759.75855130784</v>
      </c>
    </row>
    <row r="41" spans="1:11" x14ac:dyDescent="0.25">
      <c r="A41" s="49">
        <f>'A) Base RI'!A39</f>
        <v>5458</v>
      </c>
      <c r="B41" s="288" t="str">
        <f>'A) Base RI'!B39</f>
        <v>Faoug</v>
      </c>
      <c r="C41" s="10">
        <f>'A) Base RI'!V39</f>
        <v>866</v>
      </c>
      <c r="D41" s="10">
        <f t="shared" si="1"/>
        <v>866</v>
      </c>
      <c r="E41" s="411">
        <f t="shared" si="1"/>
        <v>0</v>
      </c>
      <c r="F41" s="10">
        <f t="shared" si="1"/>
        <v>0</v>
      </c>
      <c r="G41" s="411">
        <f t="shared" si="1"/>
        <v>0</v>
      </c>
      <c r="H41" s="41">
        <f t="shared" si="1"/>
        <v>0</v>
      </c>
      <c r="I41" s="10">
        <f t="shared" si="1"/>
        <v>0</v>
      </c>
      <c r="J41" s="10">
        <f t="shared" si="2"/>
        <v>0</v>
      </c>
      <c r="K41" s="113">
        <f t="shared" si="3"/>
        <v>108032.19315895371</v>
      </c>
    </row>
    <row r="42" spans="1:11" x14ac:dyDescent="0.25">
      <c r="A42" s="49">
        <f>'A) Base RI'!A40</f>
        <v>5464</v>
      </c>
      <c r="B42" s="288" t="str">
        <f>'A) Base RI'!B40</f>
        <v>Vully-les-Lacs</v>
      </c>
      <c r="C42" s="10">
        <f>'A) Base RI'!V40</f>
        <v>3465</v>
      </c>
      <c r="D42" s="10">
        <f t="shared" si="1"/>
        <v>1000</v>
      </c>
      <c r="E42" s="411">
        <f t="shared" si="1"/>
        <v>2000</v>
      </c>
      <c r="F42" s="10">
        <f t="shared" si="1"/>
        <v>465</v>
      </c>
      <c r="G42" s="411">
        <f t="shared" si="1"/>
        <v>0</v>
      </c>
      <c r="H42" s="41">
        <f t="shared" si="1"/>
        <v>0</v>
      </c>
      <c r="I42" s="10">
        <f t="shared" si="1"/>
        <v>0</v>
      </c>
      <c r="J42" s="10">
        <f t="shared" si="2"/>
        <v>0</v>
      </c>
      <c r="K42" s="113">
        <f t="shared" si="3"/>
        <v>1055372.2334004024</v>
      </c>
    </row>
    <row r="43" spans="1:11" x14ac:dyDescent="0.25">
      <c r="A43" s="49">
        <f>'A) Base RI'!A41</f>
        <v>5471</v>
      </c>
      <c r="B43" s="288" t="str">
        <f>'A) Base RI'!B41</f>
        <v>Bettens</v>
      </c>
      <c r="C43" s="10">
        <f>'A) Base RI'!V41</f>
        <v>626</v>
      </c>
      <c r="D43" s="10">
        <f t="shared" si="1"/>
        <v>626</v>
      </c>
      <c r="E43" s="411">
        <f t="shared" si="1"/>
        <v>0</v>
      </c>
      <c r="F43" s="10">
        <f t="shared" si="1"/>
        <v>0</v>
      </c>
      <c r="G43" s="411">
        <f t="shared" si="1"/>
        <v>0</v>
      </c>
      <c r="H43" s="41">
        <f t="shared" si="1"/>
        <v>0</v>
      </c>
      <c r="I43" s="10">
        <f t="shared" si="1"/>
        <v>0</v>
      </c>
      <c r="J43" s="10">
        <f t="shared" si="2"/>
        <v>0</v>
      </c>
      <c r="K43" s="113">
        <f t="shared" si="3"/>
        <v>78092.555331991942</v>
      </c>
    </row>
    <row r="44" spans="1:11" x14ac:dyDescent="0.25">
      <c r="A44" s="49">
        <f>'A) Base RI'!A42</f>
        <v>5472</v>
      </c>
      <c r="B44" s="288" t="str">
        <f>'A) Base RI'!B42</f>
        <v>Bournens</v>
      </c>
      <c r="C44" s="10">
        <f>'A) Base RI'!V42</f>
        <v>507</v>
      </c>
      <c r="D44" s="10">
        <f t="shared" si="1"/>
        <v>507</v>
      </c>
      <c r="E44" s="411">
        <f t="shared" si="1"/>
        <v>0</v>
      </c>
      <c r="F44" s="10">
        <f t="shared" si="1"/>
        <v>0</v>
      </c>
      <c r="G44" s="411">
        <f t="shared" si="1"/>
        <v>0</v>
      </c>
      <c r="H44" s="41">
        <f t="shared" si="1"/>
        <v>0</v>
      </c>
      <c r="I44" s="10">
        <f t="shared" si="1"/>
        <v>0</v>
      </c>
      <c r="J44" s="10">
        <f t="shared" si="2"/>
        <v>0</v>
      </c>
      <c r="K44" s="113">
        <f t="shared" si="3"/>
        <v>63247.484909456733</v>
      </c>
    </row>
    <row r="45" spans="1:11" x14ac:dyDescent="0.25">
      <c r="A45" s="49">
        <f>'A) Base RI'!A43</f>
        <v>5473</v>
      </c>
      <c r="B45" s="288" t="str">
        <f>'A) Base RI'!B43</f>
        <v>Boussens</v>
      </c>
      <c r="C45" s="10">
        <f>'A) Base RI'!V43</f>
        <v>1001</v>
      </c>
      <c r="D45" s="10">
        <f t="shared" si="1"/>
        <v>1000</v>
      </c>
      <c r="E45" s="411">
        <f t="shared" si="1"/>
        <v>1</v>
      </c>
      <c r="F45" s="10">
        <f t="shared" si="1"/>
        <v>0</v>
      </c>
      <c r="G45" s="411">
        <f t="shared" si="1"/>
        <v>0</v>
      </c>
      <c r="H45" s="41">
        <f t="shared" si="1"/>
        <v>0</v>
      </c>
      <c r="I45" s="10">
        <f t="shared" si="1"/>
        <v>0</v>
      </c>
      <c r="J45" s="10">
        <f t="shared" si="2"/>
        <v>0</v>
      </c>
      <c r="K45" s="113">
        <f t="shared" si="3"/>
        <v>125097.78672032194</v>
      </c>
    </row>
    <row r="46" spans="1:11" x14ac:dyDescent="0.25">
      <c r="A46" s="49">
        <f>'A) Base RI'!A44</f>
        <v>5474</v>
      </c>
      <c r="B46" s="288" t="str">
        <f>'A) Base RI'!B44</f>
        <v>La Chaux (Cossonay)</v>
      </c>
      <c r="C46" s="10">
        <f>'A) Base RI'!V44</f>
        <v>398</v>
      </c>
      <c r="D46" s="10">
        <f t="shared" si="1"/>
        <v>398</v>
      </c>
      <c r="E46" s="411">
        <f t="shared" si="1"/>
        <v>0</v>
      </c>
      <c r="F46" s="10">
        <f t="shared" si="1"/>
        <v>0</v>
      </c>
      <c r="G46" s="411">
        <f t="shared" si="1"/>
        <v>0</v>
      </c>
      <c r="H46" s="41">
        <f t="shared" si="1"/>
        <v>0</v>
      </c>
      <c r="I46" s="10">
        <f t="shared" si="1"/>
        <v>0</v>
      </c>
      <c r="J46" s="10">
        <f t="shared" si="2"/>
        <v>0</v>
      </c>
      <c r="K46" s="113">
        <f t="shared" si="3"/>
        <v>49649.899396378263</v>
      </c>
    </row>
    <row r="47" spans="1:11" x14ac:dyDescent="0.25">
      <c r="A47" s="49">
        <f>'A) Base RI'!A45</f>
        <v>5475</v>
      </c>
      <c r="B47" s="288" t="str">
        <f>'A) Base RI'!B45</f>
        <v>Chavannes-le-Veyron</v>
      </c>
      <c r="C47" s="10">
        <f>'A) Base RI'!V45</f>
        <v>155</v>
      </c>
      <c r="D47" s="10">
        <f t="shared" si="1"/>
        <v>155</v>
      </c>
      <c r="E47" s="411">
        <f t="shared" si="1"/>
        <v>0</v>
      </c>
      <c r="F47" s="10">
        <f t="shared" si="1"/>
        <v>0</v>
      </c>
      <c r="G47" s="411">
        <f t="shared" si="1"/>
        <v>0</v>
      </c>
      <c r="H47" s="41">
        <f t="shared" si="1"/>
        <v>0</v>
      </c>
      <c r="I47" s="10">
        <f t="shared" si="1"/>
        <v>0</v>
      </c>
      <c r="J47" s="10">
        <f t="shared" si="2"/>
        <v>0</v>
      </c>
      <c r="K47" s="113">
        <f t="shared" si="3"/>
        <v>19336.016096579475</v>
      </c>
    </row>
    <row r="48" spans="1:11" x14ac:dyDescent="0.25">
      <c r="A48" s="49">
        <f>'A) Base RI'!A46</f>
        <v>5476</v>
      </c>
      <c r="B48" s="288" t="str">
        <f>'A) Base RI'!B46</f>
        <v>Chevilly</v>
      </c>
      <c r="C48" s="10">
        <f>'A) Base RI'!V46</f>
        <v>322</v>
      </c>
      <c r="D48" s="10">
        <f t="shared" si="1"/>
        <v>322</v>
      </c>
      <c r="E48" s="411">
        <f t="shared" si="1"/>
        <v>0</v>
      </c>
      <c r="F48" s="10">
        <f t="shared" si="1"/>
        <v>0</v>
      </c>
      <c r="G48" s="411">
        <f t="shared" si="1"/>
        <v>0</v>
      </c>
      <c r="H48" s="41">
        <f t="shared" si="1"/>
        <v>0</v>
      </c>
      <c r="I48" s="10">
        <f t="shared" si="1"/>
        <v>0</v>
      </c>
      <c r="J48" s="10">
        <f t="shared" si="2"/>
        <v>0</v>
      </c>
      <c r="K48" s="113">
        <f t="shared" si="3"/>
        <v>40169.014084507042</v>
      </c>
    </row>
    <row r="49" spans="1:11" x14ac:dyDescent="0.25">
      <c r="A49" s="49">
        <f>'A) Base RI'!A47</f>
        <v>5477</v>
      </c>
      <c r="B49" s="288" t="str">
        <f>'A) Base RI'!B47</f>
        <v>Cossonay</v>
      </c>
      <c r="C49" s="10">
        <f>'A) Base RI'!V47</f>
        <v>4326</v>
      </c>
      <c r="D49" s="10">
        <f t="shared" si="1"/>
        <v>1000</v>
      </c>
      <c r="E49" s="411">
        <f t="shared" si="1"/>
        <v>2000</v>
      </c>
      <c r="F49" s="10">
        <f t="shared" si="1"/>
        <v>1326</v>
      </c>
      <c r="G49" s="411">
        <f t="shared" si="1"/>
        <v>0</v>
      </c>
      <c r="H49" s="41">
        <f t="shared" si="1"/>
        <v>0</v>
      </c>
      <c r="I49" s="10">
        <f t="shared" si="1"/>
        <v>0</v>
      </c>
      <c r="J49" s="10">
        <f t="shared" si="2"/>
        <v>0</v>
      </c>
      <c r="K49" s="113">
        <f t="shared" si="3"/>
        <v>1485006.0362173035</v>
      </c>
    </row>
    <row r="50" spans="1:11" x14ac:dyDescent="0.25">
      <c r="A50" s="49">
        <f>'A) Base RI'!A48</f>
        <v>5478</v>
      </c>
      <c r="B50" s="288" t="str">
        <f>'A) Base RI'!B48</f>
        <v>Cottens</v>
      </c>
      <c r="C50" s="10">
        <f>'A) Base RI'!V48</f>
        <v>484</v>
      </c>
      <c r="D50" s="10">
        <f t="shared" si="1"/>
        <v>484</v>
      </c>
      <c r="E50" s="411">
        <f t="shared" si="1"/>
        <v>0</v>
      </c>
      <c r="F50" s="10">
        <f t="shared" si="1"/>
        <v>0</v>
      </c>
      <c r="G50" s="411">
        <f t="shared" si="1"/>
        <v>0</v>
      </c>
      <c r="H50" s="41">
        <f t="shared" si="1"/>
        <v>0</v>
      </c>
      <c r="I50" s="10">
        <f t="shared" si="1"/>
        <v>0</v>
      </c>
      <c r="J50" s="10">
        <f t="shared" si="2"/>
        <v>0</v>
      </c>
      <c r="K50" s="113">
        <f t="shared" si="3"/>
        <v>60378.269617706232</v>
      </c>
    </row>
    <row r="51" spans="1:11" x14ac:dyDescent="0.25">
      <c r="A51" s="49">
        <f>'A) Base RI'!A49</f>
        <v>5479</v>
      </c>
      <c r="B51" s="288" t="str">
        <f>'A) Base RI'!B49</f>
        <v>Cuarnens</v>
      </c>
      <c r="C51" s="10">
        <f>'A) Base RI'!V49</f>
        <v>531</v>
      </c>
      <c r="D51" s="10">
        <f t="shared" si="1"/>
        <v>531</v>
      </c>
      <c r="E51" s="411">
        <f t="shared" si="1"/>
        <v>0</v>
      </c>
      <c r="F51" s="10">
        <f t="shared" si="1"/>
        <v>0</v>
      </c>
      <c r="G51" s="411">
        <f t="shared" si="1"/>
        <v>0</v>
      </c>
      <c r="H51" s="41">
        <f t="shared" si="1"/>
        <v>0</v>
      </c>
      <c r="I51" s="10">
        <f t="shared" si="1"/>
        <v>0</v>
      </c>
      <c r="J51" s="10">
        <f t="shared" si="2"/>
        <v>0</v>
      </c>
      <c r="K51" s="113">
        <f t="shared" si="3"/>
        <v>66241.448692152917</v>
      </c>
    </row>
    <row r="52" spans="1:11" x14ac:dyDescent="0.25">
      <c r="A52" s="49">
        <f>'A) Base RI'!A50</f>
        <v>5480</v>
      </c>
      <c r="B52" s="288" t="str">
        <f>'A) Base RI'!B50</f>
        <v>Daillens</v>
      </c>
      <c r="C52" s="10">
        <f>'A) Base RI'!V50</f>
        <v>1051</v>
      </c>
      <c r="D52" s="10">
        <f t="shared" si="1"/>
        <v>1000</v>
      </c>
      <c r="E52" s="411">
        <f t="shared" si="1"/>
        <v>51</v>
      </c>
      <c r="F52" s="10">
        <f t="shared" si="1"/>
        <v>0</v>
      </c>
      <c r="G52" s="411">
        <f t="shared" si="1"/>
        <v>0</v>
      </c>
      <c r="H52" s="41">
        <f t="shared" si="1"/>
        <v>0</v>
      </c>
      <c r="I52" s="10">
        <f t="shared" si="1"/>
        <v>0</v>
      </c>
      <c r="J52" s="10">
        <f t="shared" si="2"/>
        <v>0</v>
      </c>
      <c r="K52" s="113">
        <f t="shared" si="3"/>
        <v>142562.57545271629</v>
      </c>
    </row>
    <row r="53" spans="1:11" x14ac:dyDescent="0.25">
      <c r="A53" s="49">
        <f>'A) Base RI'!A51</f>
        <v>5481</v>
      </c>
      <c r="B53" s="288" t="str">
        <f>'A) Base RI'!B51</f>
        <v>Dizy</v>
      </c>
      <c r="C53" s="10">
        <f>'A) Base RI'!V51</f>
        <v>225</v>
      </c>
      <c r="D53" s="10">
        <f t="shared" si="1"/>
        <v>225</v>
      </c>
      <c r="E53" s="411">
        <f t="shared" si="1"/>
        <v>0</v>
      </c>
      <c r="F53" s="10">
        <f t="shared" si="1"/>
        <v>0</v>
      </c>
      <c r="G53" s="411">
        <f t="shared" si="1"/>
        <v>0</v>
      </c>
      <c r="H53" s="41">
        <f t="shared" si="1"/>
        <v>0</v>
      </c>
      <c r="I53" s="10">
        <f t="shared" si="1"/>
        <v>0</v>
      </c>
      <c r="J53" s="10">
        <f t="shared" si="2"/>
        <v>0</v>
      </c>
      <c r="K53" s="113">
        <f t="shared" si="3"/>
        <v>28068.410462776657</v>
      </c>
    </row>
    <row r="54" spans="1:11" x14ac:dyDescent="0.25">
      <c r="A54" s="49">
        <f>'A) Base RI'!A52</f>
        <v>5482</v>
      </c>
      <c r="B54" s="288" t="str">
        <f>'A) Base RI'!B52</f>
        <v>Eclépens</v>
      </c>
      <c r="C54" s="10">
        <f>'A) Base RI'!V52</f>
        <v>1198</v>
      </c>
      <c r="D54" s="10">
        <f t="shared" si="1"/>
        <v>1000</v>
      </c>
      <c r="E54" s="411">
        <f t="shared" si="1"/>
        <v>198</v>
      </c>
      <c r="F54" s="10">
        <f t="shared" si="1"/>
        <v>0</v>
      </c>
      <c r="G54" s="411">
        <f t="shared" si="1"/>
        <v>0</v>
      </c>
      <c r="H54" s="41">
        <f t="shared" si="1"/>
        <v>0</v>
      </c>
      <c r="I54" s="10">
        <f t="shared" si="1"/>
        <v>0</v>
      </c>
      <c r="J54" s="10">
        <f t="shared" si="2"/>
        <v>0</v>
      </c>
      <c r="K54" s="113">
        <f t="shared" si="3"/>
        <v>193909.05432595575</v>
      </c>
    </row>
    <row r="55" spans="1:11" x14ac:dyDescent="0.25">
      <c r="A55" s="49">
        <f>'A) Base RI'!A53</f>
        <v>5483</v>
      </c>
      <c r="B55" s="288" t="str">
        <f>'A) Base RI'!B53</f>
        <v>Ferreyres</v>
      </c>
      <c r="C55" s="10">
        <f>'A) Base RI'!V53</f>
        <v>319</v>
      </c>
      <c r="D55" s="10">
        <f t="shared" si="1"/>
        <v>319</v>
      </c>
      <c r="E55" s="411">
        <f t="shared" si="1"/>
        <v>0</v>
      </c>
      <c r="F55" s="10">
        <f t="shared" si="1"/>
        <v>0</v>
      </c>
      <c r="G55" s="411">
        <f t="shared" si="1"/>
        <v>0</v>
      </c>
      <c r="H55" s="41">
        <f t="shared" si="1"/>
        <v>0</v>
      </c>
      <c r="I55" s="10">
        <f t="shared" si="1"/>
        <v>0</v>
      </c>
      <c r="J55" s="10">
        <f t="shared" si="2"/>
        <v>0</v>
      </c>
      <c r="K55" s="113">
        <f t="shared" si="3"/>
        <v>39794.768611670021</v>
      </c>
    </row>
    <row r="56" spans="1:11" x14ac:dyDescent="0.25">
      <c r="A56" s="49">
        <f>'A) Base RI'!A54</f>
        <v>5484</v>
      </c>
      <c r="B56" s="288" t="str">
        <f>'A) Base RI'!B54</f>
        <v>Gollion</v>
      </c>
      <c r="C56" s="10">
        <f>'A) Base RI'!V54</f>
        <v>1018</v>
      </c>
      <c r="D56" s="10">
        <f t="shared" si="1"/>
        <v>1000</v>
      </c>
      <c r="E56" s="411">
        <f t="shared" si="1"/>
        <v>18</v>
      </c>
      <c r="F56" s="10">
        <f t="shared" si="1"/>
        <v>0</v>
      </c>
      <c r="G56" s="411">
        <f t="shared" si="1"/>
        <v>0</v>
      </c>
      <c r="H56" s="41">
        <f t="shared" si="1"/>
        <v>0</v>
      </c>
      <c r="I56" s="10">
        <f t="shared" si="1"/>
        <v>0</v>
      </c>
      <c r="J56" s="10">
        <f t="shared" si="2"/>
        <v>0</v>
      </c>
      <c r="K56" s="113">
        <f t="shared" si="3"/>
        <v>131035.81488933602</v>
      </c>
    </row>
    <row r="57" spans="1:11" x14ac:dyDescent="0.25">
      <c r="A57" s="49">
        <f>'A) Base RI'!A55</f>
        <v>5485</v>
      </c>
      <c r="B57" s="288" t="str">
        <f>'A) Base RI'!B55</f>
        <v>Grancy</v>
      </c>
      <c r="C57" s="10">
        <f>'A) Base RI'!V55</f>
        <v>445</v>
      </c>
      <c r="D57" s="10">
        <f t="shared" si="1"/>
        <v>445</v>
      </c>
      <c r="E57" s="411">
        <f t="shared" si="1"/>
        <v>0</v>
      </c>
      <c r="F57" s="10">
        <f t="shared" si="1"/>
        <v>0</v>
      </c>
      <c r="G57" s="411">
        <f t="shared" si="1"/>
        <v>0</v>
      </c>
      <c r="H57" s="41">
        <f t="shared" si="1"/>
        <v>0</v>
      </c>
      <c r="I57" s="10">
        <f t="shared" si="1"/>
        <v>0</v>
      </c>
      <c r="J57" s="10">
        <f t="shared" si="2"/>
        <v>0</v>
      </c>
      <c r="K57" s="113">
        <f t="shared" si="3"/>
        <v>55513.078470824948</v>
      </c>
    </row>
    <row r="58" spans="1:11" x14ac:dyDescent="0.25">
      <c r="A58" s="49">
        <f>'A) Base RI'!A56</f>
        <v>5486</v>
      </c>
      <c r="B58" s="288" t="str">
        <f>'A) Base RI'!B56</f>
        <v>L'Isle</v>
      </c>
      <c r="C58" s="10">
        <f>'A) Base RI'!V56</f>
        <v>1079</v>
      </c>
      <c r="D58" s="10">
        <f t="shared" si="1"/>
        <v>1000</v>
      </c>
      <c r="E58" s="411">
        <f t="shared" si="1"/>
        <v>79</v>
      </c>
      <c r="F58" s="10">
        <f t="shared" si="1"/>
        <v>0</v>
      </c>
      <c r="G58" s="411">
        <f t="shared" si="1"/>
        <v>0</v>
      </c>
      <c r="H58" s="41">
        <f t="shared" si="1"/>
        <v>0</v>
      </c>
      <c r="I58" s="10">
        <f t="shared" si="1"/>
        <v>0</v>
      </c>
      <c r="J58" s="10">
        <f t="shared" si="2"/>
        <v>0</v>
      </c>
      <c r="K58" s="113">
        <f t="shared" si="3"/>
        <v>152342.85714285713</v>
      </c>
    </row>
    <row r="59" spans="1:11" x14ac:dyDescent="0.25">
      <c r="A59" s="49">
        <f>'A) Base RI'!A57</f>
        <v>5487</v>
      </c>
      <c r="B59" s="288" t="str">
        <f>'A) Base RI'!B57</f>
        <v>Lussery-Villars</v>
      </c>
      <c r="C59" s="10">
        <f>'A) Base RI'!V57</f>
        <v>475</v>
      </c>
      <c r="D59" s="10">
        <f t="shared" si="1"/>
        <v>475</v>
      </c>
      <c r="E59" s="411">
        <f t="shared" si="1"/>
        <v>0</v>
      </c>
      <c r="F59" s="10">
        <f t="shared" si="1"/>
        <v>0</v>
      </c>
      <c r="G59" s="411">
        <f t="shared" si="1"/>
        <v>0</v>
      </c>
      <c r="H59" s="41">
        <f t="shared" si="1"/>
        <v>0</v>
      </c>
      <c r="I59" s="10">
        <f t="shared" si="1"/>
        <v>0</v>
      </c>
      <c r="J59" s="10">
        <f t="shared" si="2"/>
        <v>0</v>
      </c>
      <c r="K59" s="113">
        <f t="shared" si="3"/>
        <v>59255.533199195168</v>
      </c>
    </row>
    <row r="60" spans="1:11" x14ac:dyDescent="0.25">
      <c r="A60" s="49">
        <f>'A) Base RI'!A58</f>
        <v>5488</v>
      </c>
      <c r="B60" s="288" t="str">
        <f>'A) Base RI'!B58</f>
        <v>Mauraz</v>
      </c>
      <c r="C60" s="10">
        <f>'A) Base RI'!V58</f>
        <v>60</v>
      </c>
      <c r="D60" s="10">
        <f t="shared" si="1"/>
        <v>60</v>
      </c>
      <c r="E60" s="411">
        <f t="shared" si="1"/>
        <v>0</v>
      </c>
      <c r="F60" s="10">
        <f t="shared" si="1"/>
        <v>0</v>
      </c>
      <c r="G60" s="411">
        <f t="shared" si="1"/>
        <v>0</v>
      </c>
      <c r="H60" s="41">
        <f t="shared" si="1"/>
        <v>0</v>
      </c>
      <c r="I60" s="10">
        <f t="shared" si="1"/>
        <v>0</v>
      </c>
      <c r="J60" s="10">
        <f t="shared" si="2"/>
        <v>0</v>
      </c>
      <c r="K60" s="113">
        <f t="shared" si="3"/>
        <v>7484.9094567404418</v>
      </c>
    </row>
    <row r="61" spans="1:11" x14ac:dyDescent="0.25">
      <c r="A61" s="49">
        <f>'A) Base RI'!A59</f>
        <v>5489</v>
      </c>
      <c r="B61" s="288" t="str">
        <f>'A) Base RI'!B59</f>
        <v>Mex</v>
      </c>
      <c r="C61" s="10">
        <f>'A) Base RI'!V59</f>
        <v>795</v>
      </c>
      <c r="D61" s="10">
        <f t="shared" si="1"/>
        <v>795</v>
      </c>
      <c r="E61" s="411">
        <f t="shared" si="1"/>
        <v>0</v>
      </c>
      <c r="F61" s="10">
        <f t="shared" si="1"/>
        <v>0</v>
      </c>
      <c r="G61" s="411">
        <f t="shared" si="1"/>
        <v>0</v>
      </c>
      <c r="H61" s="41">
        <f t="shared" si="1"/>
        <v>0</v>
      </c>
      <c r="I61" s="10">
        <f t="shared" si="1"/>
        <v>0</v>
      </c>
      <c r="J61" s="10">
        <f t="shared" si="2"/>
        <v>0</v>
      </c>
      <c r="K61" s="113">
        <f t="shared" si="3"/>
        <v>99175.050301810857</v>
      </c>
    </row>
    <row r="62" spans="1:11" x14ac:dyDescent="0.25">
      <c r="A62" s="49">
        <f>'A) Base RI'!A60</f>
        <v>5490</v>
      </c>
      <c r="B62" s="288" t="str">
        <f>'A) Base RI'!B60</f>
        <v>Moiry</v>
      </c>
      <c r="C62" s="10">
        <f>'A) Base RI'!V60</f>
        <v>301</v>
      </c>
      <c r="D62" s="10">
        <f t="shared" si="1"/>
        <v>301</v>
      </c>
      <c r="E62" s="411">
        <f t="shared" si="1"/>
        <v>0</v>
      </c>
      <c r="F62" s="10">
        <f t="shared" si="1"/>
        <v>0</v>
      </c>
      <c r="G62" s="411">
        <f t="shared" si="1"/>
        <v>0</v>
      </c>
      <c r="H62" s="41">
        <f t="shared" si="1"/>
        <v>0</v>
      </c>
      <c r="I62" s="10">
        <f t="shared" si="1"/>
        <v>0</v>
      </c>
      <c r="J62" s="10">
        <f t="shared" si="2"/>
        <v>0</v>
      </c>
      <c r="K62" s="113">
        <f t="shared" si="3"/>
        <v>37549.295774647886</v>
      </c>
    </row>
    <row r="63" spans="1:11" x14ac:dyDescent="0.25">
      <c r="A63" s="49">
        <f>'A) Base RI'!A61</f>
        <v>5491</v>
      </c>
      <c r="B63" s="288" t="str">
        <f>'A) Base RI'!B61</f>
        <v>Mont-la-Ville</v>
      </c>
      <c r="C63" s="10">
        <f>'A) Base RI'!V61</f>
        <v>508</v>
      </c>
      <c r="D63" s="10">
        <f t="shared" si="1"/>
        <v>508</v>
      </c>
      <c r="E63" s="411">
        <f t="shared" si="1"/>
        <v>0</v>
      </c>
      <c r="F63" s="10">
        <f t="shared" si="1"/>
        <v>0</v>
      </c>
      <c r="G63" s="411">
        <f t="shared" si="1"/>
        <v>0</v>
      </c>
      <c r="H63" s="41">
        <f t="shared" si="1"/>
        <v>0</v>
      </c>
      <c r="I63" s="10">
        <f t="shared" si="1"/>
        <v>0</v>
      </c>
      <c r="J63" s="10">
        <f t="shared" si="2"/>
        <v>0</v>
      </c>
      <c r="K63" s="113">
        <f t="shared" si="3"/>
        <v>63372.233400402409</v>
      </c>
    </row>
    <row r="64" spans="1:11" x14ac:dyDescent="0.25">
      <c r="A64" s="49">
        <f>'A) Base RI'!A62</f>
        <v>5492</v>
      </c>
      <c r="B64" s="288" t="str">
        <f>'A) Base RI'!B62</f>
        <v>Montricher</v>
      </c>
      <c r="C64" s="10">
        <f>'A) Base RI'!V62</f>
        <v>981</v>
      </c>
      <c r="D64" s="10">
        <f t="shared" ref="D64:I106" si="4">IF($C64&gt;D$5,IF($C64&lt;D$6,$C64-D$5,D$6-D$5),0)</f>
        <v>981</v>
      </c>
      <c r="E64" s="411">
        <f t="shared" si="4"/>
        <v>0</v>
      </c>
      <c r="F64" s="10">
        <f t="shared" si="4"/>
        <v>0</v>
      </c>
      <c r="G64" s="411">
        <f t="shared" si="4"/>
        <v>0</v>
      </c>
      <c r="H64" s="41">
        <f t="shared" si="4"/>
        <v>0</v>
      </c>
      <c r="I64" s="10">
        <f t="shared" si="4"/>
        <v>0</v>
      </c>
      <c r="J64" s="10">
        <f t="shared" si="2"/>
        <v>0</v>
      </c>
      <c r="K64" s="113">
        <f t="shared" si="3"/>
        <v>122378.26961770623</v>
      </c>
    </row>
    <row r="65" spans="1:11" x14ac:dyDescent="0.25">
      <c r="A65" s="49">
        <f>'A) Base RI'!A63</f>
        <v>5493</v>
      </c>
      <c r="B65" s="288" t="str">
        <f>'A) Base RI'!B63</f>
        <v>Orny</v>
      </c>
      <c r="C65" s="10">
        <f>'A) Base RI'!V63</f>
        <v>480</v>
      </c>
      <c r="D65" s="10">
        <f t="shared" si="4"/>
        <v>480</v>
      </c>
      <c r="E65" s="411">
        <f t="shared" si="4"/>
        <v>0</v>
      </c>
      <c r="F65" s="10">
        <f t="shared" si="4"/>
        <v>0</v>
      </c>
      <c r="G65" s="411">
        <f t="shared" si="4"/>
        <v>0</v>
      </c>
      <c r="H65" s="41">
        <f t="shared" si="4"/>
        <v>0</v>
      </c>
      <c r="I65" s="10">
        <f t="shared" si="4"/>
        <v>0</v>
      </c>
      <c r="J65" s="10">
        <f t="shared" si="2"/>
        <v>0</v>
      </c>
      <c r="K65" s="113">
        <f t="shared" si="3"/>
        <v>59879.275653923534</v>
      </c>
    </row>
    <row r="66" spans="1:11" x14ac:dyDescent="0.25">
      <c r="A66" s="49">
        <f>'A) Base RI'!A64</f>
        <v>5494</v>
      </c>
      <c r="B66" s="288" t="str">
        <f>'A) Base RI'!B64</f>
        <v>Pampigny</v>
      </c>
      <c r="C66" s="10">
        <f>'A) Base RI'!V64</f>
        <v>1185</v>
      </c>
      <c r="D66" s="10">
        <f t="shared" si="4"/>
        <v>1000</v>
      </c>
      <c r="E66" s="411">
        <f t="shared" si="4"/>
        <v>185</v>
      </c>
      <c r="F66" s="10">
        <f t="shared" si="4"/>
        <v>0</v>
      </c>
      <c r="G66" s="411">
        <f t="shared" si="4"/>
        <v>0</v>
      </c>
      <c r="H66" s="41">
        <f t="shared" si="4"/>
        <v>0</v>
      </c>
      <c r="I66" s="10">
        <f t="shared" si="4"/>
        <v>0</v>
      </c>
      <c r="J66" s="10">
        <f t="shared" si="2"/>
        <v>0</v>
      </c>
      <c r="K66" s="113">
        <f t="shared" si="3"/>
        <v>189368.20925553318</v>
      </c>
    </row>
    <row r="67" spans="1:11" x14ac:dyDescent="0.25">
      <c r="A67" s="49">
        <f>'A) Base RI'!A65</f>
        <v>5495</v>
      </c>
      <c r="B67" s="288" t="str">
        <f>'A) Base RI'!B65</f>
        <v>Penthalaz</v>
      </c>
      <c r="C67" s="10">
        <f>'A) Base RI'!V65</f>
        <v>3210</v>
      </c>
      <c r="D67" s="10">
        <f t="shared" si="4"/>
        <v>1000</v>
      </c>
      <c r="E67" s="411">
        <f t="shared" si="4"/>
        <v>2000</v>
      </c>
      <c r="F67" s="10">
        <f t="shared" si="4"/>
        <v>210</v>
      </c>
      <c r="G67" s="411">
        <f t="shared" si="4"/>
        <v>0</v>
      </c>
      <c r="H67" s="41">
        <f t="shared" si="4"/>
        <v>0</v>
      </c>
      <c r="I67" s="10">
        <f t="shared" si="4"/>
        <v>0</v>
      </c>
      <c r="J67" s="10">
        <f t="shared" si="2"/>
        <v>0</v>
      </c>
      <c r="K67" s="113">
        <f t="shared" si="3"/>
        <v>928128.77263581473</v>
      </c>
    </row>
    <row r="68" spans="1:11" x14ac:dyDescent="0.25">
      <c r="A68" s="49">
        <f>'A) Base RI'!A66</f>
        <v>5496</v>
      </c>
      <c r="B68" s="288" t="str">
        <f>'A) Base RI'!B66</f>
        <v>Penthaz</v>
      </c>
      <c r="C68" s="10">
        <f>'A) Base RI'!V66</f>
        <v>1890</v>
      </c>
      <c r="D68" s="10">
        <f t="shared" si="4"/>
        <v>1000</v>
      </c>
      <c r="E68" s="411">
        <f t="shared" si="4"/>
        <v>890</v>
      </c>
      <c r="F68" s="10">
        <f t="shared" si="4"/>
        <v>0</v>
      </c>
      <c r="G68" s="411">
        <f t="shared" si="4"/>
        <v>0</v>
      </c>
      <c r="H68" s="41">
        <f t="shared" si="4"/>
        <v>0</v>
      </c>
      <c r="I68" s="10">
        <f t="shared" si="4"/>
        <v>0</v>
      </c>
      <c r="J68" s="10">
        <f t="shared" si="2"/>
        <v>0</v>
      </c>
      <c r="K68" s="113">
        <f t="shared" si="3"/>
        <v>435621.7303822937</v>
      </c>
    </row>
    <row r="69" spans="1:11" x14ac:dyDescent="0.25">
      <c r="A69" s="49">
        <f>'A) Base RI'!A67</f>
        <v>5497</v>
      </c>
      <c r="B69" s="288" t="str">
        <f>'A) Base RI'!B67</f>
        <v>Pompaples</v>
      </c>
      <c r="C69" s="10">
        <f>'A) Base RI'!V67</f>
        <v>849</v>
      </c>
      <c r="D69" s="10">
        <f t="shared" si="4"/>
        <v>849</v>
      </c>
      <c r="E69" s="411">
        <f t="shared" si="4"/>
        <v>0</v>
      </c>
      <c r="F69" s="10">
        <f t="shared" si="4"/>
        <v>0</v>
      </c>
      <c r="G69" s="411">
        <f t="shared" si="4"/>
        <v>0</v>
      </c>
      <c r="H69" s="41">
        <f t="shared" si="4"/>
        <v>0</v>
      </c>
      <c r="I69" s="10">
        <f t="shared" si="4"/>
        <v>0</v>
      </c>
      <c r="J69" s="10">
        <f t="shared" si="2"/>
        <v>0</v>
      </c>
      <c r="K69" s="113">
        <f t="shared" si="3"/>
        <v>105911.46881287725</v>
      </c>
    </row>
    <row r="70" spans="1:11" x14ac:dyDescent="0.25">
      <c r="A70" s="49">
        <f>'A) Base RI'!A68</f>
        <v>5498</v>
      </c>
      <c r="B70" s="288" t="str">
        <f>'A) Base RI'!B68</f>
        <v>La Sarraz</v>
      </c>
      <c r="C70" s="10">
        <f>'A) Base RI'!V68</f>
        <v>2620</v>
      </c>
      <c r="D70" s="10">
        <f t="shared" si="4"/>
        <v>1000</v>
      </c>
      <c r="E70" s="411">
        <f t="shared" si="4"/>
        <v>1620</v>
      </c>
      <c r="F70" s="10">
        <f t="shared" si="4"/>
        <v>0</v>
      </c>
      <c r="G70" s="411">
        <f t="shared" si="4"/>
        <v>0</v>
      </c>
      <c r="H70" s="41">
        <f t="shared" si="4"/>
        <v>0</v>
      </c>
      <c r="I70" s="10">
        <f t="shared" si="4"/>
        <v>0</v>
      </c>
      <c r="J70" s="10">
        <f t="shared" si="2"/>
        <v>0</v>
      </c>
      <c r="K70" s="113">
        <f t="shared" si="3"/>
        <v>690607.64587525139</v>
      </c>
    </row>
    <row r="71" spans="1:11" x14ac:dyDescent="0.25">
      <c r="A71" s="49">
        <f>'A) Base RI'!A69</f>
        <v>5499</v>
      </c>
      <c r="B71" s="288" t="str">
        <f>'A) Base RI'!B69</f>
        <v>Senarclens</v>
      </c>
      <c r="C71" s="10">
        <f>'A) Base RI'!V69</f>
        <v>491</v>
      </c>
      <c r="D71" s="10">
        <f t="shared" si="4"/>
        <v>491</v>
      </c>
      <c r="E71" s="411">
        <f t="shared" si="4"/>
        <v>0</v>
      </c>
      <c r="F71" s="10">
        <f t="shared" si="4"/>
        <v>0</v>
      </c>
      <c r="G71" s="411">
        <f t="shared" si="4"/>
        <v>0</v>
      </c>
      <c r="H71" s="41">
        <f t="shared" si="4"/>
        <v>0</v>
      </c>
      <c r="I71" s="10">
        <f t="shared" si="4"/>
        <v>0</v>
      </c>
      <c r="J71" s="10">
        <f t="shared" si="2"/>
        <v>0</v>
      </c>
      <c r="K71" s="113">
        <f t="shared" si="3"/>
        <v>61251.50905432595</v>
      </c>
    </row>
    <row r="72" spans="1:11" x14ac:dyDescent="0.25">
      <c r="A72" s="49">
        <f>'A) Base RI'!A70</f>
        <v>5500</v>
      </c>
      <c r="B72" s="288" t="str">
        <f>'A) Base RI'!B70</f>
        <v>Sévery</v>
      </c>
      <c r="C72" s="10">
        <f>'A) Base RI'!V70</f>
        <v>220</v>
      </c>
      <c r="D72" s="10">
        <f t="shared" si="4"/>
        <v>220</v>
      </c>
      <c r="E72" s="411">
        <f t="shared" si="4"/>
        <v>0</v>
      </c>
      <c r="F72" s="10">
        <f t="shared" si="4"/>
        <v>0</v>
      </c>
      <c r="G72" s="411">
        <f t="shared" si="4"/>
        <v>0</v>
      </c>
      <c r="H72" s="41">
        <f t="shared" si="4"/>
        <v>0</v>
      </c>
      <c r="I72" s="10">
        <f t="shared" si="4"/>
        <v>0</v>
      </c>
      <c r="J72" s="10">
        <f t="shared" si="2"/>
        <v>0</v>
      </c>
      <c r="K72" s="113">
        <f t="shared" si="3"/>
        <v>27444.668008048287</v>
      </c>
    </row>
    <row r="73" spans="1:11" x14ac:dyDescent="0.25">
      <c r="A73" s="49">
        <f>'A) Base RI'!A71</f>
        <v>5501</v>
      </c>
      <c r="B73" s="288" t="str">
        <f>'A) Base RI'!B71</f>
        <v>Sullens</v>
      </c>
      <c r="C73" s="10">
        <f>'A) Base RI'!V71</f>
        <v>1143</v>
      </c>
      <c r="D73" s="10">
        <f t="shared" si="4"/>
        <v>1000</v>
      </c>
      <c r="E73" s="411">
        <f t="shared" si="4"/>
        <v>143</v>
      </c>
      <c r="F73" s="10">
        <f t="shared" si="4"/>
        <v>0</v>
      </c>
      <c r="G73" s="411">
        <f t="shared" si="4"/>
        <v>0</v>
      </c>
      <c r="H73" s="41">
        <f t="shared" si="4"/>
        <v>0</v>
      </c>
      <c r="I73" s="10">
        <f t="shared" si="4"/>
        <v>0</v>
      </c>
      <c r="J73" s="10">
        <f t="shared" ref="J73:J136" si="5">IF(C73&gt;$J$5,C73-$J$5,0)</f>
        <v>0</v>
      </c>
      <c r="K73" s="113">
        <f t="shared" ref="K73:K136" si="6">(D73*D$8)+(E73*E$8)+(F73*F$8)+(G73*G$8)+(H73*H$8)+(I73*I$8)+(J73*J$8)</f>
        <v>174697.78672032192</v>
      </c>
    </row>
    <row r="74" spans="1:11" x14ac:dyDescent="0.25">
      <c r="A74" s="49">
        <f>'A) Base RI'!A72</f>
        <v>5503</v>
      </c>
      <c r="B74" s="288" t="str">
        <f>'A) Base RI'!B72</f>
        <v>Vufflens-la-Ville</v>
      </c>
      <c r="C74" s="10">
        <f>'A) Base RI'!V72</f>
        <v>1346</v>
      </c>
      <c r="D74" s="10">
        <f t="shared" si="4"/>
        <v>1000</v>
      </c>
      <c r="E74" s="411">
        <f t="shared" si="4"/>
        <v>346</v>
      </c>
      <c r="F74" s="10">
        <f t="shared" si="4"/>
        <v>0</v>
      </c>
      <c r="G74" s="411">
        <f t="shared" si="4"/>
        <v>0</v>
      </c>
      <c r="H74" s="41">
        <f t="shared" si="4"/>
        <v>0</v>
      </c>
      <c r="I74" s="10">
        <f t="shared" si="4"/>
        <v>0</v>
      </c>
      <c r="J74" s="10">
        <f t="shared" si="5"/>
        <v>0</v>
      </c>
      <c r="K74" s="113">
        <f t="shared" si="6"/>
        <v>245604.82897384305</v>
      </c>
    </row>
    <row r="75" spans="1:11" x14ac:dyDescent="0.25">
      <c r="A75" s="49">
        <f>'A) Base RI'!A73</f>
        <v>5511</v>
      </c>
      <c r="B75" s="288" t="str">
        <f>'A) Base RI'!B73</f>
        <v>Assens</v>
      </c>
      <c r="C75" s="10">
        <f>'A) Base RI'!V73</f>
        <v>1151</v>
      </c>
      <c r="D75" s="10">
        <f t="shared" si="4"/>
        <v>1000</v>
      </c>
      <c r="E75" s="411">
        <f t="shared" si="4"/>
        <v>151</v>
      </c>
      <c r="F75" s="10">
        <f t="shared" si="4"/>
        <v>0</v>
      </c>
      <c r="G75" s="411">
        <f t="shared" si="4"/>
        <v>0</v>
      </c>
      <c r="H75" s="41">
        <f t="shared" si="4"/>
        <v>0</v>
      </c>
      <c r="I75" s="10">
        <f t="shared" si="4"/>
        <v>0</v>
      </c>
      <c r="J75" s="10">
        <f t="shared" si="5"/>
        <v>0</v>
      </c>
      <c r="K75" s="113">
        <f t="shared" si="6"/>
        <v>177492.15291750501</v>
      </c>
    </row>
    <row r="76" spans="1:11" x14ac:dyDescent="0.25">
      <c r="A76" s="49">
        <f>'A) Base RI'!A74</f>
        <v>5512</v>
      </c>
      <c r="B76" s="288" t="str">
        <f>'A) Base RI'!B74</f>
        <v>Bercher</v>
      </c>
      <c r="C76" s="10">
        <f>'A) Base RI'!V74</f>
        <v>1320</v>
      </c>
      <c r="D76" s="10">
        <f t="shared" si="4"/>
        <v>1000</v>
      </c>
      <c r="E76" s="411">
        <f t="shared" si="4"/>
        <v>320</v>
      </c>
      <c r="F76" s="10">
        <f t="shared" si="4"/>
        <v>0</v>
      </c>
      <c r="G76" s="411">
        <f t="shared" si="4"/>
        <v>0</v>
      </c>
      <c r="H76" s="41">
        <f t="shared" si="4"/>
        <v>0</v>
      </c>
      <c r="I76" s="10">
        <f t="shared" si="4"/>
        <v>0</v>
      </c>
      <c r="J76" s="10">
        <f t="shared" si="5"/>
        <v>0</v>
      </c>
      <c r="K76" s="113">
        <f t="shared" si="6"/>
        <v>236523.138832998</v>
      </c>
    </row>
    <row r="77" spans="1:11" x14ac:dyDescent="0.25">
      <c r="A77" s="49">
        <f>'A) Base RI'!A75</f>
        <v>5513</v>
      </c>
      <c r="B77" s="288" t="str">
        <f>'A) Base RI'!B75</f>
        <v>Bioley-Orjulaz</v>
      </c>
      <c r="C77" s="10">
        <f>'A) Base RI'!V75</f>
        <v>518</v>
      </c>
      <c r="D77" s="10">
        <f t="shared" si="4"/>
        <v>518</v>
      </c>
      <c r="E77" s="411">
        <f t="shared" si="4"/>
        <v>0</v>
      </c>
      <c r="F77" s="10">
        <f t="shared" si="4"/>
        <v>0</v>
      </c>
      <c r="G77" s="411">
        <f t="shared" si="4"/>
        <v>0</v>
      </c>
      <c r="H77" s="41">
        <f t="shared" si="4"/>
        <v>0</v>
      </c>
      <c r="I77" s="10">
        <f t="shared" si="4"/>
        <v>0</v>
      </c>
      <c r="J77" s="10">
        <f t="shared" si="5"/>
        <v>0</v>
      </c>
      <c r="K77" s="113">
        <f t="shared" si="6"/>
        <v>64619.718309859149</v>
      </c>
    </row>
    <row r="78" spans="1:11" x14ac:dyDescent="0.25">
      <c r="A78" s="49">
        <f>'A) Base RI'!A76</f>
        <v>5514</v>
      </c>
      <c r="B78" s="288" t="str">
        <f>'A) Base RI'!B76</f>
        <v>Bottens</v>
      </c>
      <c r="C78" s="10">
        <f>'A) Base RI'!V76</f>
        <v>1357</v>
      </c>
      <c r="D78" s="10">
        <f t="shared" si="4"/>
        <v>1000</v>
      </c>
      <c r="E78" s="411">
        <f t="shared" si="4"/>
        <v>357</v>
      </c>
      <c r="F78" s="10">
        <f t="shared" si="4"/>
        <v>0</v>
      </c>
      <c r="G78" s="411">
        <f t="shared" si="4"/>
        <v>0</v>
      </c>
      <c r="H78" s="41">
        <f t="shared" si="4"/>
        <v>0</v>
      </c>
      <c r="I78" s="10">
        <f t="shared" si="4"/>
        <v>0</v>
      </c>
      <c r="J78" s="10">
        <f t="shared" si="5"/>
        <v>0</v>
      </c>
      <c r="K78" s="113">
        <f t="shared" si="6"/>
        <v>249447.08249496983</v>
      </c>
    </row>
    <row r="79" spans="1:11" x14ac:dyDescent="0.25">
      <c r="A79" s="49">
        <f>'A) Base RI'!A77</f>
        <v>5515</v>
      </c>
      <c r="B79" s="288" t="str">
        <f>'A) Base RI'!B77</f>
        <v>Bretigny-sur-Morrens</v>
      </c>
      <c r="C79" s="10">
        <f>'A) Base RI'!V77</f>
        <v>882</v>
      </c>
      <c r="D79" s="10">
        <f t="shared" si="4"/>
        <v>882</v>
      </c>
      <c r="E79" s="411">
        <f t="shared" si="4"/>
        <v>0</v>
      </c>
      <c r="F79" s="10">
        <f t="shared" si="4"/>
        <v>0</v>
      </c>
      <c r="G79" s="411">
        <f t="shared" si="4"/>
        <v>0</v>
      </c>
      <c r="H79" s="41">
        <f t="shared" si="4"/>
        <v>0</v>
      </c>
      <c r="I79" s="10">
        <f t="shared" si="4"/>
        <v>0</v>
      </c>
      <c r="J79" s="10">
        <f t="shared" si="5"/>
        <v>0</v>
      </c>
      <c r="K79" s="113">
        <f t="shared" si="6"/>
        <v>110028.1690140845</v>
      </c>
    </row>
    <row r="80" spans="1:11" x14ac:dyDescent="0.25">
      <c r="A80" s="49">
        <f>'A) Base RI'!A78</f>
        <v>5516</v>
      </c>
      <c r="B80" s="288" t="str">
        <f>'A) Base RI'!B78</f>
        <v>Cugy</v>
      </c>
      <c r="C80" s="10">
        <f>'A) Base RI'!V78</f>
        <v>2733</v>
      </c>
      <c r="D80" s="10">
        <f t="shared" si="4"/>
        <v>1000</v>
      </c>
      <c r="E80" s="411">
        <f t="shared" si="4"/>
        <v>1733</v>
      </c>
      <c r="F80" s="10">
        <f t="shared" si="4"/>
        <v>0</v>
      </c>
      <c r="G80" s="411">
        <f t="shared" si="4"/>
        <v>0</v>
      </c>
      <c r="H80" s="41">
        <f t="shared" si="4"/>
        <v>0</v>
      </c>
      <c r="I80" s="10">
        <f t="shared" si="4"/>
        <v>0</v>
      </c>
      <c r="J80" s="10">
        <f t="shared" si="5"/>
        <v>0</v>
      </c>
      <c r="K80" s="113">
        <f t="shared" si="6"/>
        <v>730078.0684104627</v>
      </c>
    </row>
    <row r="81" spans="1:11" x14ac:dyDescent="0.25">
      <c r="A81" s="49">
        <f>'A) Base RI'!A79</f>
        <v>5518</v>
      </c>
      <c r="B81" s="288" t="str">
        <f>'A) Base RI'!B79</f>
        <v>Echallens</v>
      </c>
      <c r="C81" s="10">
        <f>'A) Base RI'!V79</f>
        <v>5739</v>
      </c>
      <c r="D81" s="10">
        <f t="shared" si="4"/>
        <v>1000</v>
      </c>
      <c r="E81" s="411">
        <f t="shared" si="4"/>
        <v>2000</v>
      </c>
      <c r="F81" s="10">
        <f t="shared" si="4"/>
        <v>2000</v>
      </c>
      <c r="G81" s="411">
        <f t="shared" si="4"/>
        <v>739</v>
      </c>
      <c r="H81" s="41">
        <f t="shared" si="4"/>
        <v>0</v>
      </c>
      <c r="I81" s="10">
        <f t="shared" si="4"/>
        <v>0</v>
      </c>
      <c r="J81" s="10">
        <f t="shared" si="5"/>
        <v>0</v>
      </c>
      <c r="K81" s="113">
        <f t="shared" si="6"/>
        <v>2263835.8148893355</v>
      </c>
    </row>
    <row r="82" spans="1:11" x14ac:dyDescent="0.25">
      <c r="A82" s="49">
        <f>'A) Base RI'!A80</f>
        <v>5520</v>
      </c>
      <c r="B82" s="288" t="str">
        <f>'A) Base RI'!B80</f>
        <v>Essertines-sur-Yverdon</v>
      </c>
      <c r="C82" s="10">
        <f>'A) Base RI'!V80</f>
        <v>1059</v>
      </c>
      <c r="D82" s="10">
        <f t="shared" si="4"/>
        <v>1000</v>
      </c>
      <c r="E82" s="411">
        <f t="shared" si="4"/>
        <v>59</v>
      </c>
      <c r="F82" s="10">
        <f t="shared" si="4"/>
        <v>0</v>
      </c>
      <c r="G82" s="411">
        <f t="shared" si="4"/>
        <v>0</v>
      </c>
      <c r="H82" s="41">
        <f t="shared" si="4"/>
        <v>0</v>
      </c>
      <c r="I82" s="10">
        <f t="shared" si="4"/>
        <v>0</v>
      </c>
      <c r="J82" s="10">
        <f t="shared" si="5"/>
        <v>0</v>
      </c>
      <c r="K82" s="113">
        <f t="shared" si="6"/>
        <v>145356.94164989938</v>
      </c>
    </row>
    <row r="83" spans="1:11" x14ac:dyDescent="0.25">
      <c r="A83" s="49">
        <f>'A) Base RI'!A81</f>
        <v>5521</v>
      </c>
      <c r="B83" s="288" t="str">
        <f>'A) Base RI'!B81</f>
        <v>Etagnières</v>
      </c>
      <c r="C83" s="10">
        <f>'A) Base RI'!V81</f>
        <v>1148</v>
      </c>
      <c r="D83" s="10">
        <f t="shared" si="4"/>
        <v>1000</v>
      </c>
      <c r="E83" s="411">
        <f t="shared" si="4"/>
        <v>148</v>
      </c>
      <c r="F83" s="10">
        <f t="shared" si="4"/>
        <v>0</v>
      </c>
      <c r="G83" s="411">
        <f t="shared" si="4"/>
        <v>0</v>
      </c>
      <c r="H83" s="41">
        <f t="shared" si="4"/>
        <v>0</v>
      </c>
      <c r="I83" s="10">
        <f t="shared" si="4"/>
        <v>0</v>
      </c>
      <c r="J83" s="10">
        <f t="shared" si="5"/>
        <v>0</v>
      </c>
      <c r="K83" s="113">
        <f t="shared" si="6"/>
        <v>176444.26559356137</v>
      </c>
    </row>
    <row r="84" spans="1:11" x14ac:dyDescent="0.25">
      <c r="A84" s="49">
        <f>'A) Base RI'!A82</f>
        <v>5522</v>
      </c>
      <c r="B84" s="288" t="str">
        <f>'A) Base RI'!B82</f>
        <v>Fey</v>
      </c>
      <c r="C84" s="10">
        <f>'A) Base RI'!V82</f>
        <v>754</v>
      </c>
      <c r="D84" s="10">
        <f t="shared" si="4"/>
        <v>754</v>
      </c>
      <c r="E84" s="411">
        <f t="shared" si="4"/>
        <v>0</v>
      </c>
      <c r="F84" s="10">
        <f t="shared" si="4"/>
        <v>0</v>
      </c>
      <c r="G84" s="411">
        <f t="shared" si="4"/>
        <v>0</v>
      </c>
      <c r="H84" s="41">
        <f t="shared" si="4"/>
        <v>0</v>
      </c>
      <c r="I84" s="10">
        <f t="shared" si="4"/>
        <v>0</v>
      </c>
      <c r="J84" s="10">
        <f t="shared" si="5"/>
        <v>0</v>
      </c>
      <c r="K84" s="113">
        <f t="shared" si="6"/>
        <v>94060.362173038229</v>
      </c>
    </row>
    <row r="85" spans="1:11" x14ac:dyDescent="0.25">
      <c r="A85" s="49">
        <f>'A) Base RI'!A83</f>
        <v>5523</v>
      </c>
      <c r="B85" s="288" t="str">
        <f>'A) Base RI'!B83</f>
        <v>Froideville</v>
      </c>
      <c r="C85" s="10">
        <f>'A) Base RI'!V83</f>
        <v>2673</v>
      </c>
      <c r="D85" s="10">
        <f t="shared" si="4"/>
        <v>1000</v>
      </c>
      <c r="E85" s="411">
        <f t="shared" si="4"/>
        <v>1673</v>
      </c>
      <c r="F85" s="10">
        <f t="shared" si="4"/>
        <v>0</v>
      </c>
      <c r="G85" s="411">
        <f t="shared" si="4"/>
        <v>0</v>
      </c>
      <c r="H85" s="41">
        <f t="shared" si="4"/>
        <v>0</v>
      </c>
      <c r="I85" s="10">
        <f t="shared" si="4"/>
        <v>0</v>
      </c>
      <c r="J85" s="10">
        <f t="shared" si="5"/>
        <v>0</v>
      </c>
      <c r="K85" s="113">
        <f t="shared" si="6"/>
        <v>709120.32193158951</v>
      </c>
    </row>
    <row r="86" spans="1:11" x14ac:dyDescent="0.25">
      <c r="A86" s="49">
        <f>'A) Base RI'!A84</f>
        <v>5527</v>
      </c>
      <c r="B86" s="288" t="str">
        <f>'A) Base RI'!B84</f>
        <v>Morrens</v>
      </c>
      <c r="C86" s="10">
        <f>'A) Base RI'!V84</f>
        <v>1156</v>
      </c>
      <c r="D86" s="10">
        <f t="shared" si="4"/>
        <v>1000</v>
      </c>
      <c r="E86" s="411">
        <f t="shared" si="4"/>
        <v>156</v>
      </c>
      <c r="F86" s="10">
        <f t="shared" si="4"/>
        <v>0</v>
      </c>
      <c r="G86" s="411">
        <f t="shared" si="4"/>
        <v>0</v>
      </c>
      <c r="H86" s="41">
        <f t="shared" si="4"/>
        <v>0</v>
      </c>
      <c r="I86" s="10">
        <f t="shared" si="4"/>
        <v>0</v>
      </c>
      <c r="J86" s="10">
        <f t="shared" si="5"/>
        <v>0</v>
      </c>
      <c r="K86" s="113">
        <f t="shared" si="6"/>
        <v>179238.63179074446</v>
      </c>
    </row>
    <row r="87" spans="1:11" x14ac:dyDescent="0.25">
      <c r="A87" s="49">
        <f>'A) Base RI'!A85</f>
        <v>5529</v>
      </c>
      <c r="B87" s="288" t="str">
        <f>'A) Base RI'!B85</f>
        <v>Oulens-sous-Echallens</v>
      </c>
      <c r="C87" s="10">
        <f>'A) Base RI'!V85</f>
        <v>619</v>
      </c>
      <c r="D87" s="10">
        <f t="shared" si="4"/>
        <v>619</v>
      </c>
      <c r="E87" s="411">
        <f t="shared" si="4"/>
        <v>0</v>
      </c>
      <c r="F87" s="10">
        <f t="shared" si="4"/>
        <v>0</v>
      </c>
      <c r="G87" s="411">
        <f t="shared" si="4"/>
        <v>0</v>
      </c>
      <c r="H87" s="41">
        <f t="shared" si="4"/>
        <v>0</v>
      </c>
      <c r="I87" s="10">
        <f t="shared" si="4"/>
        <v>0</v>
      </c>
      <c r="J87" s="10">
        <f t="shared" si="5"/>
        <v>0</v>
      </c>
      <c r="K87" s="113">
        <f t="shared" si="6"/>
        <v>77219.31589537223</v>
      </c>
    </row>
    <row r="88" spans="1:11" x14ac:dyDescent="0.25">
      <c r="A88" s="49">
        <f>'A) Base RI'!A86</f>
        <v>5530</v>
      </c>
      <c r="B88" s="288" t="str">
        <f>'A) Base RI'!B86</f>
        <v>Pailly</v>
      </c>
      <c r="C88" s="10">
        <f>'A) Base RI'!V86</f>
        <v>575</v>
      </c>
      <c r="D88" s="10">
        <f t="shared" si="4"/>
        <v>575</v>
      </c>
      <c r="E88" s="411">
        <f t="shared" si="4"/>
        <v>0</v>
      </c>
      <c r="F88" s="10">
        <f t="shared" si="4"/>
        <v>0</v>
      </c>
      <c r="G88" s="411">
        <f t="shared" si="4"/>
        <v>0</v>
      </c>
      <c r="H88" s="41">
        <f t="shared" si="4"/>
        <v>0</v>
      </c>
      <c r="I88" s="10">
        <f t="shared" si="4"/>
        <v>0</v>
      </c>
      <c r="J88" s="10">
        <f t="shared" si="5"/>
        <v>0</v>
      </c>
      <c r="K88" s="113">
        <f t="shared" si="6"/>
        <v>71730.382293762566</v>
      </c>
    </row>
    <row r="89" spans="1:11" x14ac:dyDescent="0.25">
      <c r="A89" s="49">
        <f>'A) Base RI'!A87</f>
        <v>5531</v>
      </c>
      <c r="B89" s="288" t="str">
        <f>'A) Base RI'!B87</f>
        <v>Penthéréaz</v>
      </c>
      <c r="C89" s="10">
        <f>'A) Base RI'!V87</f>
        <v>417</v>
      </c>
      <c r="D89" s="10">
        <f t="shared" si="4"/>
        <v>417</v>
      </c>
      <c r="E89" s="411">
        <f t="shared" si="4"/>
        <v>0</v>
      </c>
      <c r="F89" s="10">
        <f t="shared" si="4"/>
        <v>0</v>
      </c>
      <c r="G89" s="411">
        <f t="shared" si="4"/>
        <v>0</v>
      </c>
      <c r="H89" s="41">
        <f t="shared" si="4"/>
        <v>0</v>
      </c>
      <c r="I89" s="10">
        <f t="shared" si="4"/>
        <v>0</v>
      </c>
      <c r="J89" s="10">
        <f t="shared" si="5"/>
        <v>0</v>
      </c>
      <c r="K89" s="113">
        <f t="shared" si="6"/>
        <v>52020.120724346074</v>
      </c>
    </row>
    <row r="90" spans="1:11" x14ac:dyDescent="0.25">
      <c r="A90" s="49">
        <f>'A) Base RI'!A88</f>
        <v>5533</v>
      </c>
      <c r="B90" s="288" t="str">
        <f>'A) Base RI'!B88</f>
        <v>Poliez-Pittet</v>
      </c>
      <c r="C90" s="10">
        <f>'A) Base RI'!V88</f>
        <v>833</v>
      </c>
      <c r="D90" s="10">
        <f t="shared" si="4"/>
        <v>833</v>
      </c>
      <c r="E90" s="411">
        <f t="shared" si="4"/>
        <v>0</v>
      </c>
      <c r="F90" s="10">
        <f t="shared" si="4"/>
        <v>0</v>
      </c>
      <c r="G90" s="411">
        <f t="shared" si="4"/>
        <v>0</v>
      </c>
      <c r="H90" s="41">
        <f t="shared" si="4"/>
        <v>0</v>
      </c>
      <c r="I90" s="10">
        <f t="shared" si="4"/>
        <v>0</v>
      </c>
      <c r="J90" s="10">
        <f t="shared" si="5"/>
        <v>0</v>
      </c>
      <c r="K90" s="113">
        <f t="shared" si="6"/>
        <v>103915.49295774646</v>
      </c>
    </row>
    <row r="91" spans="1:11" x14ac:dyDescent="0.25">
      <c r="A91" s="49">
        <f>'A) Base RI'!A89</f>
        <v>5534</v>
      </c>
      <c r="B91" s="288" t="str">
        <f>'A) Base RI'!B89</f>
        <v>Rueyres</v>
      </c>
      <c r="C91" s="10">
        <f>'A) Base RI'!V89</f>
        <v>304</v>
      </c>
      <c r="D91" s="10">
        <f t="shared" si="4"/>
        <v>304</v>
      </c>
      <c r="E91" s="411">
        <f t="shared" si="4"/>
        <v>0</v>
      </c>
      <c r="F91" s="10">
        <f t="shared" si="4"/>
        <v>0</v>
      </c>
      <c r="G91" s="411">
        <f t="shared" si="4"/>
        <v>0</v>
      </c>
      <c r="H91" s="41">
        <f t="shared" si="4"/>
        <v>0</v>
      </c>
      <c r="I91" s="10">
        <f t="shared" si="4"/>
        <v>0</v>
      </c>
      <c r="J91" s="10">
        <f t="shared" si="5"/>
        <v>0</v>
      </c>
      <c r="K91" s="113">
        <f t="shared" si="6"/>
        <v>37923.541247484907</v>
      </c>
    </row>
    <row r="92" spans="1:11" x14ac:dyDescent="0.25">
      <c r="A92" s="49">
        <f>'A) Base RI'!A90</f>
        <v>5535</v>
      </c>
      <c r="B92" s="288" t="str">
        <f>'A) Base RI'!B90</f>
        <v>Saint-Barthélemy</v>
      </c>
      <c r="C92" s="10">
        <f>'A) Base RI'!V90</f>
        <v>809</v>
      </c>
      <c r="D92" s="10">
        <f t="shared" si="4"/>
        <v>809</v>
      </c>
      <c r="E92" s="411">
        <f t="shared" si="4"/>
        <v>0</v>
      </c>
      <c r="F92" s="10">
        <f t="shared" si="4"/>
        <v>0</v>
      </c>
      <c r="G92" s="411">
        <f t="shared" si="4"/>
        <v>0</v>
      </c>
      <c r="H92" s="41">
        <f t="shared" si="4"/>
        <v>0</v>
      </c>
      <c r="I92" s="10">
        <f t="shared" si="4"/>
        <v>0</v>
      </c>
      <c r="J92" s="10">
        <f t="shared" si="5"/>
        <v>0</v>
      </c>
      <c r="K92" s="113">
        <f t="shared" si="6"/>
        <v>100921.52917505029</v>
      </c>
    </row>
    <row r="93" spans="1:11" x14ac:dyDescent="0.25">
      <c r="A93" s="49">
        <f>'A) Base RI'!A91</f>
        <v>5537</v>
      </c>
      <c r="B93" s="288" t="str">
        <f>'A) Base RI'!B91</f>
        <v>Villars-le-Terroir</v>
      </c>
      <c r="C93" s="10">
        <f>'A) Base RI'!V91</f>
        <v>1316</v>
      </c>
      <c r="D93" s="10">
        <f t="shared" si="4"/>
        <v>1000</v>
      </c>
      <c r="E93" s="411">
        <f t="shared" si="4"/>
        <v>316</v>
      </c>
      <c r="F93" s="10">
        <f t="shared" si="4"/>
        <v>0</v>
      </c>
      <c r="G93" s="411">
        <f t="shared" si="4"/>
        <v>0</v>
      </c>
      <c r="H93" s="41">
        <f t="shared" si="4"/>
        <v>0</v>
      </c>
      <c r="I93" s="10">
        <f t="shared" si="4"/>
        <v>0</v>
      </c>
      <c r="J93" s="10">
        <f t="shared" si="5"/>
        <v>0</v>
      </c>
      <c r="K93" s="113">
        <f t="shared" si="6"/>
        <v>235125.95573440642</v>
      </c>
    </row>
    <row r="94" spans="1:11" x14ac:dyDescent="0.25">
      <c r="A94" s="49">
        <f>'A) Base RI'!A92</f>
        <v>5539</v>
      </c>
      <c r="B94" s="288" t="str">
        <f>'A) Base RI'!B92</f>
        <v>Vuarrens</v>
      </c>
      <c r="C94" s="10">
        <f>'A) Base RI'!V92</f>
        <v>1097</v>
      </c>
      <c r="D94" s="10">
        <f t="shared" si="4"/>
        <v>1000</v>
      </c>
      <c r="E94" s="411">
        <f t="shared" si="4"/>
        <v>97</v>
      </c>
      <c r="F94" s="10">
        <f t="shared" si="4"/>
        <v>0</v>
      </c>
      <c r="G94" s="411">
        <f t="shared" si="4"/>
        <v>0</v>
      </c>
      <c r="H94" s="41">
        <f t="shared" si="4"/>
        <v>0</v>
      </c>
      <c r="I94" s="10">
        <f t="shared" si="4"/>
        <v>0</v>
      </c>
      <c r="J94" s="10">
        <f t="shared" si="5"/>
        <v>0</v>
      </c>
      <c r="K94" s="113">
        <f t="shared" si="6"/>
        <v>158630.18108651909</v>
      </c>
    </row>
    <row r="95" spans="1:11" x14ac:dyDescent="0.25">
      <c r="A95" s="49">
        <f>'A) Base RI'!A93</f>
        <v>5540</v>
      </c>
      <c r="B95" s="288" t="str">
        <f>'A) Base RI'!B93</f>
        <v>Montilliez</v>
      </c>
      <c r="C95" s="10">
        <f>'A) Base RI'!V93</f>
        <v>1883</v>
      </c>
      <c r="D95" s="10">
        <f t="shared" si="4"/>
        <v>1000</v>
      </c>
      <c r="E95" s="411">
        <f t="shared" si="4"/>
        <v>883</v>
      </c>
      <c r="F95" s="10">
        <f t="shared" si="4"/>
        <v>0</v>
      </c>
      <c r="G95" s="411">
        <f t="shared" si="4"/>
        <v>0</v>
      </c>
      <c r="H95" s="41">
        <f t="shared" si="4"/>
        <v>0</v>
      </c>
      <c r="I95" s="10">
        <f t="shared" si="4"/>
        <v>0</v>
      </c>
      <c r="J95" s="10">
        <f t="shared" si="5"/>
        <v>0</v>
      </c>
      <c r="K95" s="113">
        <f t="shared" si="6"/>
        <v>433176.65995975852</v>
      </c>
    </row>
    <row r="96" spans="1:11" x14ac:dyDescent="0.25">
      <c r="A96" s="49">
        <f>'A) Base RI'!A94</f>
        <v>5541</v>
      </c>
      <c r="B96" s="288" t="str">
        <f>'A) Base RI'!B94</f>
        <v>Goumoëns</v>
      </c>
      <c r="C96" s="10">
        <f>'A) Base RI'!V94</f>
        <v>1166</v>
      </c>
      <c r="D96" s="10">
        <f t="shared" si="4"/>
        <v>1000</v>
      </c>
      <c r="E96" s="411">
        <f t="shared" si="4"/>
        <v>166</v>
      </c>
      <c r="F96" s="10">
        <f t="shared" si="4"/>
        <v>0</v>
      </c>
      <c r="G96" s="411">
        <f t="shared" si="4"/>
        <v>0</v>
      </c>
      <c r="H96" s="41">
        <f t="shared" si="4"/>
        <v>0</v>
      </c>
      <c r="I96" s="10">
        <f t="shared" si="4"/>
        <v>0</v>
      </c>
      <c r="J96" s="10">
        <f t="shared" si="5"/>
        <v>0</v>
      </c>
      <c r="K96" s="113">
        <f t="shared" si="6"/>
        <v>182731.58953722334</v>
      </c>
    </row>
    <row r="97" spans="1:11" x14ac:dyDescent="0.25">
      <c r="A97" s="49">
        <f>'A) Base RI'!A95</f>
        <v>5551</v>
      </c>
      <c r="B97" s="288" t="str">
        <f>'A) Base RI'!B95</f>
        <v>Bonvillars</v>
      </c>
      <c r="C97" s="10">
        <f>'A) Base RI'!V95</f>
        <v>481</v>
      </c>
      <c r="D97" s="10">
        <f t="shared" si="4"/>
        <v>481</v>
      </c>
      <c r="E97" s="411">
        <f t="shared" si="4"/>
        <v>0</v>
      </c>
      <c r="F97" s="10">
        <f t="shared" si="4"/>
        <v>0</v>
      </c>
      <c r="G97" s="411">
        <f t="shared" si="4"/>
        <v>0</v>
      </c>
      <c r="H97" s="41">
        <f t="shared" si="4"/>
        <v>0</v>
      </c>
      <c r="I97" s="10">
        <f t="shared" si="4"/>
        <v>0</v>
      </c>
      <c r="J97" s="10">
        <f t="shared" si="5"/>
        <v>0</v>
      </c>
      <c r="K97" s="113">
        <f t="shared" si="6"/>
        <v>60004.02414486921</v>
      </c>
    </row>
    <row r="98" spans="1:11" x14ac:dyDescent="0.25">
      <c r="A98" s="49">
        <f>'A) Base RI'!A96</f>
        <v>5552</v>
      </c>
      <c r="B98" s="288" t="str">
        <f>'A) Base RI'!B96</f>
        <v>Bullet</v>
      </c>
      <c r="C98" s="10">
        <f>'A) Base RI'!V96</f>
        <v>657</v>
      </c>
      <c r="D98" s="10">
        <f t="shared" si="4"/>
        <v>657</v>
      </c>
      <c r="E98" s="411">
        <f t="shared" si="4"/>
        <v>0</v>
      </c>
      <c r="F98" s="10">
        <f t="shared" si="4"/>
        <v>0</v>
      </c>
      <c r="G98" s="411">
        <f t="shared" si="4"/>
        <v>0</v>
      </c>
      <c r="H98" s="41">
        <f t="shared" si="4"/>
        <v>0</v>
      </c>
      <c r="I98" s="10">
        <f t="shared" si="4"/>
        <v>0</v>
      </c>
      <c r="J98" s="10">
        <f t="shared" si="5"/>
        <v>0</v>
      </c>
      <c r="K98" s="113">
        <f t="shared" si="6"/>
        <v>81959.758551307837</v>
      </c>
    </row>
    <row r="99" spans="1:11" x14ac:dyDescent="0.25">
      <c r="A99" s="49">
        <f>'A) Base RI'!A97</f>
        <v>5553</v>
      </c>
      <c r="B99" s="288" t="str">
        <f>'A) Base RI'!B97</f>
        <v>Champagne</v>
      </c>
      <c r="C99" s="10">
        <f>'A) Base RI'!V97</f>
        <v>1085</v>
      </c>
      <c r="D99" s="10">
        <f t="shared" si="4"/>
        <v>1000</v>
      </c>
      <c r="E99" s="411">
        <f t="shared" si="4"/>
        <v>85</v>
      </c>
      <c r="F99" s="10">
        <f t="shared" si="4"/>
        <v>0</v>
      </c>
      <c r="G99" s="411">
        <f t="shared" si="4"/>
        <v>0</v>
      </c>
      <c r="H99" s="41">
        <f t="shared" si="4"/>
        <v>0</v>
      </c>
      <c r="I99" s="10">
        <f t="shared" si="4"/>
        <v>0</v>
      </c>
      <c r="J99" s="10">
        <f t="shared" si="5"/>
        <v>0</v>
      </c>
      <c r="K99" s="113">
        <f t="shared" si="6"/>
        <v>154438.63179074446</v>
      </c>
    </row>
    <row r="100" spans="1:11" x14ac:dyDescent="0.25">
      <c r="A100" s="49">
        <f>'A) Base RI'!A98</f>
        <v>5554</v>
      </c>
      <c r="B100" s="288" t="str">
        <f>'A) Base RI'!B98</f>
        <v>Concise</v>
      </c>
      <c r="C100" s="10">
        <f>'A) Base RI'!V98</f>
        <v>1004</v>
      </c>
      <c r="D100" s="10">
        <f t="shared" si="4"/>
        <v>1000</v>
      </c>
      <c r="E100" s="411">
        <f t="shared" si="4"/>
        <v>4</v>
      </c>
      <c r="F100" s="10">
        <f t="shared" si="4"/>
        <v>0</v>
      </c>
      <c r="G100" s="411">
        <f t="shared" si="4"/>
        <v>0</v>
      </c>
      <c r="H100" s="41">
        <f t="shared" si="4"/>
        <v>0</v>
      </c>
      <c r="I100" s="10">
        <f t="shared" si="4"/>
        <v>0</v>
      </c>
      <c r="J100" s="10">
        <f t="shared" si="5"/>
        <v>0</v>
      </c>
      <c r="K100" s="113">
        <f t="shared" si="6"/>
        <v>126145.67404426559</v>
      </c>
    </row>
    <row r="101" spans="1:11" x14ac:dyDescent="0.25">
      <c r="A101" s="49">
        <f>'A) Base RI'!A99</f>
        <v>5555</v>
      </c>
      <c r="B101" s="288" t="str">
        <f>'A) Base RI'!B99</f>
        <v>Corcelles-près-Concise</v>
      </c>
      <c r="C101" s="10">
        <f>'A) Base RI'!V99</f>
        <v>417</v>
      </c>
      <c r="D101" s="10">
        <f t="shared" si="4"/>
        <v>417</v>
      </c>
      <c r="E101" s="411">
        <f t="shared" si="4"/>
        <v>0</v>
      </c>
      <c r="F101" s="10">
        <f t="shared" si="4"/>
        <v>0</v>
      </c>
      <c r="G101" s="411">
        <f t="shared" si="4"/>
        <v>0</v>
      </c>
      <c r="H101" s="41">
        <f t="shared" si="4"/>
        <v>0</v>
      </c>
      <c r="I101" s="10">
        <f t="shared" si="4"/>
        <v>0</v>
      </c>
      <c r="J101" s="10">
        <f t="shared" si="5"/>
        <v>0</v>
      </c>
      <c r="K101" s="113">
        <f t="shared" si="6"/>
        <v>52020.120724346074</v>
      </c>
    </row>
    <row r="102" spans="1:11" x14ac:dyDescent="0.25">
      <c r="A102" s="49">
        <f>'A) Base RI'!A100</f>
        <v>5556</v>
      </c>
      <c r="B102" s="288" t="str">
        <f>'A) Base RI'!B100</f>
        <v>Fiez</v>
      </c>
      <c r="C102" s="10">
        <f>'A) Base RI'!V100</f>
        <v>442</v>
      </c>
      <c r="D102" s="10">
        <f t="shared" si="4"/>
        <v>442</v>
      </c>
      <c r="E102" s="411">
        <f t="shared" si="4"/>
        <v>0</v>
      </c>
      <c r="F102" s="10">
        <f t="shared" si="4"/>
        <v>0</v>
      </c>
      <c r="G102" s="411">
        <f t="shared" si="4"/>
        <v>0</v>
      </c>
      <c r="H102" s="41">
        <f t="shared" si="4"/>
        <v>0</v>
      </c>
      <c r="I102" s="10">
        <f t="shared" si="4"/>
        <v>0</v>
      </c>
      <c r="J102" s="10">
        <f t="shared" si="5"/>
        <v>0</v>
      </c>
      <c r="K102" s="113">
        <f t="shared" si="6"/>
        <v>55138.832997987927</v>
      </c>
    </row>
    <row r="103" spans="1:11" x14ac:dyDescent="0.25">
      <c r="A103" s="49">
        <f>'A) Base RI'!A101</f>
        <v>5557</v>
      </c>
      <c r="B103" s="288" t="str">
        <f>'A) Base RI'!B101</f>
        <v>Fontaines-sur-Grandson</v>
      </c>
      <c r="C103" s="10">
        <f>'A) Base RI'!V101</f>
        <v>220</v>
      </c>
      <c r="D103" s="10">
        <f t="shared" si="4"/>
        <v>220</v>
      </c>
      <c r="E103" s="411">
        <f t="shared" si="4"/>
        <v>0</v>
      </c>
      <c r="F103" s="10">
        <f t="shared" si="4"/>
        <v>0</v>
      </c>
      <c r="G103" s="411">
        <f t="shared" si="4"/>
        <v>0</v>
      </c>
      <c r="H103" s="41">
        <f t="shared" si="4"/>
        <v>0</v>
      </c>
      <c r="I103" s="10">
        <f t="shared" si="4"/>
        <v>0</v>
      </c>
      <c r="J103" s="10">
        <f t="shared" si="5"/>
        <v>0</v>
      </c>
      <c r="K103" s="113">
        <f t="shared" si="6"/>
        <v>27444.668008048287</v>
      </c>
    </row>
    <row r="104" spans="1:11" x14ac:dyDescent="0.25">
      <c r="A104" s="49">
        <f>'A) Base RI'!A102</f>
        <v>5559</v>
      </c>
      <c r="B104" s="288" t="str">
        <f>'A) Base RI'!B102</f>
        <v>Giez</v>
      </c>
      <c r="C104" s="10">
        <f>'A) Base RI'!V102</f>
        <v>443</v>
      </c>
      <c r="D104" s="10">
        <f t="shared" si="4"/>
        <v>443</v>
      </c>
      <c r="E104" s="411">
        <f t="shared" si="4"/>
        <v>0</v>
      </c>
      <c r="F104" s="10">
        <f t="shared" si="4"/>
        <v>0</v>
      </c>
      <c r="G104" s="411">
        <f t="shared" si="4"/>
        <v>0</v>
      </c>
      <c r="H104" s="41">
        <f t="shared" si="4"/>
        <v>0</v>
      </c>
      <c r="I104" s="10">
        <f t="shared" si="4"/>
        <v>0</v>
      </c>
      <c r="J104" s="10">
        <f t="shared" si="5"/>
        <v>0</v>
      </c>
      <c r="K104" s="113">
        <f t="shared" si="6"/>
        <v>55263.581488933596</v>
      </c>
    </row>
    <row r="105" spans="1:11" x14ac:dyDescent="0.25">
      <c r="A105" s="49">
        <f>'A) Base RI'!A103</f>
        <v>5560</v>
      </c>
      <c r="B105" s="288" t="str">
        <f>'A) Base RI'!B103</f>
        <v>Grandevent</v>
      </c>
      <c r="C105" s="10">
        <f>'A) Base RI'!V103</f>
        <v>238</v>
      </c>
      <c r="D105" s="10">
        <f t="shared" si="4"/>
        <v>238</v>
      </c>
      <c r="E105" s="411">
        <f t="shared" si="4"/>
        <v>0</v>
      </c>
      <c r="F105" s="10">
        <f t="shared" si="4"/>
        <v>0</v>
      </c>
      <c r="G105" s="411">
        <f t="shared" si="4"/>
        <v>0</v>
      </c>
      <c r="H105" s="41">
        <f t="shared" si="4"/>
        <v>0</v>
      </c>
      <c r="I105" s="10">
        <f t="shared" si="4"/>
        <v>0</v>
      </c>
      <c r="J105" s="10">
        <f t="shared" si="5"/>
        <v>0</v>
      </c>
      <c r="K105" s="113">
        <f t="shared" si="6"/>
        <v>29690.140845070422</v>
      </c>
    </row>
    <row r="106" spans="1:11" x14ac:dyDescent="0.25">
      <c r="A106" s="49">
        <f>'A) Base RI'!A104</f>
        <v>5561</v>
      </c>
      <c r="B106" s="288" t="str">
        <f>'A) Base RI'!B104</f>
        <v>Grandson</v>
      </c>
      <c r="C106" s="10">
        <f>'A) Base RI'!V104</f>
        <v>3366</v>
      </c>
      <c r="D106" s="10">
        <f t="shared" si="4"/>
        <v>1000</v>
      </c>
      <c r="E106" s="411">
        <f t="shared" si="4"/>
        <v>2000</v>
      </c>
      <c r="F106" s="10">
        <f t="shared" si="4"/>
        <v>366</v>
      </c>
      <c r="G106" s="411">
        <f t="shared" ref="E106:I157" si="7">IF($C106&gt;G$5,IF($C106&lt;G$6,$C106-G$5,G$6-G$5),0)</f>
        <v>0</v>
      </c>
      <c r="H106" s="41">
        <f t="shared" si="7"/>
        <v>0</v>
      </c>
      <c r="I106" s="10">
        <f t="shared" si="7"/>
        <v>0</v>
      </c>
      <c r="J106" s="10">
        <f t="shared" si="5"/>
        <v>0</v>
      </c>
      <c r="K106" s="113">
        <f t="shared" si="6"/>
        <v>1005971.8309859154</v>
      </c>
    </row>
    <row r="107" spans="1:11" x14ac:dyDescent="0.25">
      <c r="A107" s="49">
        <f>'A) Base RI'!A105</f>
        <v>5562</v>
      </c>
      <c r="B107" s="288" t="str">
        <f>'A) Base RI'!B105</f>
        <v>Mauborget</v>
      </c>
      <c r="C107" s="10">
        <f>'A) Base RI'!V105</f>
        <v>137</v>
      </c>
      <c r="D107" s="10">
        <f t="shared" ref="D107:D170" si="8">IF($C107&gt;D$5,IF($C107&lt;D$6,$C107-D$5,D$6-D$5),0)</f>
        <v>137</v>
      </c>
      <c r="E107" s="411">
        <f t="shared" si="7"/>
        <v>0</v>
      </c>
      <c r="F107" s="10">
        <f t="shared" si="7"/>
        <v>0</v>
      </c>
      <c r="G107" s="411">
        <f t="shared" si="7"/>
        <v>0</v>
      </c>
      <c r="H107" s="41">
        <f t="shared" si="7"/>
        <v>0</v>
      </c>
      <c r="I107" s="10">
        <f t="shared" si="7"/>
        <v>0</v>
      </c>
      <c r="J107" s="10">
        <f t="shared" si="5"/>
        <v>0</v>
      </c>
      <c r="K107" s="113">
        <f t="shared" si="6"/>
        <v>17090.543259557344</v>
      </c>
    </row>
    <row r="108" spans="1:11" x14ac:dyDescent="0.25">
      <c r="A108" s="49">
        <f>'A) Base RI'!A106</f>
        <v>5563</v>
      </c>
      <c r="B108" s="288" t="str">
        <f>'A) Base RI'!B106</f>
        <v>Mutrux</v>
      </c>
      <c r="C108" s="10">
        <f>'A) Base RI'!V106</f>
        <v>151</v>
      </c>
      <c r="D108" s="10">
        <f t="shared" si="8"/>
        <v>151</v>
      </c>
      <c r="E108" s="411">
        <f t="shared" si="7"/>
        <v>0</v>
      </c>
      <c r="F108" s="10">
        <f t="shared" si="7"/>
        <v>0</v>
      </c>
      <c r="G108" s="411">
        <f t="shared" si="7"/>
        <v>0</v>
      </c>
      <c r="H108" s="41">
        <f t="shared" si="7"/>
        <v>0</v>
      </c>
      <c r="I108" s="10">
        <f t="shared" si="7"/>
        <v>0</v>
      </c>
      <c r="J108" s="10">
        <f t="shared" si="5"/>
        <v>0</v>
      </c>
      <c r="K108" s="113">
        <f t="shared" si="6"/>
        <v>18837.022132796781</v>
      </c>
    </row>
    <row r="109" spans="1:11" x14ac:dyDescent="0.25">
      <c r="A109" s="49">
        <f>'A) Base RI'!A107</f>
        <v>5564</v>
      </c>
      <c r="B109" s="288" t="str">
        <f>'A) Base RI'!B107</f>
        <v>Novalles</v>
      </c>
      <c r="C109" s="10">
        <f>'A) Base RI'!V107</f>
        <v>103</v>
      </c>
      <c r="D109" s="10">
        <f t="shared" si="8"/>
        <v>103</v>
      </c>
      <c r="E109" s="411">
        <f t="shared" si="7"/>
        <v>0</v>
      </c>
      <c r="F109" s="10">
        <f t="shared" si="7"/>
        <v>0</v>
      </c>
      <c r="G109" s="411">
        <f t="shared" si="7"/>
        <v>0</v>
      </c>
      <c r="H109" s="41">
        <f t="shared" si="7"/>
        <v>0</v>
      </c>
      <c r="I109" s="10">
        <f t="shared" si="7"/>
        <v>0</v>
      </c>
      <c r="J109" s="10">
        <f t="shared" si="5"/>
        <v>0</v>
      </c>
      <c r="K109" s="113">
        <f t="shared" si="6"/>
        <v>12849.094567404425</v>
      </c>
    </row>
    <row r="110" spans="1:11" x14ac:dyDescent="0.25">
      <c r="A110" s="49">
        <f>'A) Base RI'!A108</f>
        <v>5565</v>
      </c>
      <c r="B110" s="288" t="str">
        <f>'A) Base RI'!B108</f>
        <v>Onnens</v>
      </c>
      <c r="C110" s="10">
        <f>'A) Base RI'!V108</f>
        <v>495</v>
      </c>
      <c r="D110" s="10">
        <f t="shared" si="8"/>
        <v>495</v>
      </c>
      <c r="E110" s="411">
        <f t="shared" si="7"/>
        <v>0</v>
      </c>
      <c r="F110" s="10">
        <f t="shared" si="7"/>
        <v>0</v>
      </c>
      <c r="G110" s="411">
        <f t="shared" si="7"/>
        <v>0</v>
      </c>
      <c r="H110" s="41">
        <f t="shared" si="7"/>
        <v>0</v>
      </c>
      <c r="I110" s="10">
        <f t="shared" si="7"/>
        <v>0</v>
      </c>
      <c r="J110" s="10">
        <f t="shared" si="5"/>
        <v>0</v>
      </c>
      <c r="K110" s="113">
        <f t="shared" si="6"/>
        <v>61750.503018108648</v>
      </c>
    </row>
    <row r="111" spans="1:11" x14ac:dyDescent="0.25">
      <c r="A111" s="49">
        <f>'A) Base RI'!A109</f>
        <v>5566</v>
      </c>
      <c r="B111" s="288" t="str">
        <f>'A) Base RI'!B109</f>
        <v>Provence</v>
      </c>
      <c r="C111" s="10">
        <f>'A) Base RI'!V109</f>
        <v>403</v>
      </c>
      <c r="D111" s="10">
        <f t="shared" si="8"/>
        <v>403</v>
      </c>
      <c r="E111" s="411">
        <f t="shared" si="7"/>
        <v>0</v>
      </c>
      <c r="F111" s="10">
        <f t="shared" si="7"/>
        <v>0</v>
      </c>
      <c r="G111" s="411">
        <f t="shared" si="7"/>
        <v>0</v>
      </c>
      <c r="H111" s="41">
        <f t="shared" si="7"/>
        <v>0</v>
      </c>
      <c r="I111" s="10">
        <f t="shared" si="7"/>
        <v>0</v>
      </c>
      <c r="J111" s="10">
        <f t="shared" si="5"/>
        <v>0</v>
      </c>
      <c r="K111" s="113">
        <f t="shared" si="6"/>
        <v>50273.641851106637</v>
      </c>
    </row>
    <row r="112" spans="1:11" x14ac:dyDescent="0.25">
      <c r="A112" s="49">
        <f>'A) Base RI'!A110</f>
        <v>5568</v>
      </c>
      <c r="B112" s="288" t="str">
        <f>'A) Base RI'!B110</f>
        <v>Sainte-Croix</v>
      </c>
      <c r="C112" s="10">
        <f>'A) Base RI'!V110</f>
        <v>4948</v>
      </c>
      <c r="D112" s="10">
        <f t="shared" si="8"/>
        <v>1000</v>
      </c>
      <c r="E112" s="411">
        <f t="shared" si="7"/>
        <v>2000</v>
      </c>
      <c r="F112" s="10">
        <f t="shared" si="7"/>
        <v>1948</v>
      </c>
      <c r="G112" s="411">
        <f t="shared" si="7"/>
        <v>0</v>
      </c>
      <c r="H112" s="41">
        <f t="shared" si="7"/>
        <v>0</v>
      </c>
      <c r="I112" s="10">
        <f t="shared" si="7"/>
        <v>0</v>
      </c>
      <c r="J112" s="10">
        <f t="shared" si="5"/>
        <v>0</v>
      </c>
      <c r="K112" s="113">
        <f t="shared" si="6"/>
        <v>1795380.2816901407</v>
      </c>
    </row>
    <row r="113" spans="1:11" x14ac:dyDescent="0.25">
      <c r="A113" s="49">
        <f>'A) Base RI'!A111</f>
        <v>5571</v>
      </c>
      <c r="B113" s="288" t="str">
        <f>'A) Base RI'!B111</f>
        <v>Tévenon</v>
      </c>
      <c r="C113" s="10">
        <f>'A) Base RI'!V111</f>
        <v>883</v>
      </c>
      <c r="D113" s="10">
        <f t="shared" si="8"/>
        <v>883</v>
      </c>
      <c r="E113" s="411">
        <f t="shared" si="7"/>
        <v>0</v>
      </c>
      <c r="F113" s="10">
        <f t="shared" si="7"/>
        <v>0</v>
      </c>
      <c r="G113" s="411">
        <f t="shared" si="7"/>
        <v>0</v>
      </c>
      <c r="H113" s="41">
        <f t="shared" si="7"/>
        <v>0</v>
      </c>
      <c r="I113" s="10">
        <f t="shared" si="7"/>
        <v>0</v>
      </c>
      <c r="J113" s="10">
        <f t="shared" si="5"/>
        <v>0</v>
      </c>
      <c r="K113" s="113">
        <f t="shared" si="6"/>
        <v>110152.91750503017</v>
      </c>
    </row>
    <row r="114" spans="1:11" x14ac:dyDescent="0.25">
      <c r="A114" s="49">
        <f>'A) Base RI'!A112</f>
        <v>5581</v>
      </c>
      <c r="B114" s="288" t="str">
        <f>'A) Base RI'!B112</f>
        <v>Belmont-sur-Lausanne</v>
      </c>
      <c r="C114" s="10">
        <f>'A) Base RI'!V112</f>
        <v>3871</v>
      </c>
      <c r="D114" s="10">
        <f t="shared" si="8"/>
        <v>1000</v>
      </c>
      <c r="E114" s="411">
        <f t="shared" si="7"/>
        <v>2000</v>
      </c>
      <c r="F114" s="10">
        <f t="shared" si="7"/>
        <v>871</v>
      </c>
      <c r="G114" s="411">
        <f t="shared" si="7"/>
        <v>0</v>
      </c>
      <c r="H114" s="41">
        <f t="shared" si="7"/>
        <v>0</v>
      </c>
      <c r="I114" s="10">
        <f t="shared" si="7"/>
        <v>0</v>
      </c>
      <c r="J114" s="10">
        <f t="shared" si="5"/>
        <v>0</v>
      </c>
      <c r="K114" s="113">
        <f t="shared" si="6"/>
        <v>1257963.7826961768</v>
      </c>
    </row>
    <row r="115" spans="1:11" x14ac:dyDescent="0.25">
      <c r="A115" s="49">
        <f>'A) Base RI'!A113</f>
        <v>5582</v>
      </c>
      <c r="B115" s="288" t="str">
        <f>'A) Base RI'!B113</f>
        <v>Cheseaux-sur-Lausanne</v>
      </c>
      <c r="C115" s="10">
        <f>'A) Base RI'!V113</f>
        <v>4449</v>
      </c>
      <c r="D115" s="10">
        <f t="shared" si="8"/>
        <v>1000</v>
      </c>
      <c r="E115" s="411">
        <f t="shared" si="7"/>
        <v>2000</v>
      </c>
      <c r="F115" s="10">
        <f t="shared" si="7"/>
        <v>1449</v>
      </c>
      <c r="G115" s="411">
        <f t="shared" si="7"/>
        <v>0</v>
      </c>
      <c r="H115" s="41">
        <f t="shared" si="7"/>
        <v>0</v>
      </c>
      <c r="I115" s="10">
        <f t="shared" si="7"/>
        <v>0</v>
      </c>
      <c r="J115" s="10">
        <f t="shared" si="5"/>
        <v>0</v>
      </c>
      <c r="K115" s="113">
        <f t="shared" si="6"/>
        <v>1546382.2937625754</v>
      </c>
    </row>
    <row r="116" spans="1:11" x14ac:dyDescent="0.25">
      <c r="A116" s="49">
        <f>'A) Base RI'!A114</f>
        <v>5583</v>
      </c>
      <c r="B116" s="288" t="str">
        <f>'A) Base RI'!B114</f>
        <v>Crissier</v>
      </c>
      <c r="C116" s="10">
        <f>'A) Base RI'!V114</f>
        <v>8974</v>
      </c>
      <c r="D116" s="10">
        <f t="shared" si="8"/>
        <v>1000</v>
      </c>
      <c r="E116" s="411">
        <f t="shared" si="7"/>
        <v>2000</v>
      </c>
      <c r="F116" s="10">
        <f t="shared" si="7"/>
        <v>2000</v>
      </c>
      <c r="G116" s="411">
        <f t="shared" si="7"/>
        <v>3974</v>
      </c>
      <c r="H116" s="41">
        <f t="shared" si="7"/>
        <v>0</v>
      </c>
      <c r="I116" s="10">
        <f t="shared" si="7"/>
        <v>0</v>
      </c>
      <c r="J116" s="10">
        <f t="shared" si="5"/>
        <v>0</v>
      </c>
      <c r="K116" s="113">
        <f t="shared" si="6"/>
        <v>4200930.3822937626</v>
      </c>
    </row>
    <row r="117" spans="1:11" x14ac:dyDescent="0.25">
      <c r="A117" s="49">
        <f>'A) Base RI'!A115</f>
        <v>5584</v>
      </c>
      <c r="B117" s="288" t="str">
        <f>'A) Base RI'!B115</f>
        <v>Epalinges</v>
      </c>
      <c r="C117" s="10">
        <f>'A) Base RI'!V115</f>
        <v>9813</v>
      </c>
      <c r="D117" s="10">
        <f t="shared" si="8"/>
        <v>1000</v>
      </c>
      <c r="E117" s="411">
        <f t="shared" si="7"/>
        <v>2000</v>
      </c>
      <c r="F117" s="10">
        <f t="shared" si="7"/>
        <v>2000</v>
      </c>
      <c r="G117" s="411">
        <f t="shared" si="7"/>
        <v>4000</v>
      </c>
      <c r="H117" s="41">
        <f t="shared" si="7"/>
        <v>813</v>
      </c>
      <c r="I117" s="10">
        <f t="shared" si="7"/>
        <v>0</v>
      </c>
      <c r="J117" s="10">
        <f t="shared" si="5"/>
        <v>0</v>
      </c>
      <c r="K117" s="113">
        <f t="shared" si="6"/>
        <v>4906158.5513078459</v>
      </c>
    </row>
    <row r="118" spans="1:11" x14ac:dyDescent="0.25">
      <c r="A118" s="49">
        <f>'A) Base RI'!A116</f>
        <v>5585</v>
      </c>
      <c r="B118" s="288" t="str">
        <f>'A) Base RI'!B116</f>
        <v>Jouxtens-Mézery</v>
      </c>
      <c r="C118" s="10">
        <f>'A) Base RI'!V116</f>
        <v>1460</v>
      </c>
      <c r="D118" s="10">
        <f t="shared" si="8"/>
        <v>1000</v>
      </c>
      <c r="E118" s="411">
        <f t="shared" si="7"/>
        <v>460</v>
      </c>
      <c r="F118" s="10">
        <f t="shared" si="7"/>
        <v>0</v>
      </c>
      <c r="G118" s="411">
        <f t="shared" si="7"/>
        <v>0</v>
      </c>
      <c r="H118" s="41">
        <f t="shared" si="7"/>
        <v>0</v>
      </c>
      <c r="I118" s="10">
        <f t="shared" si="7"/>
        <v>0</v>
      </c>
      <c r="J118" s="10">
        <f t="shared" si="5"/>
        <v>0</v>
      </c>
      <c r="K118" s="113">
        <f t="shared" si="6"/>
        <v>285424.54728370218</v>
      </c>
    </row>
    <row r="119" spans="1:11" x14ac:dyDescent="0.25">
      <c r="A119" s="49">
        <f>'A) Base RI'!A117</f>
        <v>5586</v>
      </c>
      <c r="B119" s="288" t="str">
        <f>'A) Base RI'!B117</f>
        <v>Lausanne</v>
      </c>
      <c r="C119" s="10">
        <f>'A) Base RI'!V117</f>
        <v>140824</v>
      </c>
      <c r="D119" s="10">
        <f t="shared" si="8"/>
        <v>1000</v>
      </c>
      <c r="E119" s="411">
        <f t="shared" si="7"/>
        <v>2000</v>
      </c>
      <c r="F119" s="10">
        <f t="shared" si="7"/>
        <v>2000</v>
      </c>
      <c r="G119" s="411">
        <f t="shared" si="7"/>
        <v>4000</v>
      </c>
      <c r="H119" s="41">
        <f t="shared" si="7"/>
        <v>3000</v>
      </c>
      <c r="I119" s="10">
        <f t="shared" si="7"/>
        <v>3000</v>
      </c>
      <c r="J119" s="10">
        <f t="shared" si="5"/>
        <v>125824</v>
      </c>
      <c r="K119" s="113">
        <f t="shared" si="6"/>
        <v>141604706.63983902</v>
      </c>
    </row>
    <row r="120" spans="1:11" x14ac:dyDescent="0.25">
      <c r="A120" s="49">
        <f>'A) Base RI'!A118</f>
        <v>5587</v>
      </c>
      <c r="B120" s="288" t="str">
        <f>'A) Base RI'!B118</f>
        <v>Le Mont-sur-Lausanne</v>
      </c>
      <c r="C120" s="10">
        <f>'A) Base RI'!V118</f>
        <v>9217</v>
      </c>
      <c r="D120" s="10">
        <f t="shared" si="8"/>
        <v>1000</v>
      </c>
      <c r="E120" s="411">
        <f t="shared" si="7"/>
        <v>2000</v>
      </c>
      <c r="F120" s="10">
        <f t="shared" si="7"/>
        <v>2000</v>
      </c>
      <c r="G120" s="411">
        <f t="shared" si="7"/>
        <v>4000</v>
      </c>
      <c r="H120" s="41">
        <f t="shared" si="7"/>
        <v>217</v>
      </c>
      <c r="I120" s="10">
        <f t="shared" si="7"/>
        <v>0</v>
      </c>
      <c r="J120" s="10">
        <f t="shared" si="5"/>
        <v>0</v>
      </c>
      <c r="K120" s="113">
        <f t="shared" si="6"/>
        <v>4400577.8672032179</v>
      </c>
    </row>
    <row r="121" spans="1:11" x14ac:dyDescent="0.25">
      <c r="A121" s="49">
        <f>'A) Base RI'!A119</f>
        <v>5588</v>
      </c>
      <c r="B121" s="288" t="str">
        <f>'A) Base RI'!B119</f>
        <v>Paudex</v>
      </c>
      <c r="C121" s="10">
        <f>'A) Base RI'!V119</f>
        <v>1545</v>
      </c>
      <c r="D121" s="10">
        <f t="shared" si="8"/>
        <v>1000</v>
      </c>
      <c r="E121" s="411">
        <f t="shared" si="7"/>
        <v>545</v>
      </c>
      <c r="F121" s="10">
        <f t="shared" si="7"/>
        <v>0</v>
      </c>
      <c r="G121" s="411">
        <f t="shared" si="7"/>
        <v>0</v>
      </c>
      <c r="H121" s="41">
        <f t="shared" si="7"/>
        <v>0</v>
      </c>
      <c r="I121" s="10">
        <f t="shared" si="7"/>
        <v>0</v>
      </c>
      <c r="J121" s="10">
        <f t="shared" si="5"/>
        <v>0</v>
      </c>
      <c r="K121" s="113">
        <f t="shared" si="6"/>
        <v>315114.68812877266</v>
      </c>
    </row>
    <row r="122" spans="1:11" x14ac:dyDescent="0.25">
      <c r="A122" s="49">
        <f>'A) Base RI'!A120</f>
        <v>5589</v>
      </c>
      <c r="B122" s="288" t="str">
        <f>'A) Base RI'!B120</f>
        <v>Prilly</v>
      </c>
      <c r="C122" s="10">
        <f>'A) Base RI'!V120</f>
        <v>12341</v>
      </c>
      <c r="D122" s="10">
        <f t="shared" si="8"/>
        <v>1000</v>
      </c>
      <c r="E122" s="411">
        <f t="shared" si="7"/>
        <v>2000</v>
      </c>
      <c r="F122" s="10">
        <f t="shared" si="7"/>
        <v>2000</v>
      </c>
      <c r="G122" s="411">
        <f t="shared" si="7"/>
        <v>4000</v>
      </c>
      <c r="H122" s="41">
        <f t="shared" si="7"/>
        <v>3000</v>
      </c>
      <c r="I122" s="10">
        <f t="shared" si="7"/>
        <v>341</v>
      </c>
      <c r="J122" s="10">
        <f t="shared" si="5"/>
        <v>0</v>
      </c>
      <c r="K122" s="113">
        <f t="shared" si="6"/>
        <v>7101682.0925553311</v>
      </c>
    </row>
    <row r="123" spans="1:11" x14ac:dyDescent="0.25">
      <c r="A123" s="49">
        <f>'A) Base RI'!A121</f>
        <v>5590</v>
      </c>
      <c r="B123" s="288" t="str">
        <f>'A) Base RI'!B121</f>
        <v>Pully</v>
      </c>
      <c r="C123" s="10">
        <f>'A) Base RI'!V121</f>
        <v>18946</v>
      </c>
      <c r="D123" s="10">
        <f t="shared" si="8"/>
        <v>1000</v>
      </c>
      <c r="E123" s="411">
        <f t="shared" si="7"/>
        <v>2000</v>
      </c>
      <c r="F123" s="10">
        <f t="shared" si="7"/>
        <v>2000</v>
      </c>
      <c r="G123" s="411">
        <f t="shared" si="7"/>
        <v>4000</v>
      </c>
      <c r="H123" s="41">
        <f t="shared" si="7"/>
        <v>3000</v>
      </c>
      <c r="I123" s="10">
        <f t="shared" si="7"/>
        <v>3000</v>
      </c>
      <c r="J123" s="10">
        <f t="shared" si="5"/>
        <v>3946</v>
      </c>
      <c r="K123" s="113">
        <f t="shared" si="6"/>
        <v>13890295.372233398</v>
      </c>
    </row>
    <row r="124" spans="1:11" x14ac:dyDescent="0.25">
      <c r="A124" s="49">
        <f>'A) Base RI'!A122</f>
        <v>5591</v>
      </c>
      <c r="B124" s="288" t="str">
        <f>'A) Base RI'!B122</f>
        <v>Renens</v>
      </c>
      <c r="C124" s="10">
        <f>'A) Base RI'!V122</f>
        <v>20917</v>
      </c>
      <c r="D124" s="10">
        <f t="shared" si="8"/>
        <v>1000</v>
      </c>
      <c r="E124" s="411">
        <f t="shared" si="7"/>
        <v>2000</v>
      </c>
      <c r="F124" s="10">
        <f t="shared" si="7"/>
        <v>2000</v>
      </c>
      <c r="G124" s="411">
        <f t="shared" si="7"/>
        <v>4000</v>
      </c>
      <c r="H124" s="41">
        <f t="shared" si="7"/>
        <v>3000</v>
      </c>
      <c r="I124" s="10">
        <f t="shared" si="7"/>
        <v>3000</v>
      </c>
      <c r="J124" s="10">
        <f t="shared" si="5"/>
        <v>5917</v>
      </c>
      <c r="K124" s="113">
        <f t="shared" si="6"/>
        <v>15955681.287726358</v>
      </c>
    </row>
    <row r="125" spans="1:11" x14ac:dyDescent="0.25">
      <c r="A125" s="49">
        <f>'A) Base RI'!A123</f>
        <v>5592</v>
      </c>
      <c r="B125" s="288" t="str">
        <f>'A) Base RI'!B123</f>
        <v>Romanel-sur-Lausanne</v>
      </c>
      <c r="C125" s="10">
        <f>'A) Base RI'!V123</f>
        <v>3482</v>
      </c>
      <c r="D125" s="10">
        <f t="shared" si="8"/>
        <v>1000</v>
      </c>
      <c r="E125" s="411">
        <f t="shared" si="7"/>
        <v>2000</v>
      </c>
      <c r="F125" s="10">
        <f t="shared" si="7"/>
        <v>482</v>
      </c>
      <c r="G125" s="411">
        <f t="shared" si="7"/>
        <v>0</v>
      </c>
      <c r="H125" s="41">
        <f t="shared" si="7"/>
        <v>0</v>
      </c>
      <c r="I125" s="10">
        <f t="shared" si="7"/>
        <v>0</v>
      </c>
      <c r="J125" s="10">
        <f t="shared" si="5"/>
        <v>0</v>
      </c>
      <c r="K125" s="113">
        <f t="shared" si="6"/>
        <v>1063855.1307847081</v>
      </c>
    </row>
    <row r="126" spans="1:11" x14ac:dyDescent="0.25">
      <c r="A126" s="49">
        <f>'A) Base RI'!A124</f>
        <v>5601</v>
      </c>
      <c r="B126" s="288" t="str">
        <f>'A) Base RI'!B124</f>
        <v>Chexbres</v>
      </c>
      <c r="C126" s="10">
        <f>'A) Base RI'!V124</f>
        <v>2229</v>
      </c>
      <c r="D126" s="10">
        <f t="shared" si="8"/>
        <v>1000</v>
      </c>
      <c r="E126" s="411">
        <f t="shared" si="7"/>
        <v>1229</v>
      </c>
      <c r="F126" s="10">
        <f t="shared" si="7"/>
        <v>0</v>
      </c>
      <c r="G126" s="411">
        <f t="shared" si="7"/>
        <v>0</v>
      </c>
      <c r="H126" s="41">
        <f t="shared" si="7"/>
        <v>0</v>
      </c>
      <c r="I126" s="10">
        <f t="shared" si="7"/>
        <v>0</v>
      </c>
      <c r="J126" s="10">
        <f t="shared" si="5"/>
        <v>0</v>
      </c>
      <c r="K126" s="113">
        <f t="shared" si="6"/>
        <v>554032.99798792752</v>
      </c>
    </row>
    <row r="127" spans="1:11" x14ac:dyDescent="0.25">
      <c r="A127" s="49">
        <f>'A) Base RI'!A125</f>
        <v>5604</v>
      </c>
      <c r="B127" s="288" t="str">
        <f>'A) Base RI'!B125</f>
        <v>Forel (Lavaux)</v>
      </c>
      <c r="C127" s="10">
        <f>'A) Base RI'!V125</f>
        <v>2110</v>
      </c>
      <c r="D127" s="10">
        <f t="shared" si="8"/>
        <v>1000</v>
      </c>
      <c r="E127" s="411">
        <f t="shared" si="7"/>
        <v>1110</v>
      </c>
      <c r="F127" s="10">
        <f t="shared" si="7"/>
        <v>0</v>
      </c>
      <c r="G127" s="411">
        <f t="shared" si="7"/>
        <v>0</v>
      </c>
      <c r="H127" s="41">
        <f t="shared" si="7"/>
        <v>0</v>
      </c>
      <c r="I127" s="10">
        <f t="shared" si="7"/>
        <v>0</v>
      </c>
      <c r="J127" s="10">
        <f t="shared" si="5"/>
        <v>0</v>
      </c>
      <c r="K127" s="113">
        <f t="shared" si="6"/>
        <v>512466.80080482899</v>
      </c>
    </row>
    <row r="128" spans="1:11" x14ac:dyDescent="0.25">
      <c r="A128" s="49">
        <f>'A) Base RI'!A126</f>
        <v>5606</v>
      </c>
      <c r="B128" s="288" t="str">
        <f>'A) Base RI'!B126</f>
        <v>Lutry</v>
      </c>
      <c r="C128" s="10">
        <f>'A) Base RI'!V126</f>
        <v>10704</v>
      </c>
      <c r="D128" s="10">
        <f t="shared" si="8"/>
        <v>1000</v>
      </c>
      <c r="E128" s="411">
        <f t="shared" si="7"/>
        <v>2000</v>
      </c>
      <c r="F128" s="10">
        <f t="shared" si="7"/>
        <v>2000</v>
      </c>
      <c r="G128" s="411">
        <f t="shared" si="7"/>
        <v>4000</v>
      </c>
      <c r="H128" s="41">
        <f t="shared" si="7"/>
        <v>1704</v>
      </c>
      <c r="I128" s="10">
        <f t="shared" si="7"/>
        <v>0</v>
      </c>
      <c r="J128" s="10">
        <f t="shared" si="5"/>
        <v>0</v>
      </c>
      <c r="K128" s="113">
        <f t="shared" si="6"/>
        <v>5661984.7082494963</v>
      </c>
    </row>
    <row r="129" spans="1:11" x14ac:dyDescent="0.25">
      <c r="A129" s="49">
        <f>'A) Base RI'!A127</f>
        <v>5607</v>
      </c>
      <c r="B129" s="288" t="str">
        <f>'A) Base RI'!B127</f>
        <v>Puidoux</v>
      </c>
      <c r="C129" s="10">
        <f>'A) Base RI'!V127</f>
        <v>2924</v>
      </c>
      <c r="D129" s="10">
        <f t="shared" si="8"/>
        <v>1000</v>
      </c>
      <c r="E129" s="411">
        <f t="shared" si="7"/>
        <v>1924</v>
      </c>
      <c r="F129" s="10">
        <f t="shared" si="7"/>
        <v>0</v>
      </c>
      <c r="G129" s="411">
        <f t="shared" si="7"/>
        <v>0</v>
      </c>
      <c r="H129" s="41">
        <f t="shared" si="7"/>
        <v>0</v>
      </c>
      <c r="I129" s="10">
        <f t="shared" si="7"/>
        <v>0</v>
      </c>
      <c r="J129" s="10">
        <f t="shared" si="5"/>
        <v>0</v>
      </c>
      <c r="K129" s="113">
        <f t="shared" si="6"/>
        <v>796793.56136820919</v>
      </c>
    </row>
    <row r="130" spans="1:11" x14ac:dyDescent="0.25">
      <c r="A130" s="49">
        <f>'A) Base RI'!A128</f>
        <v>5609</v>
      </c>
      <c r="B130" s="288" t="str">
        <f>'A) Base RI'!B128</f>
        <v>Rivaz</v>
      </c>
      <c r="C130" s="10">
        <f>'A) Base RI'!V128</f>
        <v>331</v>
      </c>
      <c r="D130" s="10">
        <f t="shared" si="8"/>
        <v>331</v>
      </c>
      <c r="E130" s="411">
        <f t="shared" si="7"/>
        <v>0</v>
      </c>
      <c r="F130" s="10">
        <f t="shared" si="7"/>
        <v>0</v>
      </c>
      <c r="G130" s="411">
        <f t="shared" si="7"/>
        <v>0</v>
      </c>
      <c r="H130" s="41">
        <f t="shared" si="7"/>
        <v>0</v>
      </c>
      <c r="I130" s="10">
        <f t="shared" si="7"/>
        <v>0</v>
      </c>
      <c r="J130" s="10">
        <f t="shared" si="5"/>
        <v>0</v>
      </c>
      <c r="K130" s="113">
        <f t="shared" si="6"/>
        <v>41291.750503018106</v>
      </c>
    </row>
    <row r="131" spans="1:11" x14ac:dyDescent="0.25">
      <c r="A131" s="49">
        <f>'A) Base RI'!A129</f>
        <v>5610</v>
      </c>
      <c r="B131" s="288" t="str">
        <f>'A) Base RI'!B129</f>
        <v>St-Saphorin (Lavaux)</v>
      </c>
      <c r="C131" s="10">
        <f>'A) Base RI'!V129</f>
        <v>396</v>
      </c>
      <c r="D131" s="10">
        <f t="shared" si="8"/>
        <v>396</v>
      </c>
      <c r="E131" s="411">
        <f t="shared" si="7"/>
        <v>0</v>
      </c>
      <c r="F131" s="10">
        <f t="shared" si="7"/>
        <v>0</v>
      </c>
      <c r="G131" s="411">
        <f t="shared" si="7"/>
        <v>0</v>
      </c>
      <c r="H131" s="41">
        <f t="shared" si="7"/>
        <v>0</v>
      </c>
      <c r="I131" s="10">
        <f t="shared" si="7"/>
        <v>0</v>
      </c>
      <c r="J131" s="10">
        <f t="shared" si="5"/>
        <v>0</v>
      </c>
      <c r="K131" s="113">
        <f t="shared" si="6"/>
        <v>49400.402414486918</v>
      </c>
    </row>
    <row r="132" spans="1:11" x14ac:dyDescent="0.25">
      <c r="A132" s="49">
        <f>'A) Base RI'!A130</f>
        <v>5611</v>
      </c>
      <c r="B132" s="288" t="str">
        <f>'A) Base RI'!B130</f>
        <v>Savigny</v>
      </c>
      <c r="C132" s="10">
        <f>'A) Base RI'!V130</f>
        <v>3370</v>
      </c>
      <c r="D132" s="10">
        <f t="shared" si="8"/>
        <v>1000</v>
      </c>
      <c r="E132" s="411">
        <f t="shared" si="7"/>
        <v>2000</v>
      </c>
      <c r="F132" s="10">
        <f t="shared" si="7"/>
        <v>370</v>
      </c>
      <c r="G132" s="411">
        <f t="shared" si="7"/>
        <v>0</v>
      </c>
      <c r="H132" s="41">
        <f t="shared" si="7"/>
        <v>0</v>
      </c>
      <c r="I132" s="10">
        <f t="shared" si="7"/>
        <v>0</v>
      </c>
      <c r="J132" s="10">
        <f t="shared" si="5"/>
        <v>0</v>
      </c>
      <c r="K132" s="113">
        <f t="shared" si="6"/>
        <v>1007967.8068410461</v>
      </c>
    </row>
    <row r="133" spans="1:11" x14ac:dyDescent="0.25">
      <c r="A133" s="49">
        <f>'A) Base RI'!A131</f>
        <v>5613</v>
      </c>
      <c r="B133" s="288" t="str">
        <f>'A) Base RI'!B131</f>
        <v>Bourg-en-Lavaux</v>
      </c>
      <c r="C133" s="10">
        <f>'A) Base RI'!V131</f>
        <v>5367</v>
      </c>
      <c r="D133" s="10">
        <f t="shared" si="8"/>
        <v>1000</v>
      </c>
      <c r="E133" s="411">
        <f t="shared" si="7"/>
        <v>2000</v>
      </c>
      <c r="F133" s="10">
        <f t="shared" si="7"/>
        <v>2000</v>
      </c>
      <c r="G133" s="411">
        <f t="shared" si="7"/>
        <v>367</v>
      </c>
      <c r="H133" s="41">
        <f t="shared" si="7"/>
        <v>0</v>
      </c>
      <c r="I133" s="10">
        <f t="shared" si="7"/>
        <v>0</v>
      </c>
      <c r="J133" s="10">
        <f t="shared" si="5"/>
        <v>0</v>
      </c>
      <c r="K133" s="113">
        <f t="shared" si="6"/>
        <v>2041084.9094567401</v>
      </c>
    </row>
    <row r="134" spans="1:11" x14ac:dyDescent="0.25">
      <c r="A134" s="49">
        <f>'A) Base RI'!A132</f>
        <v>5621</v>
      </c>
      <c r="B134" s="288" t="str">
        <f>'A) Base RI'!B132</f>
        <v>Aclens</v>
      </c>
      <c r="C134" s="10">
        <f>'A) Base RI'!V132</f>
        <v>517</v>
      </c>
      <c r="D134" s="10">
        <f t="shared" si="8"/>
        <v>517</v>
      </c>
      <c r="E134" s="411">
        <f t="shared" si="7"/>
        <v>0</v>
      </c>
      <c r="F134" s="10">
        <f t="shared" si="7"/>
        <v>0</v>
      </c>
      <c r="G134" s="411">
        <f t="shared" si="7"/>
        <v>0</v>
      </c>
      <c r="H134" s="41">
        <f t="shared" si="7"/>
        <v>0</v>
      </c>
      <c r="I134" s="10">
        <f t="shared" si="7"/>
        <v>0</v>
      </c>
      <c r="J134" s="10">
        <f t="shared" si="5"/>
        <v>0</v>
      </c>
      <c r="K134" s="113">
        <f t="shared" si="6"/>
        <v>64494.96981891348</v>
      </c>
    </row>
    <row r="135" spans="1:11" x14ac:dyDescent="0.25">
      <c r="A135" s="49">
        <f>'A) Base RI'!A133</f>
        <v>5622</v>
      </c>
      <c r="B135" s="288" t="str">
        <f>'A) Base RI'!B133</f>
        <v>Bremblens</v>
      </c>
      <c r="C135" s="10">
        <f>'A) Base RI'!V133</f>
        <v>607</v>
      </c>
      <c r="D135" s="10">
        <f t="shared" si="8"/>
        <v>607</v>
      </c>
      <c r="E135" s="411">
        <f t="shared" si="7"/>
        <v>0</v>
      </c>
      <c r="F135" s="10">
        <f t="shared" si="7"/>
        <v>0</v>
      </c>
      <c r="G135" s="411">
        <f t="shared" si="7"/>
        <v>0</v>
      </c>
      <c r="H135" s="41">
        <f t="shared" si="7"/>
        <v>0</v>
      </c>
      <c r="I135" s="10">
        <f t="shared" si="7"/>
        <v>0</v>
      </c>
      <c r="J135" s="10">
        <f t="shared" si="5"/>
        <v>0</v>
      </c>
      <c r="K135" s="113">
        <f t="shared" si="6"/>
        <v>75722.334004024146</v>
      </c>
    </row>
    <row r="136" spans="1:11" x14ac:dyDescent="0.25">
      <c r="A136" s="49">
        <f>'A) Base RI'!A134</f>
        <v>5623</v>
      </c>
      <c r="B136" s="288" t="str">
        <f>'A) Base RI'!B134</f>
        <v>Buchillon</v>
      </c>
      <c r="C136" s="10">
        <f>'A) Base RI'!V134</f>
        <v>669</v>
      </c>
      <c r="D136" s="10">
        <f t="shared" si="8"/>
        <v>669</v>
      </c>
      <c r="E136" s="411">
        <f t="shared" si="7"/>
        <v>0</v>
      </c>
      <c r="F136" s="10">
        <f t="shared" si="7"/>
        <v>0</v>
      </c>
      <c r="G136" s="411">
        <f t="shared" si="7"/>
        <v>0</v>
      </c>
      <c r="H136" s="41">
        <f t="shared" si="7"/>
        <v>0</v>
      </c>
      <c r="I136" s="10">
        <f t="shared" si="7"/>
        <v>0</v>
      </c>
      <c r="J136" s="10">
        <f t="shared" si="5"/>
        <v>0</v>
      </c>
      <c r="K136" s="113">
        <f t="shared" si="6"/>
        <v>83456.740442655937</v>
      </c>
    </row>
    <row r="137" spans="1:11" x14ac:dyDescent="0.25">
      <c r="A137" s="49">
        <f>'A) Base RI'!A135</f>
        <v>5624</v>
      </c>
      <c r="B137" s="288" t="str">
        <f>'A) Base RI'!B135</f>
        <v>Bussigny</v>
      </c>
      <c r="C137" s="10">
        <f>'A) Base RI'!V135</f>
        <v>10253</v>
      </c>
      <c r="D137" s="10">
        <f t="shared" si="8"/>
        <v>1000</v>
      </c>
      <c r="E137" s="411">
        <f t="shared" si="7"/>
        <v>2000</v>
      </c>
      <c r="F137" s="10">
        <f t="shared" si="7"/>
        <v>2000</v>
      </c>
      <c r="G137" s="411">
        <f t="shared" si="7"/>
        <v>4000</v>
      </c>
      <c r="H137" s="41">
        <f t="shared" si="7"/>
        <v>1253</v>
      </c>
      <c r="I137" s="10">
        <f t="shared" si="7"/>
        <v>0</v>
      </c>
      <c r="J137" s="10">
        <f t="shared" ref="J137:J200" si="9">IF(C137&gt;$J$5,C137-$J$5,0)</f>
        <v>0</v>
      </c>
      <c r="K137" s="113">
        <f t="shared" ref="K137:K200" si="10">(D137*D$8)+(E137*E$8)+(F137*F$8)+(G137*G$8)+(H137*H$8)+(I137*I$8)+(J137*J$8)</f>
        <v>5279406.036217303</v>
      </c>
    </row>
    <row r="138" spans="1:11" x14ac:dyDescent="0.25">
      <c r="A138" s="49">
        <f>'A) Base RI'!A136</f>
        <v>5625</v>
      </c>
      <c r="B138" s="288" t="str">
        <f>'A) Base RI'!B136</f>
        <v>Bussy-Chardonney</v>
      </c>
      <c r="C138" s="10">
        <f>'A) Base RI'!V136</f>
        <v>412</v>
      </c>
      <c r="D138" s="10">
        <f t="shared" si="8"/>
        <v>412</v>
      </c>
      <c r="E138" s="411">
        <f t="shared" si="7"/>
        <v>0</v>
      </c>
      <c r="F138" s="10">
        <f t="shared" si="7"/>
        <v>0</v>
      </c>
      <c r="G138" s="411">
        <f t="shared" si="7"/>
        <v>0</v>
      </c>
      <c r="H138" s="41">
        <f t="shared" si="7"/>
        <v>0</v>
      </c>
      <c r="I138" s="10">
        <f t="shared" si="7"/>
        <v>0</v>
      </c>
      <c r="J138" s="10">
        <f t="shared" si="9"/>
        <v>0</v>
      </c>
      <c r="K138" s="113">
        <f t="shared" si="10"/>
        <v>51396.3782696177</v>
      </c>
    </row>
    <row r="139" spans="1:11" x14ac:dyDescent="0.25">
      <c r="A139" s="49">
        <f>'A) Base RI'!A137</f>
        <v>5627</v>
      </c>
      <c r="B139" s="288" t="str">
        <f>'A) Base RI'!B137</f>
        <v>Chavannes-près-Renens</v>
      </c>
      <c r="C139" s="10">
        <f>'A) Base RI'!V137</f>
        <v>8767</v>
      </c>
      <c r="D139" s="10">
        <f t="shared" si="8"/>
        <v>1000</v>
      </c>
      <c r="E139" s="411">
        <f t="shared" si="7"/>
        <v>2000</v>
      </c>
      <c r="F139" s="10">
        <f t="shared" si="7"/>
        <v>2000</v>
      </c>
      <c r="G139" s="411">
        <f t="shared" si="7"/>
        <v>3767</v>
      </c>
      <c r="H139" s="41">
        <f t="shared" si="7"/>
        <v>0</v>
      </c>
      <c r="I139" s="10">
        <f t="shared" si="7"/>
        <v>0</v>
      </c>
      <c r="J139" s="10">
        <f t="shared" si="9"/>
        <v>0</v>
      </c>
      <c r="K139" s="113">
        <f t="shared" si="10"/>
        <v>4076980.2816901403</v>
      </c>
    </row>
    <row r="140" spans="1:11" x14ac:dyDescent="0.25">
      <c r="A140" s="49">
        <f>'A) Base RI'!A138</f>
        <v>5628</v>
      </c>
      <c r="B140" s="288" t="str">
        <f>'A) Base RI'!B138</f>
        <v>Chigny</v>
      </c>
      <c r="C140" s="10">
        <f>'A) Base RI'!V138</f>
        <v>405</v>
      </c>
      <c r="D140" s="10">
        <f t="shared" si="8"/>
        <v>405</v>
      </c>
      <c r="E140" s="411">
        <f t="shared" si="7"/>
        <v>0</v>
      </c>
      <c r="F140" s="10">
        <f t="shared" si="7"/>
        <v>0</v>
      </c>
      <c r="G140" s="411">
        <f t="shared" si="7"/>
        <v>0</v>
      </c>
      <c r="H140" s="41">
        <f t="shared" si="7"/>
        <v>0</v>
      </c>
      <c r="I140" s="10">
        <f t="shared" si="7"/>
        <v>0</v>
      </c>
      <c r="J140" s="10">
        <f t="shared" si="9"/>
        <v>0</v>
      </c>
      <c r="K140" s="113">
        <f t="shared" si="10"/>
        <v>50523.138832997982</v>
      </c>
    </row>
    <row r="141" spans="1:11" x14ac:dyDescent="0.25">
      <c r="A141" s="49">
        <f>'A) Base RI'!A139</f>
        <v>5629</v>
      </c>
      <c r="B141" s="288" t="str">
        <f>'A) Base RI'!B139</f>
        <v>Clarmont</v>
      </c>
      <c r="C141" s="10">
        <f>'A) Base RI'!V139</f>
        <v>211</v>
      </c>
      <c r="D141" s="10">
        <f t="shared" si="8"/>
        <v>211</v>
      </c>
      <c r="E141" s="411">
        <f t="shared" si="7"/>
        <v>0</v>
      </c>
      <c r="F141" s="10">
        <f t="shared" si="7"/>
        <v>0</v>
      </c>
      <c r="G141" s="411">
        <f t="shared" si="7"/>
        <v>0</v>
      </c>
      <c r="H141" s="41">
        <f t="shared" si="7"/>
        <v>0</v>
      </c>
      <c r="I141" s="10">
        <f t="shared" si="7"/>
        <v>0</v>
      </c>
      <c r="J141" s="10">
        <f t="shared" si="9"/>
        <v>0</v>
      </c>
      <c r="K141" s="113">
        <f t="shared" si="10"/>
        <v>26321.93158953722</v>
      </c>
    </row>
    <row r="142" spans="1:11" x14ac:dyDescent="0.25">
      <c r="A142" s="49">
        <f>'A) Base RI'!A140</f>
        <v>5631</v>
      </c>
      <c r="B142" s="288" t="str">
        <f>'A) Base RI'!B140</f>
        <v>Denens</v>
      </c>
      <c r="C142" s="10">
        <f>'A) Base RI'!V140</f>
        <v>733</v>
      </c>
      <c r="D142" s="10">
        <f t="shared" si="8"/>
        <v>733</v>
      </c>
      <c r="E142" s="411">
        <f t="shared" si="7"/>
        <v>0</v>
      </c>
      <c r="F142" s="10">
        <f t="shared" si="7"/>
        <v>0</v>
      </c>
      <c r="G142" s="411">
        <f t="shared" si="7"/>
        <v>0</v>
      </c>
      <c r="H142" s="41">
        <f t="shared" si="7"/>
        <v>0</v>
      </c>
      <c r="I142" s="10">
        <f t="shared" si="7"/>
        <v>0</v>
      </c>
      <c r="J142" s="10">
        <f t="shared" si="9"/>
        <v>0</v>
      </c>
      <c r="K142" s="113">
        <f t="shared" si="10"/>
        <v>91440.643863179066</v>
      </c>
    </row>
    <row r="143" spans="1:11" x14ac:dyDescent="0.25">
      <c r="A143" s="49">
        <f>'A) Base RI'!A141</f>
        <v>5632</v>
      </c>
      <c r="B143" s="288" t="str">
        <f>'A) Base RI'!B141</f>
        <v>Denges</v>
      </c>
      <c r="C143" s="10">
        <f>'A) Base RI'!V141</f>
        <v>1744</v>
      </c>
      <c r="D143" s="10">
        <f t="shared" si="8"/>
        <v>1000</v>
      </c>
      <c r="E143" s="411">
        <f t="shared" si="7"/>
        <v>744</v>
      </c>
      <c r="F143" s="10">
        <f t="shared" si="7"/>
        <v>0</v>
      </c>
      <c r="G143" s="411">
        <f t="shared" si="7"/>
        <v>0</v>
      </c>
      <c r="H143" s="41">
        <f t="shared" si="7"/>
        <v>0</v>
      </c>
      <c r="I143" s="10">
        <f t="shared" si="7"/>
        <v>0</v>
      </c>
      <c r="J143" s="10">
        <f t="shared" si="9"/>
        <v>0</v>
      </c>
      <c r="K143" s="113">
        <f t="shared" si="10"/>
        <v>384624.54728370218</v>
      </c>
    </row>
    <row r="144" spans="1:11" x14ac:dyDescent="0.25">
      <c r="A144" s="49">
        <f>'A) Base RI'!A142</f>
        <v>5633</v>
      </c>
      <c r="B144" s="288" t="str">
        <f>'A) Base RI'!B142</f>
        <v>Echandens</v>
      </c>
      <c r="C144" s="10">
        <f>'A) Base RI'!V142</f>
        <v>2775</v>
      </c>
      <c r="D144" s="10">
        <f t="shared" si="8"/>
        <v>1000</v>
      </c>
      <c r="E144" s="411">
        <f t="shared" si="7"/>
        <v>1775</v>
      </c>
      <c r="F144" s="10">
        <f t="shared" si="7"/>
        <v>0</v>
      </c>
      <c r="G144" s="411">
        <f t="shared" si="7"/>
        <v>0</v>
      </c>
      <c r="H144" s="41">
        <f t="shared" si="7"/>
        <v>0</v>
      </c>
      <c r="I144" s="10">
        <f t="shared" si="7"/>
        <v>0</v>
      </c>
      <c r="J144" s="10">
        <f t="shared" si="9"/>
        <v>0</v>
      </c>
      <c r="K144" s="113">
        <f t="shared" si="10"/>
        <v>744748.49094567401</v>
      </c>
    </row>
    <row r="145" spans="1:11" x14ac:dyDescent="0.25">
      <c r="A145" s="49">
        <f>'A) Base RI'!A143</f>
        <v>5634</v>
      </c>
      <c r="B145" s="288" t="str">
        <f>'A) Base RI'!B143</f>
        <v>Echichens</v>
      </c>
      <c r="C145" s="10">
        <f>'A) Base RI'!V143</f>
        <v>3142</v>
      </c>
      <c r="D145" s="10">
        <f t="shared" si="8"/>
        <v>1000</v>
      </c>
      <c r="E145" s="411">
        <f t="shared" si="7"/>
        <v>2000</v>
      </c>
      <c r="F145" s="10">
        <f t="shared" si="7"/>
        <v>142</v>
      </c>
      <c r="G145" s="411">
        <f t="shared" si="7"/>
        <v>0</v>
      </c>
      <c r="H145" s="41">
        <f t="shared" si="7"/>
        <v>0</v>
      </c>
      <c r="I145" s="10">
        <f t="shared" si="7"/>
        <v>0</v>
      </c>
      <c r="J145" s="10">
        <f t="shared" si="9"/>
        <v>0</v>
      </c>
      <c r="K145" s="113">
        <f t="shared" si="10"/>
        <v>894197.1830985914</v>
      </c>
    </row>
    <row r="146" spans="1:11" x14ac:dyDescent="0.25">
      <c r="A146" s="49">
        <f>'A) Base RI'!A144</f>
        <v>5635</v>
      </c>
      <c r="B146" s="288" t="str">
        <f>'A) Base RI'!B144</f>
        <v>Ecublens</v>
      </c>
      <c r="C146" s="10">
        <f>'A) Base RI'!V144</f>
        <v>13214</v>
      </c>
      <c r="D146" s="10">
        <f t="shared" si="8"/>
        <v>1000</v>
      </c>
      <c r="E146" s="411">
        <f t="shared" si="7"/>
        <v>2000</v>
      </c>
      <c r="F146" s="10">
        <f t="shared" si="7"/>
        <v>2000</v>
      </c>
      <c r="G146" s="411">
        <f t="shared" si="7"/>
        <v>4000</v>
      </c>
      <c r="H146" s="41">
        <f t="shared" si="7"/>
        <v>3000</v>
      </c>
      <c r="I146" s="10">
        <f t="shared" si="7"/>
        <v>1214</v>
      </c>
      <c r="J146" s="10">
        <f t="shared" si="9"/>
        <v>0</v>
      </c>
      <c r="K146" s="113">
        <f t="shared" si="10"/>
        <v>7972925.5533199189</v>
      </c>
    </row>
    <row r="147" spans="1:11" x14ac:dyDescent="0.25">
      <c r="A147" s="49">
        <f>'A) Base RI'!A145</f>
        <v>5636</v>
      </c>
      <c r="B147" s="288" t="str">
        <f>'A) Base RI'!B145</f>
        <v>Etoy</v>
      </c>
      <c r="C147" s="10">
        <f>'A) Base RI'!V145</f>
        <v>2918</v>
      </c>
      <c r="D147" s="10">
        <f t="shared" si="8"/>
        <v>1000</v>
      </c>
      <c r="E147" s="411">
        <f t="shared" si="7"/>
        <v>1918</v>
      </c>
      <c r="F147" s="10">
        <f t="shared" si="7"/>
        <v>0</v>
      </c>
      <c r="G147" s="411">
        <f t="shared" si="7"/>
        <v>0</v>
      </c>
      <c r="H147" s="41">
        <f t="shared" si="7"/>
        <v>0</v>
      </c>
      <c r="I147" s="10">
        <f t="shared" si="7"/>
        <v>0</v>
      </c>
      <c r="J147" s="10">
        <f t="shared" si="9"/>
        <v>0</v>
      </c>
      <c r="K147" s="113">
        <f t="shared" si="10"/>
        <v>794697.78672032186</v>
      </c>
    </row>
    <row r="148" spans="1:11" x14ac:dyDescent="0.25">
      <c r="A148" s="49">
        <f>'A) Base RI'!A146</f>
        <v>5637</v>
      </c>
      <c r="B148" s="288" t="str">
        <f>'A) Base RI'!B146</f>
        <v>Lavigny</v>
      </c>
      <c r="C148" s="10">
        <f>'A) Base RI'!V146</f>
        <v>1026</v>
      </c>
      <c r="D148" s="10">
        <f t="shared" si="8"/>
        <v>1000</v>
      </c>
      <c r="E148" s="411">
        <f t="shared" si="7"/>
        <v>26</v>
      </c>
      <c r="F148" s="10">
        <f t="shared" si="7"/>
        <v>0</v>
      </c>
      <c r="G148" s="411">
        <f t="shared" si="7"/>
        <v>0</v>
      </c>
      <c r="H148" s="41">
        <f t="shared" si="7"/>
        <v>0</v>
      </c>
      <c r="I148" s="10">
        <f t="shared" si="7"/>
        <v>0</v>
      </c>
      <c r="J148" s="10">
        <f t="shared" si="9"/>
        <v>0</v>
      </c>
      <c r="K148" s="113">
        <f t="shared" si="10"/>
        <v>133830.18108651912</v>
      </c>
    </row>
    <row r="149" spans="1:11" x14ac:dyDescent="0.25">
      <c r="A149" s="49">
        <f>'A) Base RI'!A147</f>
        <v>5638</v>
      </c>
      <c r="B149" s="288" t="str">
        <f>'A) Base RI'!B147</f>
        <v>Lonay</v>
      </c>
      <c r="C149" s="10">
        <f>'A) Base RI'!V147</f>
        <v>2751</v>
      </c>
      <c r="D149" s="10">
        <f t="shared" si="8"/>
        <v>1000</v>
      </c>
      <c r="E149" s="411">
        <f t="shared" si="7"/>
        <v>1751</v>
      </c>
      <c r="F149" s="10">
        <f t="shared" si="7"/>
        <v>0</v>
      </c>
      <c r="G149" s="411">
        <f t="shared" si="7"/>
        <v>0</v>
      </c>
      <c r="H149" s="41">
        <f t="shared" si="7"/>
        <v>0</v>
      </c>
      <c r="I149" s="10">
        <f t="shared" si="7"/>
        <v>0</v>
      </c>
      <c r="J149" s="10">
        <f t="shared" si="9"/>
        <v>0</v>
      </c>
      <c r="K149" s="113">
        <f t="shared" si="10"/>
        <v>736365.39235412469</v>
      </c>
    </row>
    <row r="150" spans="1:11" x14ac:dyDescent="0.25">
      <c r="A150" s="49">
        <f>'A) Base RI'!A148</f>
        <v>5639</v>
      </c>
      <c r="B150" s="288" t="str">
        <f>'A) Base RI'!B148</f>
        <v>Lully</v>
      </c>
      <c r="C150" s="10">
        <f>'A) Base RI'!V148</f>
        <v>828</v>
      </c>
      <c r="D150" s="10">
        <f t="shared" si="8"/>
        <v>828</v>
      </c>
      <c r="E150" s="411">
        <f t="shared" si="7"/>
        <v>0</v>
      </c>
      <c r="F150" s="10">
        <f t="shared" si="7"/>
        <v>0</v>
      </c>
      <c r="G150" s="411">
        <f t="shared" si="7"/>
        <v>0</v>
      </c>
      <c r="H150" s="41">
        <f t="shared" si="7"/>
        <v>0</v>
      </c>
      <c r="I150" s="10">
        <f t="shared" si="7"/>
        <v>0</v>
      </c>
      <c r="J150" s="10">
        <f t="shared" si="9"/>
        <v>0</v>
      </c>
      <c r="K150" s="113">
        <f t="shared" si="10"/>
        <v>103291.75050301811</v>
      </c>
    </row>
    <row r="151" spans="1:11" x14ac:dyDescent="0.25">
      <c r="A151" s="49">
        <f>'A) Base RI'!A149</f>
        <v>5640</v>
      </c>
      <c r="B151" s="288" t="str">
        <f>'A) Base RI'!B149</f>
        <v>Lussy-sur-Morges</v>
      </c>
      <c r="C151" s="10">
        <f>'A) Base RI'!V149</f>
        <v>740</v>
      </c>
      <c r="D151" s="10">
        <f t="shared" si="8"/>
        <v>740</v>
      </c>
      <c r="E151" s="411">
        <f t="shared" si="7"/>
        <v>0</v>
      </c>
      <c r="F151" s="10">
        <f t="shared" si="7"/>
        <v>0</v>
      </c>
      <c r="G151" s="411">
        <f t="shared" si="7"/>
        <v>0</v>
      </c>
      <c r="H151" s="41">
        <f t="shared" si="7"/>
        <v>0</v>
      </c>
      <c r="I151" s="10">
        <f t="shared" si="7"/>
        <v>0</v>
      </c>
      <c r="J151" s="10">
        <f t="shared" si="9"/>
        <v>0</v>
      </c>
      <c r="K151" s="113">
        <f t="shared" si="10"/>
        <v>92313.883299798792</v>
      </c>
    </row>
    <row r="152" spans="1:11" x14ac:dyDescent="0.25">
      <c r="A152" s="49">
        <f>'A) Base RI'!A150</f>
        <v>5642</v>
      </c>
      <c r="B152" s="288" t="str">
        <f>'A) Base RI'!B150</f>
        <v>Morges</v>
      </c>
      <c r="C152" s="10">
        <f>'A) Base RI'!V150</f>
        <v>16885</v>
      </c>
      <c r="D152" s="10">
        <f t="shared" si="8"/>
        <v>1000</v>
      </c>
      <c r="E152" s="411">
        <f t="shared" si="7"/>
        <v>2000</v>
      </c>
      <c r="F152" s="10">
        <f t="shared" si="7"/>
        <v>2000</v>
      </c>
      <c r="G152" s="411">
        <f t="shared" si="7"/>
        <v>4000</v>
      </c>
      <c r="H152" s="41">
        <f t="shared" si="7"/>
        <v>3000</v>
      </c>
      <c r="I152" s="10">
        <f t="shared" si="7"/>
        <v>3000</v>
      </c>
      <c r="J152" s="10">
        <f t="shared" si="9"/>
        <v>1885</v>
      </c>
      <c r="K152" s="113">
        <f t="shared" si="10"/>
        <v>11730599.597585512</v>
      </c>
    </row>
    <row r="153" spans="1:11" x14ac:dyDescent="0.25">
      <c r="A153" s="49">
        <f>'A) Base RI'!A151</f>
        <v>5643</v>
      </c>
      <c r="B153" s="288" t="str">
        <f>'A) Base RI'!B151</f>
        <v>Préverenges</v>
      </c>
      <c r="C153" s="10">
        <f>'A) Base RI'!V151</f>
        <v>5208</v>
      </c>
      <c r="D153" s="10">
        <f t="shared" si="8"/>
        <v>1000</v>
      </c>
      <c r="E153" s="411">
        <f t="shared" si="7"/>
        <v>2000</v>
      </c>
      <c r="F153" s="10">
        <f t="shared" si="7"/>
        <v>2000</v>
      </c>
      <c r="G153" s="411">
        <f t="shared" si="7"/>
        <v>208</v>
      </c>
      <c r="H153" s="41">
        <f t="shared" si="7"/>
        <v>0</v>
      </c>
      <c r="I153" s="10">
        <f t="shared" si="7"/>
        <v>0</v>
      </c>
      <c r="J153" s="10">
        <f t="shared" si="9"/>
        <v>0</v>
      </c>
      <c r="K153" s="113">
        <f t="shared" si="10"/>
        <v>1945876.8611670018</v>
      </c>
    </row>
    <row r="154" spans="1:11" x14ac:dyDescent="0.25">
      <c r="A154" s="49">
        <f>'A) Base RI'!A152</f>
        <v>5644</v>
      </c>
      <c r="B154" s="288" t="str">
        <f>'A) Base RI'!B152</f>
        <v>Reverolle</v>
      </c>
      <c r="C154" s="10">
        <f>'A) Base RI'!V152</f>
        <v>403</v>
      </c>
      <c r="D154" s="10">
        <f t="shared" si="8"/>
        <v>403</v>
      </c>
      <c r="E154" s="411">
        <f t="shared" si="7"/>
        <v>0</v>
      </c>
      <c r="F154" s="10">
        <f t="shared" si="7"/>
        <v>0</v>
      </c>
      <c r="G154" s="411">
        <f t="shared" si="7"/>
        <v>0</v>
      </c>
      <c r="H154" s="41">
        <f t="shared" si="7"/>
        <v>0</v>
      </c>
      <c r="I154" s="10">
        <f t="shared" si="7"/>
        <v>0</v>
      </c>
      <c r="J154" s="10">
        <f t="shared" si="9"/>
        <v>0</v>
      </c>
      <c r="K154" s="113">
        <f t="shared" si="10"/>
        <v>50273.641851106637</v>
      </c>
    </row>
    <row r="155" spans="1:11" x14ac:dyDescent="0.25">
      <c r="A155" s="49">
        <f>'A) Base RI'!A153</f>
        <v>5645</v>
      </c>
      <c r="B155" s="288" t="str">
        <f>'A) Base RI'!B153</f>
        <v>Romanel-sur-Morges</v>
      </c>
      <c r="C155" s="10">
        <f>'A) Base RI'!V153</f>
        <v>466</v>
      </c>
      <c r="D155" s="10">
        <f t="shared" si="8"/>
        <v>466</v>
      </c>
      <c r="E155" s="411">
        <f t="shared" si="7"/>
        <v>0</v>
      </c>
      <c r="F155" s="10">
        <f t="shared" si="7"/>
        <v>0</v>
      </c>
      <c r="G155" s="411">
        <f t="shared" si="7"/>
        <v>0</v>
      </c>
      <c r="H155" s="41">
        <f t="shared" si="7"/>
        <v>0</v>
      </c>
      <c r="I155" s="10">
        <f t="shared" si="7"/>
        <v>0</v>
      </c>
      <c r="J155" s="10">
        <f t="shared" si="9"/>
        <v>0</v>
      </c>
      <c r="K155" s="113">
        <f t="shared" si="10"/>
        <v>58132.796780684097</v>
      </c>
    </row>
    <row r="156" spans="1:11" x14ac:dyDescent="0.25">
      <c r="A156" s="49">
        <f>'A) Base RI'!A154</f>
        <v>5646</v>
      </c>
      <c r="B156" s="288" t="str">
        <f>'A) Base RI'!B154</f>
        <v>Saint-Prex</v>
      </c>
      <c r="C156" s="10">
        <f>'A) Base RI'!V154</f>
        <v>5866</v>
      </c>
      <c r="D156" s="10">
        <f t="shared" si="8"/>
        <v>1000</v>
      </c>
      <c r="E156" s="411">
        <f t="shared" si="7"/>
        <v>2000</v>
      </c>
      <c r="F156" s="10">
        <f t="shared" si="7"/>
        <v>2000</v>
      </c>
      <c r="G156" s="411">
        <f t="shared" si="7"/>
        <v>866</v>
      </c>
      <c r="H156" s="41">
        <f t="shared" si="7"/>
        <v>0</v>
      </c>
      <c r="I156" s="10">
        <f t="shared" si="7"/>
        <v>0</v>
      </c>
      <c r="J156" s="10">
        <f t="shared" si="9"/>
        <v>0</v>
      </c>
      <c r="K156" s="113">
        <f t="shared" si="10"/>
        <v>2339882.4949698187</v>
      </c>
    </row>
    <row r="157" spans="1:11" x14ac:dyDescent="0.25">
      <c r="A157" s="49">
        <f>'A) Base RI'!A155</f>
        <v>5648</v>
      </c>
      <c r="B157" s="288" t="str">
        <f>'A) Base RI'!B155</f>
        <v>Saint-Sulpice</v>
      </c>
      <c r="C157" s="10">
        <f>'A) Base RI'!V155</f>
        <v>4932</v>
      </c>
      <c r="D157" s="10">
        <f t="shared" si="8"/>
        <v>1000</v>
      </c>
      <c r="E157" s="411">
        <f t="shared" si="7"/>
        <v>2000</v>
      </c>
      <c r="F157" s="10">
        <f t="shared" si="7"/>
        <v>1932</v>
      </c>
      <c r="G157" s="411">
        <f t="shared" ref="E157:I208" si="11">IF($C157&gt;G$5,IF($C157&lt;G$6,$C157-G$5,G$6-G$5),0)</f>
        <v>0</v>
      </c>
      <c r="H157" s="41">
        <f t="shared" si="11"/>
        <v>0</v>
      </c>
      <c r="I157" s="10">
        <f t="shared" si="11"/>
        <v>0</v>
      </c>
      <c r="J157" s="10">
        <f t="shared" si="9"/>
        <v>0</v>
      </c>
      <c r="K157" s="113">
        <f t="shared" si="10"/>
        <v>1787396.3782696174</v>
      </c>
    </row>
    <row r="158" spans="1:11" x14ac:dyDescent="0.25">
      <c r="A158" s="49">
        <f>'A) Base RI'!A156</f>
        <v>5649</v>
      </c>
      <c r="B158" s="288" t="str">
        <f>'A) Base RI'!B156</f>
        <v>Tolochenaz</v>
      </c>
      <c r="C158" s="10">
        <f>'A) Base RI'!V156</f>
        <v>1886</v>
      </c>
      <c r="D158" s="10">
        <f t="shared" si="8"/>
        <v>1000</v>
      </c>
      <c r="E158" s="411">
        <f t="shared" si="11"/>
        <v>886</v>
      </c>
      <c r="F158" s="10">
        <f t="shared" si="11"/>
        <v>0</v>
      </c>
      <c r="G158" s="411">
        <f t="shared" si="11"/>
        <v>0</v>
      </c>
      <c r="H158" s="41">
        <f t="shared" si="11"/>
        <v>0</v>
      </c>
      <c r="I158" s="10">
        <f t="shared" si="11"/>
        <v>0</v>
      </c>
      <c r="J158" s="10">
        <f t="shared" si="9"/>
        <v>0</v>
      </c>
      <c r="K158" s="113">
        <f t="shared" si="10"/>
        <v>434224.54728370218</v>
      </c>
    </row>
    <row r="159" spans="1:11" x14ac:dyDescent="0.25">
      <c r="A159" s="49">
        <f>'A) Base RI'!A157</f>
        <v>5650</v>
      </c>
      <c r="B159" s="288" t="str">
        <f>'A) Base RI'!B157</f>
        <v>Vaux-sur-Morges</v>
      </c>
      <c r="C159" s="10">
        <f>'A) Base RI'!V157</f>
        <v>196</v>
      </c>
      <c r="D159" s="10">
        <f t="shared" si="8"/>
        <v>196</v>
      </c>
      <c r="E159" s="411">
        <f t="shared" si="11"/>
        <v>0</v>
      </c>
      <c r="F159" s="10">
        <f t="shared" si="11"/>
        <v>0</v>
      </c>
      <c r="G159" s="411">
        <f t="shared" si="11"/>
        <v>0</v>
      </c>
      <c r="H159" s="41">
        <f t="shared" si="11"/>
        <v>0</v>
      </c>
      <c r="I159" s="10">
        <f t="shared" si="11"/>
        <v>0</v>
      </c>
      <c r="J159" s="10">
        <f t="shared" si="9"/>
        <v>0</v>
      </c>
      <c r="K159" s="113">
        <f t="shared" si="10"/>
        <v>24450.70422535211</v>
      </c>
    </row>
    <row r="160" spans="1:11" x14ac:dyDescent="0.25">
      <c r="A160" s="49">
        <f>'A) Base RI'!A158</f>
        <v>5651</v>
      </c>
      <c r="B160" s="288" t="str">
        <f>'A) Base RI'!B158</f>
        <v>Villars-Sainte-Croix</v>
      </c>
      <c r="C160" s="10">
        <f>'A) Base RI'!V158</f>
        <v>958</v>
      </c>
      <c r="D160" s="10">
        <f t="shared" si="8"/>
        <v>958</v>
      </c>
      <c r="E160" s="411">
        <f t="shared" si="11"/>
        <v>0</v>
      </c>
      <c r="F160" s="10">
        <f t="shared" si="11"/>
        <v>0</v>
      </c>
      <c r="G160" s="411">
        <f t="shared" si="11"/>
        <v>0</v>
      </c>
      <c r="H160" s="41">
        <f t="shared" si="11"/>
        <v>0</v>
      </c>
      <c r="I160" s="10">
        <f t="shared" si="11"/>
        <v>0</v>
      </c>
      <c r="J160" s="10">
        <f t="shared" si="9"/>
        <v>0</v>
      </c>
      <c r="K160" s="113">
        <f t="shared" si="10"/>
        <v>119509.05432595573</v>
      </c>
    </row>
    <row r="161" spans="1:11" x14ac:dyDescent="0.25">
      <c r="A161" s="49">
        <f>'A) Base RI'!A159</f>
        <v>5652</v>
      </c>
      <c r="B161" s="288" t="str">
        <f>'A) Base RI'!B159</f>
        <v>Villars-sous-Yens</v>
      </c>
      <c r="C161" s="10">
        <f>'A) Base RI'!V159</f>
        <v>626</v>
      </c>
      <c r="D161" s="10">
        <f t="shared" si="8"/>
        <v>626</v>
      </c>
      <c r="E161" s="411">
        <f t="shared" si="11"/>
        <v>0</v>
      </c>
      <c r="F161" s="10">
        <f t="shared" si="11"/>
        <v>0</v>
      </c>
      <c r="G161" s="411">
        <f t="shared" si="11"/>
        <v>0</v>
      </c>
      <c r="H161" s="41">
        <f t="shared" si="11"/>
        <v>0</v>
      </c>
      <c r="I161" s="10">
        <f t="shared" si="11"/>
        <v>0</v>
      </c>
      <c r="J161" s="10">
        <f t="shared" si="9"/>
        <v>0</v>
      </c>
      <c r="K161" s="113">
        <f t="shared" si="10"/>
        <v>78092.555331991942</v>
      </c>
    </row>
    <row r="162" spans="1:11" x14ac:dyDescent="0.25">
      <c r="A162" s="49">
        <f>'A) Base RI'!A160</f>
        <v>5653</v>
      </c>
      <c r="B162" s="288" t="str">
        <f>'A) Base RI'!B160</f>
        <v>Vufflens-le-Château</v>
      </c>
      <c r="C162" s="10">
        <f>'A) Base RI'!V160</f>
        <v>894</v>
      </c>
      <c r="D162" s="10">
        <f t="shared" si="8"/>
        <v>894</v>
      </c>
      <c r="E162" s="411">
        <f t="shared" si="11"/>
        <v>0</v>
      </c>
      <c r="F162" s="10">
        <f t="shared" si="11"/>
        <v>0</v>
      </c>
      <c r="G162" s="411">
        <f t="shared" si="11"/>
        <v>0</v>
      </c>
      <c r="H162" s="41">
        <f t="shared" si="11"/>
        <v>0</v>
      </c>
      <c r="I162" s="10">
        <f t="shared" si="11"/>
        <v>0</v>
      </c>
      <c r="J162" s="10">
        <f t="shared" si="9"/>
        <v>0</v>
      </c>
      <c r="K162" s="113">
        <f t="shared" si="10"/>
        <v>111525.15090543259</v>
      </c>
    </row>
    <row r="163" spans="1:11" x14ac:dyDescent="0.25">
      <c r="A163" s="49">
        <f>'A) Base RI'!A161</f>
        <v>5654</v>
      </c>
      <c r="B163" s="288" t="str">
        <f>'A) Base RI'!B161</f>
        <v>Vullierens</v>
      </c>
      <c r="C163" s="10">
        <f>'A) Base RI'!V161</f>
        <v>560</v>
      </c>
      <c r="D163" s="10">
        <f t="shared" si="8"/>
        <v>560</v>
      </c>
      <c r="E163" s="411">
        <f t="shared" si="11"/>
        <v>0</v>
      </c>
      <c r="F163" s="10">
        <f t="shared" si="11"/>
        <v>0</v>
      </c>
      <c r="G163" s="411">
        <f t="shared" si="11"/>
        <v>0</v>
      </c>
      <c r="H163" s="41">
        <f t="shared" si="11"/>
        <v>0</v>
      </c>
      <c r="I163" s="10">
        <f t="shared" si="11"/>
        <v>0</v>
      </c>
      <c r="J163" s="10">
        <f t="shared" si="9"/>
        <v>0</v>
      </c>
      <c r="K163" s="113">
        <f t="shared" si="10"/>
        <v>69859.15492957746</v>
      </c>
    </row>
    <row r="164" spans="1:11" x14ac:dyDescent="0.25">
      <c r="A164" s="49">
        <f>'A) Base RI'!A162</f>
        <v>5655</v>
      </c>
      <c r="B164" s="288" t="str">
        <f>'A) Base RI'!B162</f>
        <v>Yens</v>
      </c>
      <c r="C164" s="10">
        <f>'A) Base RI'!V162</f>
        <v>1499</v>
      </c>
      <c r="D164" s="10">
        <f t="shared" si="8"/>
        <v>1000</v>
      </c>
      <c r="E164" s="411">
        <f t="shared" si="11"/>
        <v>499</v>
      </c>
      <c r="F164" s="10">
        <f t="shared" si="11"/>
        <v>0</v>
      </c>
      <c r="G164" s="411">
        <f t="shared" si="11"/>
        <v>0</v>
      </c>
      <c r="H164" s="41">
        <f t="shared" si="11"/>
        <v>0</v>
      </c>
      <c r="I164" s="10">
        <f t="shared" si="11"/>
        <v>0</v>
      </c>
      <c r="J164" s="10">
        <f t="shared" si="9"/>
        <v>0</v>
      </c>
      <c r="K164" s="113">
        <f t="shared" si="10"/>
        <v>299047.08249496983</v>
      </c>
    </row>
    <row r="165" spans="1:11" x14ac:dyDescent="0.25">
      <c r="A165" s="49">
        <f>'A) Base RI'!A163</f>
        <v>5661</v>
      </c>
      <c r="B165" s="288" t="str">
        <f>'A) Base RI'!B163</f>
        <v>Boulens</v>
      </c>
      <c r="C165" s="10">
        <f>'A) Base RI'!V163</f>
        <v>371</v>
      </c>
      <c r="D165" s="10">
        <f t="shared" si="8"/>
        <v>371</v>
      </c>
      <c r="E165" s="411">
        <f t="shared" si="11"/>
        <v>0</v>
      </c>
      <c r="F165" s="10">
        <f t="shared" si="11"/>
        <v>0</v>
      </c>
      <c r="G165" s="411">
        <f t="shared" si="11"/>
        <v>0</v>
      </c>
      <c r="H165" s="41">
        <f t="shared" si="11"/>
        <v>0</v>
      </c>
      <c r="I165" s="10">
        <f t="shared" si="11"/>
        <v>0</v>
      </c>
      <c r="J165" s="10">
        <f t="shared" si="9"/>
        <v>0</v>
      </c>
      <c r="K165" s="113">
        <f t="shared" si="10"/>
        <v>46281.690140845065</v>
      </c>
    </row>
    <row r="166" spans="1:11" x14ac:dyDescent="0.25">
      <c r="A166" s="49">
        <f>'A) Base RI'!A164</f>
        <v>5663</v>
      </c>
      <c r="B166" s="288" t="str">
        <f>'A) Base RI'!B164</f>
        <v>Bussy-sur-Moudon</v>
      </c>
      <c r="C166" s="10">
        <f>'A) Base RI'!V164</f>
        <v>236</v>
      </c>
      <c r="D166" s="10">
        <f t="shared" si="8"/>
        <v>236</v>
      </c>
      <c r="E166" s="411">
        <f t="shared" si="11"/>
        <v>0</v>
      </c>
      <c r="F166" s="10">
        <f t="shared" si="11"/>
        <v>0</v>
      </c>
      <c r="G166" s="411">
        <f t="shared" si="11"/>
        <v>0</v>
      </c>
      <c r="H166" s="41">
        <f t="shared" si="11"/>
        <v>0</v>
      </c>
      <c r="I166" s="10">
        <f t="shared" si="11"/>
        <v>0</v>
      </c>
      <c r="J166" s="10">
        <f t="shared" si="9"/>
        <v>0</v>
      </c>
      <c r="K166" s="113">
        <f t="shared" si="10"/>
        <v>29440.643863179073</v>
      </c>
    </row>
    <row r="167" spans="1:11" x14ac:dyDescent="0.25">
      <c r="A167" s="49">
        <f>'A) Base RI'!A165</f>
        <v>5665</v>
      </c>
      <c r="B167" s="288" t="str">
        <f>'A) Base RI'!B165</f>
        <v>Chavannes-sur-Moudon</v>
      </c>
      <c r="C167" s="10">
        <f>'A) Base RI'!V165</f>
        <v>222</v>
      </c>
      <c r="D167" s="10">
        <f t="shared" si="8"/>
        <v>222</v>
      </c>
      <c r="E167" s="411">
        <f t="shared" si="11"/>
        <v>0</v>
      </c>
      <c r="F167" s="10">
        <f t="shared" si="11"/>
        <v>0</v>
      </c>
      <c r="G167" s="411">
        <f t="shared" si="11"/>
        <v>0</v>
      </c>
      <c r="H167" s="41">
        <f t="shared" si="11"/>
        <v>0</v>
      </c>
      <c r="I167" s="10">
        <f t="shared" si="11"/>
        <v>0</v>
      </c>
      <c r="J167" s="10">
        <f t="shared" si="9"/>
        <v>0</v>
      </c>
      <c r="K167" s="113">
        <f t="shared" si="10"/>
        <v>27694.164989939636</v>
      </c>
    </row>
    <row r="168" spans="1:11" x14ac:dyDescent="0.25">
      <c r="A168" s="49">
        <f>'A) Base RI'!A166</f>
        <v>5669</v>
      </c>
      <c r="B168" s="288" t="str">
        <f>'A) Base RI'!B166</f>
        <v>Curtilles</v>
      </c>
      <c r="C168" s="10">
        <f>'A) Base RI'!V166</f>
        <v>296</v>
      </c>
      <c r="D168" s="10">
        <f t="shared" si="8"/>
        <v>296</v>
      </c>
      <c r="E168" s="411">
        <f t="shared" si="11"/>
        <v>0</v>
      </c>
      <c r="F168" s="10">
        <f t="shared" si="11"/>
        <v>0</v>
      </c>
      <c r="G168" s="411">
        <f t="shared" si="11"/>
        <v>0</v>
      </c>
      <c r="H168" s="41">
        <f t="shared" si="11"/>
        <v>0</v>
      </c>
      <c r="I168" s="10">
        <f t="shared" si="11"/>
        <v>0</v>
      </c>
      <c r="J168" s="10">
        <f t="shared" si="9"/>
        <v>0</v>
      </c>
      <c r="K168" s="113">
        <f t="shared" si="10"/>
        <v>36925.553319919512</v>
      </c>
    </row>
    <row r="169" spans="1:11" x14ac:dyDescent="0.25">
      <c r="A169" s="49">
        <f>'A) Base RI'!A167</f>
        <v>5671</v>
      </c>
      <c r="B169" s="288" t="str">
        <f>'A) Base RI'!B167</f>
        <v>Dompierre</v>
      </c>
      <c r="C169" s="10">
        <f>'A) Base RI'!V167</f>
        <v>246</v>
      </c>
      <c r="D169" s="10">
        <f t="shared" si="8"/>
        <v>246</v>
      </c>
      <c r="E169" s="411">
        <f t="shared" si="11"/>
        <v>0</v>
      </c>
      <c r="F169" s="10">
        <f t="shared" si="11"/>
        <v>0</v>
      </c>
      <c r="G169" s="411">
        <f t="shared" si="11"/>
        <v>0</v>
      </c>
      <c r="H169" s="41">
        <f t="shared" si="11"/>
        <v>0</v>
      </c>
      <c r="I169" s="10">
        <f t="shared" si="11"/>
        <v>0</v>
      </c>
      <c r="J169" s="10">
        <f t="shared" si="9"/>
        <v>0</v>
      </c>
      <c r="K169" s="113">
        <f t="shared" si="10"/>
        <v>30688.128772635813</v>
      </c>
    </row>
    <row r="170" spans="1:11" x14ac:dyDescent="0.25">
      <c r="A170" s="49">
        <f>'A) Base RI'!A168</f>
        <v>5673</v>
      </c>
      <c r="B170" s="288" t="str">
        <f>'A) Base RI'!B168</f>
        <v>Hermenches</v>
      </c>
      <c r="C170" s="10">
        <f>'A) Base RI'!V168</f>
        <v>371</v>
      </c>
      <c r="D170" s="10">
        <f t="shared" si="8"/>
        <v>371</v>
      </c>
      <c r="E170" s="411">
        <f t="shared" si="11"/>
        <v>0</v>
      </c>
      <c r="F170" s="10">
        <f t="shared" si="11"/>
        <v>0</v>
      </c>
      <c r="G170" s="411">
        <f t="shared" si="11"/>
        <v>0</v>
      </c>
      <c r="H170" s="41">
        <f t="shared" si="11"/>
        <v>0</v>
      </c>
      <c r="I170" s="10">
        <f t="shared" si="11"/>
        <v>0</v>
      </c>
      <c r="J170" s="10">
        <f t="shared" si="9"/>
        <v>0</v>
      </c>
      <c r="K170" s="113">
        <f t="shared" si="10"/>
        <v>46281.690140845065</v>
      </c>
    </row>
    <row r="171" spans="1:11" x14ac:dyDescent="0.25">
      <c r="A171" s="49">
        <f>'A) Base RI'!A169</f>
        <v>5674</v>
      </c>
      <c r="B171" s="288" t="str">
        <f>'A) Base RI'!B169</f>
        <v>Lovatens</v>
      </c>
      <c r="C171" s="10">
        <f>'A) Base RI'!V169</f>
        <v>146</v>
      </c>
      <c r="D171" s="10">
        <f t="shared" ref="D171:D234" si="12">IF($C171&gt;D$5,IF($C171&lt;D$6,$C171-D$5,D$6-D$5),0)</f>
        <v>146</v>
      </c>
      <c r="E171" s="411">
        <f t="shared" si="11"/>
        <v>0</v>
      </c>
      <c r="F171" s="10">
        <f t="shared" si="11"/>
        <v>0</v>
      </c>
      <c r="G171" s="411">
        <f t="shared" si="11"/>
        <v>0</v>
      </c>
      <c r="H171" s="41">
        <f t="shared" si="11"/>
        <v>0</v>
      </c>
      <c r="I171" s="10">
        <f t="shared" si="11"/>
        <v>0</v>
      </c>
      <c r="J171" s="10">
        <f t="shared" si="9"/>
        <v>0</v>
      </c>
      <c r="K171" s="113">
        <f t="shared" si="10"/>
        <v>18213.279678068408</v>
      </c>
    </row>
    <row r="172" spans="1:11" x14ac:dyDescent="0.25">
      <c r="A172" s="49">
        <f>'A) Base RI'!A170</f>
        <v>5675</v>
      </c>
      <c r="B172" s="288" t="str">
        <f>'A) Base RI'!B170</f>
        <v>Lucens</v>
      </c>
      <c r="C172" s="10">
        <f>'A) Base RI'!V170</f>
        <v>4373</v>
      </c>
      <c r="D172" s="10">
        <f t="shared" si="12"/>
        <v>1000</v>
      </c>
      <c r="E172" s="411">
        <f t="shared" si="11"/>
        <v>2000</v>
      </c>
      <c r="F172" s="10">
        <f t="shared" si="11"/>
        <v>1373</v>
      </c>
      <c r="G172" s="411">
        <f t="shared" si="11"/>
        <v>0</v>
      </c>
      <c r="H172" s="41">
        <f t="shared" si="11"/>
        <v>0</v>
      </c>
      <c r="I172" s="10">
        <f t="shared" si="11"/>
        <v>0</v>
      </c>
      <c r="J172" s="10">
        <f t="shared" si="9"/>
        <v>0</v>
      </c>
      <c r="K172" s="113">
        <f t="shared" si="10"/>
        <v>1508458.7525150904</v>
      </c>
    </row>
    <row r="173" spans="1:11" x14ac:dyDescent="0.25">
      <c r="A173" s="49">
        <f>'A) Base RI'!A171</f>
        <v>5678</v>
      </c>
      <c r="B173" s="288" t="str">
        <f>'A) Base RI'!B171</f>
        <v>Moudon</v>
      </c>
      <c r="C173" s="10">
        <f>'A) Base RI'!V171</f>
        <v>6120</v>
      </c>
      <c r="D173" s="10">
        <f t="shared" si="12"/>
        <v>1000</v>
      </c>
      <c r="E173" s="411">
        <f t="shared" si="11"/>
        <v>2000</v>
      </c>
      <c r="F173" s="10">
        <f t="shared" si="11"/>
        <v>2000</v>
      </c>
      <c r="G173" s="411">
        <f t="shared" si="11"/>
        <v>1120</v>
      </c>
      <c r="H173" s="41">
        <f t="shared" si="11"/>
        <v>0</v>
      </c>
      <c r="I173" s="10">
        <f t="shared" si="11"/>
        <v>0</v>
      </c>
      <c r="J173" s="10">
        <f t="shared" si="9"/>
        <v>0</v>
      </c>
      <c r="K173" s="113">
        <f t="shared" si="10"/>
        <v>2491975.8551307842</v>
      </c>
    </row>
    <row r="174" spans="1:11" x14ac:dyDescent="0.25">
      <c r="A174" s="49">
        <f>'A) Base RI'!A172</f>
        <v>5680</v>
      </c>
      <c r="B174" s="288" t="str">
        <f>'A) Base RI'!B172</f>
        <v>Ogens</v>
      </c>
      <c r="C174" s="10">
        <f>'A) Base RI'!V172</f>
        <v>321</v>
      </c>
      <c r="D174" s="10">
        <f t="shared" si="12"/>
        <v>321</v>
      </c>
      <c r="E174" s="411">
        <f t="shared" si="11"/>
        <v>0</v>
      </c>
      <c r="F174" s="10">
        <f t="shared" si="11"/>
        <v>0</v>
      </c>
      <c r="G174" s="411">
        <f t="shared" si="11"/>
        <v>0</v>
      </c>
      <c r="H174" s="41">
        <f t="shared" si="11"/>
        <v>0</v>
      </c>
      <c r="I174" s="10">
        <f t="shared" si="11"/>
        <v>0</v>
      </c>
      <c r="J174" s="10">
        <f t="shared" si="9"/>
        <v>0</v>
      </c>
      <c r="K174" s="113">
        <f t="shared" si="10"/>
        <v>40044.265593561366</v>
      </c>
    </row>
    <row r="175" spans="1:11" x14ac:dyDescent="0.25">
      <c r="A175" s="49">
        <f>'A) Base RI'!A173</f>
        <v>5683</v>
      </c>
      <c r="B175" s="288" t="str">
        <f>'A) Base RI'!B173</f>
        <v>Prévonloup</v>
      </c>
      <c r="C175" s="10">
        <f>'A) Base RI'!V173</f>
        <v>215</v>
      </c>
      <c r="D175" s="10">
        <f t="shared" si="12"/>
        <v>215</v>
      </c>
      <c r="E175" s="411">
        <f t="shared" si="11"/>
        <v>0</v>
      </c>
      <c r="F175" s="10">
        <f t="shared" si="11"/>
        <v>0</v>
      </c>
      <c r="G175" s="411">
        <f t="shared" si="11"/>
        <v>0</v>
      </c>
      <c r="H175" s="41">
        <f t="shared" si="11"/>
        <v>0</v>
      </c>
      <c r="I175" s="10">
        <f t="shared" si="11"/>
        <v>0</v>
      </c>
      <c r="J175" s="10">
        <f t="shared" si="9"/>
        <v>0</v>
      </c>
      <c r="K175" s="113">
        <f t="shared" si="10"/>
        <v>26820.925553319918</v>
      </c>
    </row>
    <row r="176" spans="1:11" x14ac:dyDescent="0.25">
      <c r="A176" s="49">
        <f>'A) Base RI'!A174</f>
        <v>5684</v>
      </c>
      <c r="B176" s="288" t="str">
        <f>'A) Base RI'!B174</f>
        <v>Rossenges</v>
      </c>
      <c r="C176" s="10">
        <f>'A) Base RI'!V174</f>
        <v>93</v>
      </c>
      <c r="D176" s="10">
        <f t="shared" si="12"/>
        <v>93</v>
      </c>
      <c r="E176" s="411">
        <f t="shared" si="11"/>
        <v>0</v>
      </c>
      <c r="F176" s="10">
        <f t="shared" si="11"/>
        <v>0</v>
      </c>
      <c r="G176" s="411">
        <f t="shared" si="11"/>
        <v>0</v>
      </c>
      <c r="H176" s="41">
        <f t="shared" si="11"/>
        <v>0</v>
      </c>
      <c r="I176" s="10">
        <f t="shared" si="11"/>
        <v>0</v>
      </c>
      <c r="J176" s="10">
        <f t="shared" si="9"/>
        <v>0</v>
      </c>
      <c r="K176" s="113">
        <f t="shared" si="10"/>
        <v>11601.609657947685</v>
      </c>
    </row>
    <row r="177" spans="1:11" x14ac:dyDescent="0.25">
      <c r="A177" s="49">
        <f>'A) Base RI'!A175</f>
        <v>5688</v>
      </c>
      <c r="B177" s="288" t="str">
        <f>'A) Base RI'!B175</f>
        <v>Syens</v>
      </c>
      <c r="C177" s="10">
        <f>'A) Base RI'!V175</f>
        <v>161</v>
      </c>
      <c r="D177" s="10">
        <f t="shared" si="12"/>
        <v>161</v>
      </c>
      <c r="E177" s="411">
        <f t="shared" si="11"/>
        <v>0</v>
      </c>
      <c r="F177" s="10">
        <f t="shared" si="11"/>
        <v>0</v>
      </c>
      <c r="G177" s="411">
        <f t="shared" si="11"/>
        <v>0</v>
      </c>
      <c r="H177" s="41">
        <f t="shared" si="11"/>
        <v>0</v>
      </c>
      <c r="I177" s="10">
        <f t="shared" si="11"/>
        <v>0</v>
      </c>
      <c r="J177" s="10">
        <f t="shared" si="9"/>
        <v>0</v>
      </c>
      <c r="K177" s="113">
        <f t="shared" si="10"/>
        <v>20084.507042253521</v>
      </c>
    </row>
    <row r="178" spans="1:11" x14ac:dyDescent="0.25">
      <c r="A178" s="49">
        <f>'A) Base RI'!A176</f>
        <v>5690</v>
      </c>
      <c r="B178" s="288" t="str">
        <f>'A) Base RI'!B176</f>
        <v>Villars-le-Comte</v>
      </c>
      <c r="C178" s="10">
        <f>'A) Base RI'!V176</f>
        <v>133</v>
      </c>
      <c r="D178" s="10">
        <f t="shared" si="12"/>
        <v>133</v>
      </c>
      <c r="E178" s="411">
        <f t="shared" si="11"/>
        <v>0</v>
      </c>
      <c r="F178" s="10">
        <f t="shared" si="11"/>
        <v>0</v>
      </c>
      <c r="G178" s="411">
        <f t="shared" si="11"/>
        <v>0</v>
      </c>
      <c r="H178" s="41">
        <f t="shared" si="11"/>
        <v>0</v>
      </c>
      <c r="I178" s="10">
        <f t="shared" si="11"/>
        <v>0</v>
      </c>
      <c r="J178" s="10">
        <f t="shared" si="9"/>
        <v>0</v>
      </c>
      <c r="K178" s="113">
        <f t="shared" si="10"/>
        <v>16591.549295774646</v>
      </c>
    </row>
    <row r="179" spans="1:11" x14ac:dyDescent="0.25">
      <c r="A179" s="49">
        <f>'A) Base RI'!A177</f>
        <v>5692</v>
      </c>
      <c r="B179" s="288" t="str">
        <f>'A) Base RI'!B177</f>
        <v>Vucherens</v>
      </c>
      <c r="C179" s="10">
        <f>'A) Base RI'!V177</f>
        <v>623</v>
      </c>
      <c r="D179" s="10">
        <f t="shared" si="12"/>
        <v>623</v>
      </c>
      <c r="E179" s="411">
        <f t="shared" si="11"/>
        <v>0</v>
      </c>
      <c r="F179" s="10">
        <f t="shared" si="11"/>
        <v>0</v>
      </c>
      <c r="G179" s="411">
        <f t="shared" si="11"/>
        <v>0</v>
      </c>
      <c r="H179" s="41">
        <f t="shared" si="11"/>
        <v>0</v>
      </c>
      <c r="I179" s="10">
        <f t="shared" si="11"/>
        <v>0</v>
      </c>
      <c r="J179" s="10">
        <f t="shared" si="9"/>
        <v>0</v>
      </c>
      <c r="K179" s="113">
        <f t="shared" si="10"/>
        <v>77718.309859154921</v>
      </c>
    </row>
    <row r="180" spans="1:11" x14ac:dyDescent="0.25">
      <c r="A180" s="49">
        <f>'A) Base RI'!A178</f>
        <v>5693</v>
      </c>
      <c r="B180" s="288" t="str">
        <f>'A) Base RI'!B178</f>
        <v>Montanaire</v>
      </c>
      <c r="C180" s="10">
        <f>'A) Base RI'!V178</f>
        <v>2768</v>
      </c>
      <c r="D180" s="10">
        <f t="shared" si="12"/>
        <v>1000</v>
      </c>
      <c r="E180" s="411">
        <f t="shared" si="11"/>
        <v>1768</v>
      </c>
      <c r="F180" s="10">
        <f t="shared" si="11"/>
        <v>0</v>
      </c>
      <c r="G180" s="411">
        <f t="shared" si="11"/>
        <v>0</v>
      </c>
      <c r="H180" s="41">
        <f t="shared" si="11"/>
        <v>0</v>
      </c>
      <c r="I180" s="10">
        <f t="shared" si="11"/>
        <v>0</v>
      </c>
      <c r="J180" s="10">
        <f t="shared" si="9"/>
        <v>0</v>
      </c>
      <c r="K180" s="113">
        <f t="shared" si="10"/>
        <v>742303.42052313872</v>
      </c>
    </row>
    <row r="181" spans="1:11" x14ac:dyDescent="0.25">
      <c r="A181" s="49">
        <f>'A) Base RI'!A179</f>
        <v>5701</v>
      </c>
      <c r="B181" s="288" t="str">
        <f>'A) Base RI'!B179</f>
        <v>Arnex-sur-Nyon</v>
      </c>
      <c r="C181" s="10">
        <f>'A) Base RI'!V179</f>
        <v>226</v>
      </c>
      <c r="D181" s="10">
        <f t="shared" si="12"/>
        <v>226</v>
      </c>
      <c r="E181" s="411">
        <f t="shared" si="11"/>
        <v>0</v>
      </c>
      <c r="F181" s="10">
        <f t="shared" si="11"/>
        <v>0</v>
      </c>
      <c r="G181" s="411">
        <f t="shared" si="11"/>
        <v>0</v>
      </c>
      <c r="H181" s="41">
        <f t="shared" si="11"/>
        <v>0</v>
      </c>
      <c r="I181" s="10">
        <f t="shared" si="11"/>
        <v>0</v>
      </c>
      <c r="J181" s="10">
        <f t="shared" si="9"/>
        <v>0</v>
      </c>
      <c r="K181" s="113">
        <f t="shared" si="10"/>
        <v>28193.158953722334</v>
      </c>
    </row>
    <row r="182" spans="1:11" x14ac:dyDescent="0.25">
      <c r="A182" s="49">
        <f>'A) Base RI'!A180</f>
        <v>5702</v>
      </c>
      <c r="B182" s="288" t="str">
        <f>'A) Base RI'!B180</f>
        <v>Arzier-Le Muids</v>
      </c>
      <c r="C182" s="10">
        <f>'A) Base RI'!V180</f>
        <v>2947</v>
      </c>
      <c r="D182" s="10">
        <f t="shared" si="12"/>
        <v>1000</v>
      </c>
      <c r="E182" s="411">
        <f t="shared" si="11"/>
        <v>1947</v>
      </c>
      <c r="F182" s="10">
        <f t="shared" si="11"/>
        <v>0</v>
      </c>
      <c r="G182" s="411">
        <f t="shared" si="11"/>
        <v>0</v>
      </c>
      <c r="H182" s="41">
        <f t="shared" si="11"/>
        <v>0</v>
      </c>
      <c r="I182" s="10">
        <f t="shared" si="11"/>
        <v>0</v>
      </c>
      <c r="J182" s="10">
        <f t="shared" si="9"/>
        <v>0</v>
      </c>
      <c r="K182" s="113">
        <f t="shared" si="10"/>
        <v>804827.36418511055</v>
      </c>
    </row>
    <row r="183" spans="1:11" x14ac:dyDescent="0.25">
      <c r="A183" s="49">
        <f>'A) Base RI'!A181</f>
        <v>5703</v>
      </c>
      <c r="B183" s="288" t="str">
        <f>'A) Base RI'!B181</f>
        <v>Bassins</v>
      </c>
      <c r="C183" s="10">
        <f>'A) Base RI'!V181</f>
        <v>1487</v>
      </c>
      <c r="D183" s="10">
        <f t="shared" si="12"/>
        <v>1000</v>
      </c>
      <c r="E183" s="411">
        <f t="shared" si="11"/>
        <v>487</v>
      </c>
      <c r="F183" s="10">
        <f t="shared" si="11"/>
        <v>0</v>
      </c>
      <c r="G183" s="411">
        <f t="shared" si="11"/>
        <v>0</v>
      </c>
      <c r="H183" s="41">
        <f t="shared" si="11"/>
        <v>0</v>
      </c>
      <c r="I183" s="10">
        <f t="shared" si="11"/>
        <v>0</v>
      </c>
      <c r="J183" s="10">
        <f t="shared" si="9"/>
        <v>0</v>
      </c>
      <c r="K183" s="113">
        <f t="shared" si="10"/>
        <v>294855.53319919517</v>
      </c>
    </row>
    <row r="184" spans="1:11" x14ac:dyDescent="0.25">
      <c r="A184" s="49">
        <f>'A) Base RI'!A182</f>
        <v>5704</v>
      </c>
      <c r="B184" s="288" t="str">
        <f>'A) Base RI'!B182</f>
        <v>Begnins</v>
      </c>
      <c r="C184" s="10">
        <f>'A) Base RI'!V182</f>
        <v>1941</v>
      </c>
      <c r="D184" s="10">
        <f t="shared" si="12"/>
        <v>1000</v>
      </c>
      <c r="E184" s="411">
        <f t="shared" si="11"/>
        <v>941</v>
      </c>
      <c r="F184" s="10">
        <f t="shared" si="11"/>
        <v>0</v>
      </c>
      <c r="G184" s="411">
        <f t="shared" si="11"/>
        <v>0</v>
      </c>
      <c r="H184" s="41">
        <f t="shared" si="11"/>
        <v>0</v>
      </c>
      <c r="I184" s="10">
        <f t="shared" si="11"/>
        <v>0</v>
      </c>
      <c r="J184" s="10">
        <f t="shared" si="9"/>
        <v>0</v>
      </c>
      <c r="K184" s="113">
        <f t="shared" si="10"/>
        <v>453435.814889336</v>
      </c>
    </row>
    <row r="185" spans="1:11" x14ac:dyDescent="0.25">
      <c r="A185" s="49">
        <f>'A) Base RI'!A183</f>
        <v>5705</v>
      </c>
      <c r="B185" s="288" t="str">
        <f>'A) Base RI'!B183</f>
        <v>Bogis-Bossey</v>
      </c>
      <c r="C185" s="10">
        <f>'A) Base RI'!V183</f>
        <v>888</v>
      </c>
      <c r="D185" s="10">
        <f t="shared" si="12"/>
        <v>888</v>
      </c>
      <c r="E185" s="411">
        <f t="shared" si="11"/>
        <v>0</v>
      </c>
      <c r="F185" s="10">
        <f t="shared" si="11"/>
        <v>0</v>
      </c>
      <c r="G185" s="411">
        <f t="shared" si="11"/>
        <v>0</v>
      </c>
      <c r="H185" s="41">
        <f t="shared" si="11"/>
        <v>0</v>
      </c>
      <c r="I185" s="10">
        <f t="shared" si="11"/>
        <v>0</v>
      </c>
      <c r="J185" s="10">
        <f t="shared" si="9"/>
        <v>0</v>
      </c>
      <c r="K185" s="113">
        <f t="shared" si="10"/>
        <v>110776.65995975854</v>
      </c>
    </row>
    <row r="186" spans="1:11" x14ac:dyDescent="0.25">
      <c r="A186" s="49">
        <f>'A) Base RI'!A184</f>
        <v>5706</v>
      </c>
      <c r="B186" s="288" t="str">
        <f>'A) Base RI'!B184</f>
        <v>Borex</v>
      </c>
      <c r="C186" s="10">
        <f>'A) Base RI'!V184</f>
        <v>1165</v>
      </c>
      <c r="D186" s="10">
        <f t="shared" si="12"/>
        <v>1000</v>
      </c>
      <c r="E186" s="411">
        <f t="shared" si="11"/>
        <v>165</v>
      </c>
      <c r="F186" s="10">
        <f t="shared" si="11"/>
        <v>0</v>
      </c>
      <c r="G186" s="411">
        <f t="shared" si="11"/>
        <v>0</v>
      </c>
      <c r="H186" s="41">
        <f t="shared" si="11"/>
        <v>0</v>
      </c>
      <c r="I186" s="10">
        <f t="shared" si="11"/>
        <v>0</v>
      </c>
      <c r="J186" s="10">
        <f t="shared" si="9"/>
        <v>0</v>
      </c>
      <c r="K186" s="113">
        <f t="shared" si="10"/>
        <v>182382.29376257546</v>
      </c>
    </row>
    <row r="187" spans="1:11" x14ac:dyDescent="0.25">
      <c r="A187" s="49">
        <f>'A) Base RI'!A185</f>
        <v>5707</v>
      </c>
      <c r="B187" s="288" t="str">
        <f>'A) Base RI'!B185</f>
        <v>Chavannes-de-Bogis</v>
      </c>
      <c r="C187" s="10">
        <f>'A) Base RI'!V185</f>
        <v>1330</v>
      </c>
      <c r="D187" s="10">
        <f t="shared" si="12"/>
        <v>1000</v>
      </c>
      <c r="E187" s="411">
        <f t="shared" si="11"/>
        <v>330</v>
      </c>
      <c r="F187" s="10">
        <f t="shared" si="11"/>
        <v>0</v>
      </c>
      <c r="G187" s="411">
        <f t="shared" si="11"/>
        <v>0</v>
      </c>
      <c r="H187" s="41">
        <f t="shared" si="11"/>
        <v>0</v>
      </c>
      <c r="I187" s="10">
        <f t="shared" si="11"/>
        <v>0</v>
      </c>
      <c r="J187" s="10">
        <f t="shared" si="9"/>
        <v>0</v>
      </c>
      <c r="K187" s="113">
        <f t="shared" si="10"/>
        <v>240016.09657947684</v>
      </c>
    </row>
    <row r="188" spans="1:11" x14ac:dyDescent="0.25">
      <c r="A188" s="49">
        <f>'A) Base RI'!A186</f>
        <v>5708</v>
      </c>
      <c r="B188" s="288" t="str">
        <f>'A) Base RI'!B186</f>
        <v>Chavannes-des-Bois</v>
      </c>
      <c r="C188" s="10">
        <f>'A) Base RI'!V186</f>
        <v>1005</v>
      </c>
      <c r="D188" s="10">
        <f t="shared" si="12"/>
        <v>1000</v>
      </c>
      <c r="E188" s="411">
        <f t="shared" si="11"/>
        <v>5</v>
      </c>
      <c r="F188" s="10">
        <f t="shared" si="11"/>
        <v>0</v>
      </c>
      <c r="G188" s="411">
        <f t="shared" si="11"/>
        <v>0</v>
      </c>
      <c r="H188" s="41">
        <f t="shared" si="11"/>
        <v>0</v>
      </c>
      <c r="I188" s="10">
        <f t="shared" si="11"/>
        <v>0</v>
      </c>
      <c r="J188" s="10">
        <f t="shared" si="9"/>
        <v>0</v>
      </c>
      <c r="K188" s="113">
        <f t="shared" si="10"/>
        <v>126494.96981891348</v>
      </c>
    </row>
    <row r="189" spans="1:11" x14ac:dyDescent="0.25">
      <c r="A189" s="49">
        <f>'A) Base RI'!A187</f>
        <v>5709</v>
      </c>
      <c r="B189" s="288" t="str">
        <f>'A) Base RI'!B187</f>
        <v>Chéserex</v>
      </c>
      <c r="C189" s="10">
        <f>'A) Base RI'!V187</f>
        <v>1263</v>
      </c>
      <c r="D189" s="10">
        <f t="shared" si="12"/>
        <v>1000</v>
      </c>
      <c r="E189" s="411">
        <f t="shared" si="11"/>
        <v>263</v>
      </c>
      <c r="F189" s="10">
        <f t="shared" si="11"/>
        <v>0</v>
      </c>
      <c r="G189" s="411">
        <f t="shared" si="11"/>
        <v>0</v>
      </c>
      <c r="H189" s="41">
        <f t="shared" si="11"/>
        <v>0</v>
      </c>
      <c r="I189" s="10">
        <f t="shared" si="11"/>
        <v>0</v>
      </c>
      <c r="J189" s="10">
        <f t="shared" si="9"/>
        <v>0</v>
      </c>
      <c r="K189" s="113">
        <f t="shared" si="10"/>
        <v>216613.27967806841</v>
      </c>
    </row>
    <row r="190" spans="1:11" x14ac:dyDescent="0.25">
      <c r="A190" s="49">
        <f>'A) Base RI'!A188</f>
        <v>5710</v>
      </c>
      <c r="B190" s="288" t="str">
        <f>'A) Base RI'!B188</f>
        <v>Coinsins</v>
      </c>
      <c r="C190" s="10">
        <f>'A) Base RI'!V188</f>
        <v>508</v>
      </c>
      <c r="D190" s="10">
        <f t="shared" si="12"/>
        <v>508</v>
      </c>
      <c r="E190" s="411">
        <f t="shared" si="11"/>
        <v>0</v>
      </c>
      <c r="F190" s="10">
        <f t="shared" si="11"/>
        <v>0</v>
      </c>
      <c r="G190" s="411">
        <f t="shared" si="11"/>
        <v>0</v>
      </c>
      <c r="H190" s="41">
        <f t="shared" si="11"/>
        <v>0</v>
      </c>
      <c r="I190" s="10">
        <f t="shared" si="11"/>
        <v>0</v>
      </c>
      <c r="J190" s="10">
        <f t="shared" si="9"/>
        <v>0</v>
      </c>
      <c r="K190" s="113">
        <f t="shared" si="10"/>
        <v>63372.233400402409</v>
      </c>
    </row>
    <row r="191" spans="1:11" x14ac:dyDescent="0.25">
      <c r="A191" s="49">
        <f>'A) Base RI'!A189</f>
        <v>5711</v>
      </c>
      <c r="B191" s="288" t="str">
        <f>'A) Base RI'!B189</f>
        <v>Commugny</v>
      </c>
      <c r="C191" s="10">
        <f>'A) Base RI'!V189</f>
        <v>3001</v>
      </c>
      <c r="D191" s="10">
        <f t="shared" si="12"/>
        <v>1000</v>
      </c>
      <c r="E191" s="411">
        <f t="shared" si="11"/>
        <v>2000</v>
      </c>
      <c r="F191" s="10">
        <f t="shared" si="11"/>
        <v>1</v>
      </c>
      <c r="G191" s="411">
        <f t="shared" si="11"/>
        <v>0</v>
      </c>
      <c r="H191" s="41">
        <f t="shared" si="11"/>
        <v>0</v>
      </c>
      <c r="I191" s="10">
        <f t="shared" si="11"/>
        <v>0</v>
      </c>
      <c r="J191" s="10">
        <f t="shared" si="9"/>
        <v>0</v>
      </c>
      <c r="K191" s="113">
        <f t="shared" si="10"/>
        <v>823839.03420523123</v>
      </c>
    </row>
    <row r="192" spans="1:11" x14ac:dyDescent="0.25">
      <c r="A192" s="49">
        <f>'A) Base RI'!A190</f>
        <v>5712</v>
      </c>
      <c r="B192" s="288" t="str">
        <f>'A) Base RI'!B190</f>
        <v>Coppet</v>
      </c>
      <c r="C192" s="10">
        <f>'A) Base RI'!V190</f>
        <v>3211</v>
      </c>
      <c r="D192" s="10">
        <f t="shared" si="12"/>
        <v>1000</v>
      </c>
      <c r="E192" s="411">
        <f t="shared" si="11"/>
        <v>2000</v>
      </c>
      <c r="F192" s="10">
        <f t="shared" si="11"/>
        <v>211</v>
      </c>
      <c r="G192" s="411">
        <f t="shared" si="11"/>
        <v>0</v>
      </c>
      <c r="H192" s="41">
        <f t="shared" si="11"/>
        <v>0</v>
      </c>
      <c r="I192" s="10">
        <f t="shared" si="11"/>
        <v>0</v>
      </c>
      <c r="J192" s="10">
        <f t="shared" si="9"/>
        <v>0</v>
      </c>
      <c r="K192" s="113">
        <f t="shared" si="10"/>
        <v>928627.76659959741</v>
      </c>
    </row>
    <row r="193" spans="1:11" x14ac:dyDescent="0.25">
      <c r="A193" s="49">
        <f>'A) Base RI'!A191</f>
        <v>5713</v>
      </c>
      <c r="B193" s="288" t="str">
        <f>'A) Base RI'!B191</f>
        <v>Crans</v>
      </c>
      <c r="C193" s="10">
        <f>'A) Base RI'!V191</f>
        <v>2373</v>
      </c>
      <c r="D193" s="10">
        <f t="shared" si="12"/>
        <v>1000</v>
      </c>
      <c r="E193" s="411">
        <f t="shared" si="11"/>
        <v>1373</v>
      </c>
      <c r="F193" s="10">
        <f t="shared" si="11"/>
        <v>0</v>
      </c>
      <c r="G193" s="411">
        <f t="shared" si="11"/>
        <v>0</v>
      </c>
      <c r="H193" s="41">
        <f t="shared" si="11"/>
        <v>0</v>
      </c>
      <c r="I193" s="10">
        <f t="shared" si="11"/>
        <v>0</v>
      </c>
      <c r="J193" s="10">
        <f t="shared" si="9"/>
        <v>0</v>
      </c>
      <c r="K193" s="113">
        <f t="shared" si="10"/>
        <v>604331.58953722334</v>
      </c>
    </row>
    <row r="194" spans="1:11" x14ac:dyDescent="0.25">
      <c r="A194" s="49">
        <f>'A) Base RI'!A192</f>
        <v>5714</v>
      </c>
      <c r="B194" s="288" t="str">
        <f>'A) Base RI'!B192</f>
        <v>Crassier</v>
      </c>
      <c r="C194" s="10">
        <f>'A) Base RI'!V192</f>
        <v>1228</v>
      </c>
      <c r="D194" s="10">
        <f t="shared" si="12"/>
        <v>1000</v>
      </c>
      <c r="E194" s="411">
        <f t="shared" si="11"/>
        <v>228</v>
      </c>
      <c r="F194" s="10">
        <f t="shared" si="11"/>
        <v>0</v>
      </c>
      <c r="G194" s="411">
        <f t="shared" si="11"/>
        <v>0</v>
      </c>
      <c r="H194" s="41">
        <f t="shared" si="11"/>
        <v>0</v>
      </c>
      <c r="I194" s="10">
        <f t="shared" si="11"/>
        <v>0</v>
      </c>
      <c r="J194" s="10">
        <f t="shared" si="9"/>
        <v>0</v>
      </c>
      <c r="K194" s="113">
        <f t="shared" si="10"/>
        <v>204387.92756539234</v>
      </c>
    </row>
    <row r="195" spans="1:11" x14ac:dyDescent="0.25">
      <c r="A195" s="49">
        <f>'A) Base RI'!A193</f>
        <v>5715</v>
      </c>
      <c r="B195" s="288" t="str">
        <f>'A) Base RI'!B193</f>
        <v>Duillier</v>
      </c>
      <c r="C195" s="10">
        <f>'A) Base RI'!V193</f>
        <v>1146</v>
      </c>
      <c r="D195" s="10">
        <f t="shared" si="12"/>
        <v>1000</v>
      </c>
      <c r="E195" s="411">
        <f t="shared" si="11"/>
        <v>146</v>
      </c>
      <c r="F195" s="10">
        <f t="shared" si="11"/>
        <v>0</v>
      </c>
      <c r="G195" s="411">
        <f t="shared" si="11"/>
        <v>0</v>
      </c>
      <c r="H195" s="41">
        <f t="shared" si="11"/>
        <v>0</v>
      </c>
      <c r="I195" s="10">
        <f t="shared" si="11"/>
        <v>0</v>
      </c>
      <c r="J195" s="10">
        <f t="shared" si="9"/>
        <v>0</v>
      </c>
      <c r="K195" s="113">
        <f t="shared" si="10"/>
        <v>175745.67404426559</v>
      </c>
    </row>
    <row r="196" spans="1:11" x14ac:dyDescent="0.25">
      <c r="A196" s="49">
        <f>'A) Base RI'!A194</f>
        <v>5716</v>
      </c>
      <c r="B196" s="288" t="str">
        <f>'A) Base RI'!B194</f>
        <v>Eysins</v>
      </c>
      <c r="C196" s="10">
        <f>'A) Base RI'!V194</f>
        <v>1736</v>
      </c>
      <c r="D196" s="10">
        <f t="shared" si="12"/>
        <v>1000</v>
      </c>
      <c r="E196" s="411">
        <f t="shared" si="11"/>
        <v>736</v>
      </c>
      <c r="F196" s="10">
        <f t="shared" si="11"/>
        <v>0</v>
      </c>
      <c r="G196" s="411">
        <f t="shared" si="11"/>
        <v>0</v>
      </c>
      <c r="H196" s="41">
        <f t="shared" si="11"/>
        <v>0</v>
      </c>
      <c r="I196" s="10">
        <f t="shared" si="11"/>
        <v>0</v>
      </c>
      <c r="J196" s="10">
        <f t="shared" si="9"/>
        <v>0</v>
      </c>
      <c r="K196" s="113">
        <f t="shared" si="10"/>
        <v>381830.18108651909</v>
      </c>
    </row>
    <row r="197" spans="1:11" x14ac:dyDescent="0.25">
      <c r="A197" s="49">
        <f>'A) Base RI'!A195</f>
        <v>5717</v>
      </c>
      <c r="B197" s="288" t="str">
        <f>'A) Base RI'!B195</f>
        <v>Founex</v>
      </c>
      <c r="C197" s="10">
        <f>'A) Base RI'!V195</f>
        <v>3822</v>
      </c>
      <c r="D197" s="10">
        <f t="shared" si="12"/>
        <v>1000</v>
      </c>
      <c r="E197" s="411">
        <f t="shared" si="11"/>
        <v>2000</v>
      </c>
      <c r="F197" s="10">
        <f t="shared" si="11"/>
        <v>822</v>
      </c>
      <c r="G197" s="411">
        <f t="shared" si="11"/>
        <v>0</v>
      </c>
      <c r="H197" s="41">
        <f t="shared" si="11"/>
        <v>0</v>
      </c>
      <c r="I197" s="10">
        <f t="shared" si="11"/>
        <v>0</v>
      </c>
      <c r="J197" s="10">
        <f t="shared" si="9"/>
        <v>0</v>
      </c>
      <c r="K197" s="113">
        <f t="shared" si="10"/>
        <v>1233513.0784708248</v>
      </c>
    </row>
    <row r="198" spans="1:11" x14ac:dyDescent="0.25">
      <c r="A198" s="49">
        <f>'A) Base RI'!A196</f>
        <v>5718</v>
      </c>
      <c r="B198" s="288" t="str">
        <f>'A) Base RI'!B196</f>
        <v>Genolier</v>
      </c>
      <c r="C198" s="10">
        <f>'A) Base RI'!V196</f>
        <v>2022</v>
      </c>
      <c r="D198" s="10">
        <f t="shared" si="12"/>
        <v>1000</v>
      </c>
      <c r="E198" s="411">
        <f t="shared" si="11"/>
        <v>1022</v>
      </c>
      <c r="F198" s="10">
        <f t="shared" si="11"/>
        <v>0</v>
      </c>
      <c r="G198" s="411">
        <f t="shared" si="11"/>
        <v>0</v>
      </c>
      <c r="H198" s="41">
        <f t="shared" si="11"/>
        <v>0</v>
      </c>
      <c r="I198" s="10">
        <f t="shared" si="11"/>
        <v>0</v>
      </c>
      <c r="J198" s="10">
        <f t="shared" si="9"/>
        <v>0</v>
      </c>
      <c r="K198" s="113">
        <f t="shared" si="10"/>
        <v>481728.77263581485</v>
      </c>
    </row>
    <row r="199" spans="1:11" x14ac:dyDescent="0.25">
      <c r="A199" s="49">
        <f>'A) Base RI'!A197</f>
        <v>5719</v>
      </c>
      <c r="B199" s="288" t="str">
        <f>'A) Base RI'!B197</f>
        <v>Gingins</v>
      </c>
      <c r="C199" s="10">
        <f>'A) Base RI'!V197</f>
        <v>1265</v>
      </c>
      <c r="D199" s="10">
        <f t="shared" si="12"/>
        <v>1000</v>
      </c>
      <c r="E199" s="411">
        <f t="shared" si="11"/>
        <v>265</v>
      </c>
      <c r="F199" s="10">
        <f t="shared" si="11"/>
        <v>0</v>
      </c>
      <c r="G199" s="411">
        <f t="shared" si="11"/>
        <v>0</v>
      </c>
      <c r="H199" s="41">
        <f t="shared" si="11"/>
        <v>0</v>
      </c>
      <c r="I199" s="10">
        <f t="shared" si="11"/>
        <v>0</v>
      </c>
      <c r="J199" s="10">
        <f t="shared" si="9"/>
        <v>0</v>
      </c>
      <c r="K199" s="113">
        <f t="shared" si="10"/>
        <v>217311.87122736417</v>
      </c>
    </row>
    <row r="200" spans="1:11" x14ac:dyDescent="0.25">
      <c r="A200" s="49">
        <f>'A) Base RI'!A198</f>
        <v>5720</v>
      </c>
      <c r="B200" s="288" t="str">
        <f>'A) Base RI'!B198</f>
        <v>Givrins</v>
      </c>
      <c r="C200" s="10">
        <f>'A) Base RI'!V198</f>
        <v>1010</v>
      </c>
      <c r="D200" s="10">
        <f t="shared" si="12"/>
        <v>1000</v>
      </c>
      <c r="E200" s="411">
        <f t="shared" si="11"/>
        <v>10</v>
      </c>
      <c r="F200" s="10">
        <f t="shared" si="11"/>
        <v>0</v>
      </c>
      <c r="G200" s="411">
        <f t="shared" si="11"/>
        <v>0</v>
      </c>
      <c r="H200" s="41">
        <f t="shared" si="11"/>
        <v>0</v>
      </c>
      <c r="I200" s="10">
        <f t="shared" si="11"/>
        <v>0</v>
      </c>
      <c r="J200" s="10">
        <f t="shared" si="9"/>
        <v>0</v>
      </c>
      <c r="K200" s="113">
        <f t="shared" si="10"/>
        <v>128241.44869215292</v>
      </c>
    </row>
    <row r="201" spans="1:11" x14ac:dyDescent="0.25">
      <c r="A201" s="49">
        <f>'A) Base RI'!A199</f>
        <v>5721</v>
      </c>
      <c r="B201" s="288" t="str">
        <f>'A) Base RI'!B199</f>
        <v>Gland</v>
      </c>
      <c r="C201" s="10">
        <f>'A) Base RI'!V199</f>
        <v>13306</v>
      </c>
      <c r="D201" s="10">
        <f t="shared" si="12"/>
        <v>1000</v>
      </c>
      <c r="E201" s="411">
        <f t="shared" si="11"/>
        <v>2000</v>
      </c>
      <c r="F201" s="10">
        <f t="shared" si="11"/>
        <v>2000</v>
      </c>
      <c r="G201" s="411">
        <f t="shared" si="11"/>
        <v>4000</v>
      </c>
      <c r="H201" s="41">
        <f t="shared" si="11"/>
        <v>3000</v>
      </c>
      <c r="I201" s="10">
        <f t="shared" si="11"/>
        <v>1306</v>
      </c>
      <c r="J201" s="10">
        <f t="shared" ref="J201:J264" si="13">IF(C201&gt;$J$5,C201-$J$5,0)</f>
        <v>0</v>
      </c>
      <c r="K201" s="113">
        <f t="shared" ref="K201:K264" si="14">(D201*D$8)+(E201*E$8)+(F201*F$8)+(G201*G$8)+(H201*H$8)+(I201*I$8)+(J201*J$8)</f>
        <v>8064740.442655935</v>
      </c>
    </row>
    <row r="202" spans="1:11" x14ac:dyDescent="0.25">
      <c r="A202" s="49">
        <f>'A) Base RI'!A200</f>
        <v>5722</v>
      </c>
      <c r="B202" s="288" t="str">
        <f>'A) Base RI'!B200</f>
        <v>Grens</v>
      </c>
      <c r="C202" s="10">
        <f>'A) Base RI'!V200</f>
        <v>401</v>
      </c>
      <c r="D202" s="10">
        <f t="shared" si="12"/>
        <v>401</v>
      </c>
      <c r="E202" s="411">
        <f t="shared" si="11"/>
        <v>0</v>
      </c>
      <c r="F202" s="10">
        <f t="shared" si="11"/>
        <v>0</v>
      </c>
      <c r="G202" s="411">
        <f t="shared" si="11"/>
        <v>0</v>
      </c>
      <c r="H202" s="41">
        <f t="shared" si="11"/>
        <v>0</v>
      </c>
      <c r="I202" s="10">
        <f t="shared" si="11"/>
        <v>0</v>
      </c>
      <c r="J202" s="10">
        <f t="shared" si="13"/>
        <v>0</v>
      </c>
      <c r="K202" s="113">
        <f t="shared" si="14"/>
        <v>50024.144869215292</v>
      </c>
    </row>
    <row r="203" spans="1:11" x14ac:dyDescent="0.25">
      <c r="A203" s="49">
        <f>'A) Base RI'!A201</f>
        <v>5723</v>
      </c>
      <c r="B203" s="288" t="str">
        <f>'A) Base RI'!B201</f>
        <v>Mies</v>
      </c>
      <c r="C203" s="10">
        <f>'A) Base RI'!V201</f>
        <v>2195</v>
      </c>
      <c r="D203" s="10">
        <f t="shared" si="12"/>
        <v>1000</v>
      </c>
      <c r="E203" s="411">
        <f t="shared" si="11"/>
        <v>1195</v>
      </c>
      <c r="F203" s="10">
        <f t="shared" si="11"/>
        <v>0</v>
      </c>
      <c r="G203" s="411">
        <f t="shared" si="11"/>
        <v>0</v>
      </c>
      <c r="H203" s="41">
        <f t="shared" si="11"/>
        <v>0</v>
      </c>
      <c r="I203" s="10">
        <f t="shared" si="11"/>
        <v>0</v>
      </c>
      <c r="J203" s="10">
        <f t="shared" si="13"/>
        <v>0</v>
      </c>
      <c r="K203" s="113">
        <f t="shared" si="14"/>
        <v>542156.94164989935</v>
      </c>
    </row>
    <row r="204" spans="1:11" x14ac:dyDescent="0.25">
      <c r="A204" s="49">
        <f>'A) Base RI'!A202</f>
        <v>5724</v>
      </c>
      <c r="B204" s="288" t="str">
        <f>'A) Base RI'!B202</f>
        <v>Nyon</v>
      </c>
      <c r="C204" s="10">
        <f>'A) Base RI'!V202</f>
        <v>22124</v>
      </c>
      <c r="D204" s="10">
        <f t="shared" si="12"/>
        <v>1000</v>
      </c>
      <c r="E204" s="411">
        <f t="shared" si="11"/>
        <v>2000</v>
      </c>
      <c r="F204" s="10">
        <f t="shared" si="11"/>
        <v>2000</v>
      </c>
      <c r="G204" s="411">
        <f t="shared" si="11"/>
        <v>4000</v>
      </c>
      <c r="H204" s="41">
        <f t="shared" si="11"/>
        <v>3000</v>
      </c>
      <c r="I204" s="10">
        <f t="shared" si="11"/>
        <v>3000</v>
      </c>
      <c r="J204" s="10">
        <f t="shared" si="13"/>
        <v>7124</v>
      </c>
      <c r="K204" s="113">
        <f t="shared" si="14"/>
        <v>17220481.287726358</v>
      </c>
    </row>
    <row r="205" spans="1:11" x14ac:dyDescent="0.25">
      <c r="A205" s="49">
        <f>'A) Base RI'!A203</f>
        <v>5725</v>
      </c>
      <c r="B205" s="288" t="str">
        <f>'A) Base RI'!B203</f>
        <v>Prangins</v>
      </c>
      <c r="C205" s="10">
        <f>'A) Base RI'!V203</f>
        <v>4060</v>
      </c>
      <c r="D205" s="10">
        <f t="shared" si="12"/>
        <v>1000</v>
      </c>
      <c r="E205" s="411">
        <f t="shared" si="11"/>
        <v>2000</v>
      </c>
      <c r="F205" s="10">
        <f t="shared" si="11"/>
        <v>1060</v>
      </c>
      <c r="G205" s="411">
        <f t="shared" si="11"/>
        <v>0</v>
      </c>
      <c r="H205" s="41">
        <f t="shared" si="11"/>
        <v>0</v>
      </c>
      <c r="I205" s="10">
        <f t="shared" si="11"/>
        <v>0</v>
      </c>
      <c r="J205" s="10">
        <f t="shared" si="13"/>
        <v>0</v>
      </c>
      <c r="K205" s="113">
        <f t="shared" si="14"/>
        <v>1352273.6418511064</v>
      </c>
    </row>
    <row r="206" spans="1:11" x14ac:dyDescent="0.25">
      <c r="A206" s="49">
        <f>'A) Base RI'!A204</f>
        <v>5726</v>
      </c>
      <c r="B206" s="288" t="str">
        <f>'A) Base RI'!B204</f>
        <v>La Rippe</v>
      </c>
      <c r="C206" s="10">
        <f>'A) Base RI'!V204</f>
        <v>1165</v>
      </c>
      <c r="D206" s="10">
        <f t="shared" si="12"/>
        <v>1000</v>
      </c>
      <c r="E206" s="411">
        <f t="shared" si="11"/>
        <v>165</v>
      </c>
      <c r="F206" s="10">
        <f t="shared" si="11"/>
        <v>0</v>
      </c>
      <c r="G206" s="411">
        <f t="shared" si="11"/>
        <v>0</v>
      </c>
      <c r="H206" s="41">
        <f t="shared" si="11"/>
        <v>0</v>
      </c>
      <c r="I206" s="10">
        <f t="shared" si="11"/>
        <v>0</v>
      </c>
      <c r="J206" s="10">
        <f t="shared" si="13"/>
        <v>0</v>
      </c>
      <c r="K206" s="113">
        <f t="shared" si="14"/>
        <v>182382.29376257546</v>
      </c>
    </row>
    <row r="207" spans="1:11" x14ac:dyDescent="0.25">
      <c r="A207" s="49">
        <f>'A) Base RI'!A205</f>
        <v>5727</v>
      </c>
      <c r="B207" s="288" t="str">
        <f>'A) Base RI'!B205</f>
        <v>Saint-Cergue</v>
      </c>
      <c r="C207" s="10">
        <f>'A) Base RI'!V205</f>
        <v>2755</v>
      </c>
      <c r="D207" s="10">
        <f t="shared" si="12"/>
        <v>1000</v>
      </c>
      <c r="E207" s="411">
        <f t="shared" si="11"/>
        <v>1755</v>
      </c>
      <c r="F207" s="10">
        <f t="shared" si="11"/>
        <v>0</v>
      </c>
      <c r="G207" s="411">
        <f t="shared" si="11"/>
        <v>0</v>
      </c>
      <c r="H207" s="41">
        <f t="shared" si="11"/>
        <v>0</v>
      </c>
      <c r="I207" s="10">
        <f t="shared" si="11"/>
        <v>0</v>
      </c>
      <c r="J207" s="10">
        <f t="shared" si="13"/>
        <v>0</v>
      </c>
      <c r="K207" s="113">
        <f t="shared" si="14"/>
        <v>737762.57545271621</v>
      </c>
    </row>
    <row r="208" spans="1:11" x14ac:dyDescent="0.25">
      <c r="A208" s="49">
        <f>'A) Base RI'!A206</f>
        <v>5728</v>
      </c>
      <c r="B208" s="288" t="str">
        <f>'A) Base RI'!B206</f>
        <v>Signy-Avenex</v>
      </c>
      <c r="C208" s="10">
        <f>'A) Base RI'!V206</f>
        <v>584</v>
      </c>
      <c r="D208" s="10">
        <f t="shared" si="12"/>
        <v>584</v>
      </c>
      <c r="E208" s="411">
        <f t="shared" si="11"/>
        <v>0</v>
      </c>
      <c r="F208" s="10">
        <f t="shared" si="11"/>
        <v>0</v>
      </c>
      <c r="G208" s="411">
        <f t="shared" ref="E208:I259" si="15">IF($C208&gt;G$5,IF($C208&lt;G$6,$C208-G$5,G$6-G$5),0)</f>
        <v>0</v>
      </c>
      <c r="H208" s="41">
        <f t="shared" si="15"/>
        <v>0</v>
      </c>
      <c r="I208" s="10">
        <f t="shared" si="15"/>
        <v>0</v>
      </c>
      <c r="J208" s="10">
        <f t="shared" si="13"/>
        <v>0</v>
      </c>
      <c r="K208" s="113">
        <f t="shared" si="14"/>
        <v>72853.11871227363</v>
      </c>
    </row>
    <row r="209" spans="1:11" x14ac:dyDescent="0.25">
      <c r="A209" s="49">
        <f>'A) Base RI'!A207</f>
        <v>5729</v>
      </c>
      <c r="B209" s="288" t="str">
        <f>'A) Base RI'!B207</f>
        <v>Tannay</v>
      </c>
      <c r="C209" s="10">
        <f>'A) Base RI'!V207</f>
        <v>1644</v>
      </c>
      <c r="D209" s="10">
        <f t="shared" si="12"/>
        <v>1000</v>
      </c>
      <c r="E209" s="411">
        <f t="shared" si="15"/>
        <v>644</v>
      </c>
      <c r="F209" s="10">
        <f t="shared" si="15"/>
        <v>0</v>
      </c>
      <c r="G209" s="411">
        <f t="shared" si="15"/>
        <v>0</v>
      </c>
      <c r="H209" s="41">
        <f t="shared" si="15"/>
        <v>0</v>
      </c>
      <c r="I209" s="10">
        <f t="shared" si="15"/>
        <v>0</v>
      </c>
      <c r="J209" s="10">
        <f t="shared" si="13"/>
        <v>0</v>
      </c>
      <c r="K209" s="113">
        <f t="shared" si="14"/>
        <v>349694.96981891349</v>
      </c>
    </row>
    <row r="210" spans="1:11" x14ac:dyDescent="0.25">
      <c r="A210" s="49">
        <f>'A) Base RI'!A208</f>
        <v>5730</v>
      </c>
      <c r="B210" s="288" t="str">
        <f>'A) Base RI'!B208</f>
        <v>Trélex</v>
      </c>
      <c r="C210" s="10">
        <f>'A) Base RI'!V208</f>
        <v>1439</v>
      </c>
      <c r="D210" s="10">
        <f t="shared" si="12"/>
        <v>1000</v>
      </c>
      <c r="E210" s="411">
        <f t="shared" si="15"/>
        <v>439</v>
      </c>
      <c r="F210" s="10">
        <f t="shared" si="15"/>
        <v>0</v>
      </c>
      <c r="G210" s="411">
        <f t="shared" si="15"/>
        <v>0</v>
      </c>
      <c r="H210" s="41">
        <f t="shared" si="15"/>
        <v>0</v>
      </c>
      <c r="I210" s="10">
        <f t="shared" si="15"/>
        <v>0</v>
      </c>
      <c r="J210" s="10">
        <f t="shared" si="13"/>
        <v>0</v>
      </c>
      <c r="K210" s="113">
        <f t="shared" si="14"/>
        <v>278089.33601609652</v>
      </c>
    </row>
    <row r="211" spans="1:11" x14ac:dyDescent="0.25">
      <c r="A211" s="49">
        <f>'A) Base RI'!A209</f>
        <v>5731</v>
      </c>
      <c r="B211" s="288" t="str">
        <f>'A) Base RI'!B209</f>
        <v>Le Vaud</v>
      </c>
      <c r="C211" s="10">
        <f>'A) Base RI'!V209</f>
        <v>1387</v>
      </c>
      <c r="D211" s="10">
        <f t="shared" si="12"/>
        <v>1000</v>
      </c>
      <c r="E211" s="411">
        <f t="shared" si="15"/>
        <v>387</v>
      </c>
      <c r="F211" s="10">
        <f t="shared" si="15"/>
        <v>0</v>
      </c>
      <c r="G211" s="411">
        <f t="shared" si="15"/>
        <v>0</v>
      </c>
      <c r="H211" s="41">
        <f t="shared" si="15"/>
        <v>0</v>
      </c>
      <c r="I211" s="10">
        <f t="shared" si="15"/>
        <v>0</v>
      </c>
      <c r="J211" s="10">
        <f t="shared" si="13"/>
        <v>0</v>
      </c>
      <c r="K211" s="113">
        <f t="shared" si="14"/>
        <v>259925.95573440642</v>
      </c>
    </row>
    <row r="212" spans="1:11" x14ac:dyDescent="0.25">
      <c r="A212" s="49">
        <f>'A) Base RI'!A210</f>
        <v>5732</v>
      </c>
      <c r="B212" s="288" t="str">
        <f>'A) Base RI'!B210</f>
        <v>Vich</v>
      </c>
      <c r="C212" s="10">
        <f>'A) Base RI'!V210</f>
        <v>1157</v>
      </c>
      <c r="D212" s="10">
        <f t="shared" si="12"/>
        <v>1000</v>
      </c>
      <c r="E212" s="411">
        <f t="shared" si="15"/>
        <v>157</v>
      </c>
      <c r="F212" s="10">
        <f t="shared" si="15"/>
        <v>0</v>
      </c>
      <c r="G212" s="411">
        <f t="shared" si="15"/>
        <v>0</v>
      </c>
      <c r="H212" s="41">
        <f t="shared" si="15"/>
        <v>0</v>
      </c>
      <c r="I212" s="10">
        <f t="shared" si="15"/>
        <v>0</v>
      </c>
      <c r="J212" s="10">
        <f t="shared" si="13"/>
        <v>0</v>
      </c>
      <c r="K212" s="113">
        <f t="shared" si="14"/>
        <v>179587.92756539234</v>
      </c>
    </row>
    <row r="213" spans="1:11" x14ac:dyDescent="0.25">
      <c r="A213" s="49">
        <f>'A) Base RI'!A211</f>
        <v>5741</v>
      </c>
      <c r="B213" s="288" t="str">
        <f>'A) Base RI'!B211</f>
        <v>L'Abergement</v>
      </c>
      <c r="C213" s="10">
        <f>'A) Base RI'!V211</f>
        <v>256</v>
      </c>
      <c r="D213" s="10">
        <f t="shared" si="12"/>
        <v>256</v>
      </c>
      <c r="E213" s="411">
        <f t="shared" si="15"/>
        <v>0</v>
      </c>
      <c r="F213" s="10">
        <f t="shared" si="15"/>
        <v>0</v>
      </c>
      <c r="G213" s="411">
        <f t="shared" si="15"/>
        <v>0</v>
      </c>
      <c r="H213" s="41">
        <f t="shared" si="15"/>
        <v>0</v>
      </c>
      <c r="I213" s="10">
        <f t="shared" si="15"/>
        <v>0</v>
      </c>
      <c r="J213" s="10">
        <f t="shared" si="13"/>
        <v>0</v>
      </c>
      <c r="K213" s="113">
        <f t="shared" si="14"/>
        <v>31935.613682092553</v>
      </c>
    </row>
    <row r="214" spans="1:11" x14ac:dyDescent="0.25">
      <c r="A214" s="49">
        <f>'A) Base RI'!A212</f>
        <v>5742</v>
      </c>
      <c r="B214" s="288" t="str">
        <f>'A) Base RI'!B212</f>
        <v>Agiez</v>
      </c>
      <c r="C214" s="10">
        <f>'A) Base RI'!V212</f>
        <v>375</v>
      </c>
      <c r="D214" s="10">
        <f t="shared" si="12"/>
        <v>375</v>
      </c>
      <c r="E214" s="411">
        <f t="shared" si="15"/>
        <v>0</v>
      </c>
      <c r="F214" s="10">
        <f t="shared" si="15"/>
        <v>0</v>
      </c>
      <c r="G214" s="411">
        <f t="shared" si="15"/>
        <v>0</v>
      </c>
      <c r="H214" s="41">
        <f t="shared" si="15"/>
        <v>0</v>
      </c>
      <c r="I214" s="10">
        <f t="shared" si="15"/>
        <v>0</v>
      </c>
      <c r="J214" s="10">
        <f t="shared" si="13"/>
        <v>0</v>
      </c>
      <c r="K214" s="113">
        <f t="shared" si="14"/>
        <v>46780.684104627762</v>
      </c>
    </row>
    <row r="215" spans="1:11" x14ac:dyDescent="0.25">
      <c r="A215" s="49">
        <f>'A) Base RI'!A213</f>
        <v>5743</v>
      </c>
      <c r="B215" s="288" t="str">
        <f>'A) Base RI'!B213</f>
        <v>Arnex-sur-Orbe</v>
      </c>
      <c r="C215" s="10">
        <f>'A) Base RI'!V213</f>
        <v>665</v>
      </c>
      <c r="D215" s="10">
        <f t="shared" si="12"/>
        <v>665</v>
      </c>
      <c r="E215" s="411">
        <f t="shared" si="15"/>
        <v>0</v>
      </c>
      <c r="F215" s="10">
        <f t="shared" si="15"/>
        <v>0</v>
      </c>
      <c r="G215" s="411">
        <f t="shared" si="15"/>
        <v>0</v>
      </c>
      <c r="H215" s="41">
        <f t="shared" si="15"/>
        <v>0</v>
      </c>
      <c r="I215" s="10">
        <f t="shared" si="15"/>
        <v>0</v>
      </c>
      <c r="J215" s="10">
        <f t="shared" si="13"/>
        <v>0</v>
      </c>
      <c r="K215" s="113">
        <f t="shared" si="14"/>
        <v>82957.746478873232</v>
      </c>
    </row>
    <row r="216" spans="1:11" x14ac:dyDescent="0.25">
      <c r="A216" s="49">
        <f>'A) Base RI'!A214</f>
        <v>5744</v>
      </c>
      <c r="B216" s="288" t="str">
        <f>'A) Base RI'!B214</f>
        <v>Ballaigues</v>
      </c>
      <c r="C216" s="10">
        <f>'A) Base RI'!V214</f>
        <v>1173</v>
      </c>
      <c r="D216" s="10">
        <f t="shared" si="12"/>
        <v>1000</v>
      </c>
      <c r="E216" s="411">
        <f t="shared" si="15"/>
        <v>173</v>
      </c>
      <c r="F216" s="10">
        <f t="shared" si="15"/>
        <v>0</v>
      </c>
      <c r="G216" s="411">
        <f t="shared" si="15"/>
        <v>0</v>
      </c>
      <c r="H216" s="41">
        <f t="shared" si="15"/>
        <v>0</v>
      </c>
      <c r="I216" s="10">
        <f t="shared" si="15"/>
        <v>0</v>
      </c>
      <c r="J216" s="10">
        <f t="shared" si="13"/>
        <v>0</v>
      </c>
      <c r="K216" s="113">
        <f t="shared" si="14"/>
        <v>185176.65995975854</v>
      </c>
    </row>
    <row r="217" spans="1:11" x14ac:dyDescent="0.25">
      <c r="A217" s="49">
        <f>'A) Base RI'!A215</f>
        <v>5745</v>
      </c>
      <c r="B217" s="288" t="str">
        <f>'A) Base RI'!B215</f>
        <v>Baulmes</v>
      </c>
      <c r="C217" s="10">
        <f>'A) Base RI'!V215</f>
        <v>1126</v>
      </c>
      <c r="D217" s="10">
        <f t="shared" si="12"/>
        <v>1000</v>
      </c>
      <c r="E217" s="411">
        <f t="shared" si="15"/>
        <v>126</v>
      </c>
      <c r="F217" s="10">
        <f t="shared" si="15"/>
        <v>0</v>
      </c>
      <c r="G217" s="411">
        <f t="shared" si="15"/>
        <v>0</v>
      </c>
      <c r="H217" s="41">
        <f t="shared" si="15"/>
        <v>0</v>
      </c>
      <c r="I217" s="10">
        <f t="shared" si="15"/>
        <v>0</v>
      </c>
      <c r="J217" s="10">
        <f t="shared" si="13"/>
        <v>0</v>
      </c>
      <c r="K217" s="113">
        <f t="shared" si="14"/>
        <v>168759.75855130784</v>
      </c>
    </row>
    <row r="218" spans="1:11" x14ac:dyDescent="0.25">
      <c r="A218" s="49">
        <f>'A) Base RI'!A216</f>
        <v>5746</v>
      </c>
      <c r="B218" s="288" t="str">
        <f>'A) Base RI'!B216</f>
        <v>Bavois</v>
      </c>
      <c r="C218" s="10">
        <f>'A) Base RI'!V216</f>
        <v>978</v>
      </c>
      <c r="D218" s="10">
        <f t="shared" si="12"/>
        <v>978</v>
      </c>
      <c r="E218" s="411">
        <f t="shared" si="15"/>
        <v>0</v>
      </c>
      <c r="F218" s="10">
        <f t="shared" si="15"/>
        <v>0</v>
      </c>
      <c r="G218" s="411">
        <f t="shared" si="15"/>
        <v>0</v>
      </c>
      <c r="H218" s="41">
        <f t="shared" si="15"/>
        <v>0</v>
      </c>
      <c r="I218" s="10">
        <f t="shared" si="15"/>
        <v>0</v>
      </c>
      <c r="J218" s="10">
        <f t="shared" si="13"/>
        <v>0</v>
      </c>
      <c r="K218" s="113">
        <f t="shared" si="14"/>
        <v>122004.02414486921</v>
      </c>
    </row>
    <row r="219" spans="1:11" x14ac:dyDescent="0.25">
      <c r="A219" s="49">
        <f>'A) Base RI'!A217</f>
        <v>5747</v>
      </c>
      <c r="B219" s="288" t="str">
        <f>'A) Base RI'!B217</f>
        <v>Bofflens</v>
      </c>
      <c r="C219" s="10">
        <f>'A) Base RI'!V217</f>
        <v>206</v>
      </c>
      <c r="D219" s="10">
        <f t="shared" si="12"/>
        <v>206</v>
      </c>
      <c r="E219" s="411">
        <f t="shared" si="15"/>
        <v>0</v>
      </c>
      <c r="F219" s="10">
        <f t="shared" si="15"/>
        <v>0</v>
      </c>
      <c r="G219" s="411">
        <f t="shared" si="15"/>
        <v>0</v>
      </c>
      <c r="H219" s="41">
        <f t="shared" si="15"/>
        <v>0</v>
      </c>
      <c r="I219" s="10">
        <f t="shared" si="15"/>
        <v>0</v>
      </c>
      <c r="J219" s="10">
        <f t="shared" si="13"/>
        <v>0</v>
      </c>
      <c r="K219" s="113">
        <f t="shared" si="14"/>
        <v>25698.18913480885</v>
      </c>
    </row>
    <row r="220" spans="1:11" x14ac:dyDescent="0.25">
      <c r="A220" s="49">
        <f>'A) Base RI'!A218</f>
        <v>5748</v>
      </c>
      <c r="B220" s="288" t="str">
        <f>'A) Base RI'!B218</f>
        <v>Bretonnières</v>
      </c>
      <c r="C220" s="10">
        <f>'A) Base RI'!V218</f>
        <v>266</v>
      </c>
      <c r="D220" s="10">
        <f t="shared" si="12"/>
        <v>266</v>
      </c>
      <c r="E220" s="411">
        <f t="shared" si="15"/>
        <v>0</v>
      </c>
      <c r="F220" s="10">
        <f t="shared" si="15"/>
        <v>0</v>
      </c>
      <c r="G220" s="411">
        <f t="shared" si="15"/>
        <v>0</v>
      </c>
      <c r="H220" s="41">
        <f t="shared" si="15"/>
        <v>0</v>
      </c>
      <c r="I220" s="10">
        <f t="shared" si="15"/>
        <v>0</v>
      </c>
      <c r="J220" s="10">
        <f t="shared" si="13"/>
        <v>0</v>
      </c>
      <c r="K220" s="113">
        <f t="shared" si="14"/>
        <v>33183.098591549293</v>
      </c>
    </row>
    <row r="221" spans="1:11" x14ac:dyDescent="0.25">
      <c r="A221" s="49">
        <f>'A) Base RI'!A219</f>
        <v>5749</v>
      </c>
      <c r="B221" s="288" t="str">
        <f>'A) Base RI'!B219</f>
        <v>Chavornay</v>
      </c>
      <c r="C221" s="10">
        <f>'A) Base RI'!V219</f>
        <v>5366</v>
      </c>
      <c r="D221" s="10">
        <f t="shared" si="12"/>
        <v>1000</v>
      </c>
      <c r="E221" s="411">
        <f t="shared" si="15"/>
        <v>2000</v>
      </c>
      <c r="F221" s="10">
        <f t="shared" si="15"/>
        <v>2000</v>
      </c>
      <c r="G221" s="411">
        <f t="shared" si="15"/>
        <v>366</v>
      </c>
      <c r="H221" s="41">
        <f t="shared" si="15"/>
        <v>0</v>
      </c>
      <c r="I221" s="10">
        <f t="shared" si="15"/>
        <v>0</v>
      </c>
      <c r="J221" s="10">
        <f t="shared" si="13"/>
        <v>0</v>
      </c>
      <c r="K221" s="113">
        <f t="shared" si="14"/>
        <v>2040486.1167002008</v>
      </c>
    </row>
    <row r="222" spans="1:11" x14ac:dyDescent="0.25">
      <c r="A222" s="49">
        <f>'A) Base RI'!A220</f>
        <v>5750</v>
      </c>
      <c r="B222" s="288" t="str">
        <f>'A) Base RI'!B220</f>
        <v>Les Clées</v>
      </c>
      <c r="C222" s="10">
        <f>'A) Base RI'!V220</f>
        <v>182</v>
      </c>
      <c r="D222" s="10">
        <f t="shared" si="12"/>
        <v>182</v>
      </c>
      <c r="E222" s="411">
        <f t="shared" si="15"/>
        <v>0</v>
      </c>
      <c r="F222" s="10">
        <f t="shared" si="15"/>
        <v>0</v>
      </c>
      <c r="G222" s="411">
        <f t="shared" si="15"/>
        <v>0</v>
      </c>
      <c r="H222" s="41">
        <f t="shared" si="15"/>
        <v>0</v>
      </c>
      <c r="I222" s="10">
        <f t="shared" si="15"/>
        <v>0</v>
      </c>
      <c r="J222" s="10">
        <f t="shared" si="13"/>
        <v>0</v>
      </c>
      <c r="K222" s="113">
        <f t="shared" si="14"/>
        <v>22704.225352112673</v>
      </c>
    </row>
    <row r="223" spans="1:11" x14ac:dyDescent="0.25">
      <c r="A223" s="49">
        <f>'A) Base RI'!A221</f>
        <v>5752</v>
      </c>
      <c r="B223" s="288" t="str">
        <f>'A) Base RI'!B221</f>
        <v>Croy</v>
      </c>
      <c r="C223" s="10">
        <f>'A) Base RI'!V221</f>
        <v>390</v>
      </c>
      <c r="D223" s="10">
        <f t="shared" si="12"/>
        <v>390</v>
      </c>
      <c r="E223" s="411">
        <f t="shared" si="15"/>
        <v>0</v>
      </c>
      <c r="F223" s="10">
        <f t="shared" si="15"/>
        <v>0</v>
      </c>
      <c r="G223" s="411">
        <f t="shared" si="15"/>
        <v>0</v>
      </c>
      <c r="H223" s="41">
        <f t="shared" si="15"/>
        <v>0</v>
      </c>
      <c r="I223" s="10">
        <f t="shared" si="15"/>
        <v>0</v>
      </c>
      <c r="J223" s="10">
        <f t="shared" si="13"/>
        <v>0</v>
      </c>
      <c r="K223" s="113">
        <f t="shared" si="14"/>
        <v>48651.911468812876</v>
      </c>
    </row>
    <row r="224" spans="1:11" x14ac:dyDescent="0.25">
      <c r="A224" s="49">
        <f>'A) Base RI'!A222</f>
        <v>5754</v>
      </c>
      <c r="B224" s="288" t="str">
        <f>'A) Base RI'!B222</f>
        <v>Juriens</v>
      </c>
      <c r="C224" s="10">
        <f>'A) Base RI'!V222</f>
        <v>348</v>
      </c>
      <c r="D224" s="10">
        <f t="shared" si="12"/>
        <v>348</v>
      </c>
      <c r="E224" s="411">
        <f t="shared" si="15"/>
        <v>0</v>
      </c>
      <c r="F224" s="10">
        <f t="shared" si="15"/>
        <v>0</v>
      </c>
      <c r="G224" s="411">
        <f t="shared" si="15"/>
        <v>0</v>
      </c>
      <c r="H224" s="41">
        <f t="shared" si="15"/>
        <v>0</v>
      </c>
      <c r="I224" s="10">
        <f t="shared" si="15"/>
        <v>0</v>
      </c>
      <c r="J224" s="10">
        <f t="shared" si="13"/>
        <v>0</v>
      </c>
      <c r="K224" s="113">
        <f t="shared" si="14"/>
        <v>43412.474849094564</v>
      </c>
    </row>
    <row r="225" spans="1:11" x14ac:dyDescent="0.25">
      <c r="A225" s="49">
        <f>'A) Base RI'!A223</f>
        <v>5755</v>
      </c>
      <c r="B225" s="288" t="str">
        <f>'A) Base RI'!B223</f>
        <v>Lignerolle</v>
      </c>
      <c r="C225" s="10">
        <f>'A) Base RI'!V223</f>
        <v>409</v>
      </c>
      <c r="D225" s="10">
        <f t="shared" si="12"/>
        <v>409</v>
      </c>
      <c r="E225" s="411">
        <f t="shared" si="15"/>
        <v>0</v>
      </c>
      <c r="F225" s="10">
        <f t="shared" si="15"/>
        <v>0</v>
      </c>
      <c r="G225" s="411">
        <f t="shared" si="15"/>
        <v>0</v>
      </c>
      <c r="H225" s="41">
        <f t="shared" si="15"/>
        <v>0</v>
      </c>
      <c r="I225" s="10">
        <f t="shared" si="15"/>
        <v>0</v>
      </c>
      <c r="J225" s="10">
        <f t="shared" si="13"/>
        <v>0</v>
      </c>
      <c r="K225" s="113">
        <f t="shared" si="14"/>
        <v>51022.132796780679</v>
      </c>
    </row>
    <row r="226" spans="1:11" x14ac:dyDescent="0.25">
      <c r="A226" s="49">
        <f>'A) Base RI'!A224</f>
        <v>5756</v>
      </c>
      <c r="B226" s="288" t="str">
        <f>'A) Base RI'!B224</f>
        <v>Montcherand</v>
      </c>
      <c r="C226" s="10">
        <f>'A) Base RI'!V224</f>
        <v>502</v>
      </c>
      <c r="D226" s="10">
        <f t="shared" si="12"/>
        <v>502</v>
      </c>
      <c r="E226" s="411">
        <f t="shared" si="15"/>
        <v>0</v>
      </c>
      <c r="F226" s="10">
        <f t="shared" si="15"/>
        <v>0</v>
      </c>
      <c r="G226" s="411">
        <f t="shared" si="15"/>
        <v>0</v>
      </c>
      <c r="H226" s="41">
        <f t="shared" si="15"/>
        <v>0</v>
      </c>
      <c r="I226" s="10">
        <f t="shared" si="15"/>
        <v>0</v>
      </c>
      <c r="J226" s="10">
        <f t="shared" si="13"/>
        <v>0</v>
      </c>
      <c r="K226" s="113">
        <f t="shared" si="14"/>
        <v>62623.742454728366</v>
      </c>
    </row>
    <row r="227" spans="1:11" x14ac:dyDescent="0.25">
      <c r="A227" s="49">
        <f>'A) Base RI'!A225</f>
        <v>5757</v>
      </c>
      <c r="B227" s="288" t="str">
        <f>'A) Base RI'!B225</f>
        <v>Orbe</v>
      </c>
      <c r="C227" s="10">
        <f>'A) Base RI'!V225</f>
        <v>7570</v>
      </c>
      <c r="D227" s="10">
        <f t="shared" si="12"/>
        <v>1000</v>
      </c>
      <c r="E227" s="411">
        <f t="shared" si="15"/>
        <v>2000</v>
      </c>
      <c r="F227" s="10">
        <f t="shared" si="15"/>
        <v>2000</v>
      </c>
      <c r="G227" s="411">
        <f t="shared" si="15"/>
        <v>2570</v>
      </c>
      <c r="H227" s="41">
        <f t="shared" si="15"/>
        <v>0</v>
      </c>
      <c r="I227" s="10">
        <f t="shared" si="15"/>
        <v>0</v>
      </c>
      <c r="J227" s="10">
        <f t="shared" si="13"/>
        <v>0</v>
      </c>
      <c r="K227" s="113">
        <f t="shared" si="14"/>
        <v>3360225.352112676</v>
      </c>
    </row>
    <row r="228" spans="1:11" x14ac:dyDescent="0.25">
      <c r="A228" s="49">
        <f>'A) Base RI'!A226</f>
        <v>5758</v>
      </c>
      <c r="B228" s="288" t="str">
        <f>'A) Base RI'!B226</f>
        <v>La Praz</v>
      </c>
      <c r="C228" s="10">
        <f>'A) Base RI'!V226</f>
        <v>182</v>
      </c>
      <c r="D228" s="10">
        <f t="shared" si="12"/>
        <v>182</v>
      </c>
      <c r="E228" s="411">
        <f t="shared" si="15"/>
        <v>0</v>
      </c>
      <c r="F228" s="10">
        <f t="shared" si="15"/>
        <v>0</v>
      </c>
      <c r="G228" s="411">
        <f t="shared" si="15"/>
        <v>0</v>
      </c>
      <c r="H228" s="41">
        <f t="shared" si="15"/>
        <v>0</v>
      </c>
      <c r="I228" s="10">
        <f t="shared" si="15"/>
        <v>0</v>
      </c>
      <c r="J228" s="10">
        <f t="shared" si="13"/>
        <v>0</v>
      </c>
      <c r="K228" s="113">
        <f t="shared" si="14"/>
        <v>22704.225352112673</v>
      </c>
    </row>
    <row r="229" spans="1:11" x14ac:dyDescent="0.25">
      <c r="A229" s="49">
        <f>'A) Base RI'!A227</f>
        <v>5759</v>
      </c>
      <c r="B229" s="288" t="str">
        <f>'A) Base RI'!B227</f>
        <v>Premier</v>
      </c>
      <c r="C229" s="10">
        <f>'A) Base RI'!V227</f>
        <v>232</v>
      </c>
      <c r="D229" s="10">
        <f t="shared" si="12"/>
        <v>232</v>
      </c>
      <c r="E229" s="411">
        <f t="shared" si="15"/>
        <v>0</v>
      </c>
      <c r="F229" s="10">
        <f t="shared" si="15"/>
        <v>0</v>
      </c>
      <c r="G229" s="411">
        <f t="shared" si="15"/>
        <v>0</v>
      </c>
      <c r="H229" s="41">
        <f t="shared" si="15"/>
        <v>0</v>
      </c>
      <c r="I229" s="10">
        <f t="shared" si="15"/>
        <v>0</v>
      </c>
      <c r="J229" s="10">
        <f t="shared" si="13"/>
        <v>0</v>
      </c>
      <c r="K229" s="113">
        <f t="shared" si="14"/>
        <v>28941.649899396376</v>
      </c>
    </row>
    <row r="230" spans="1:11" x14ac:dyDescent="0.25">
      <c r="A230" s="49">
        <f>'A) Base RI'!A228</f>
        <v>5760</v>
      </c>
      <c r="B230" s="288" t="str">
        <f>'A) Base RI'!B228</f>
        <v>Rances</v>
      </c>
      <c r="C230" s="10">
        <f>'A) Base RI'!V228</f>
        <v>512</v>
      </c>
      <c r="D230" s="10">
        <f t="shared" si="12"/>
        <v>512</v>
      </c>
      <c r="E230" s="411">
        <f t="shared" si="15"/>
        <v>0</v>
      </c>
      <c r="F230" s="10">
        <f t="shared" si="15"/>
        <v>0</v>
      </c>
      <c r="G230" s="411">
        <f t="shared" si="15"/>
        <v>0</v>
      </c>
      <c r="H230" s="41">
        <f t="shared" si="15"/>
        <v>0</v>
      </c>
      <c r="I230" s="10">
        <f t="shared" si="15"/>
        <v>0</v>
      </c>
      <c r="J230" s="10">
        <f t="shared" si="13"/>
        <v>0</v>
      </c>
      <c r="K230" s="113">
        <f t="shared" si="14"/>
        <v>63871.227364185106</v>
      </c>
    </row>
    <row r="231" spans="1:11" x14ac:dyDescent="0.25">
      <c r="A231" s="49">
        <f>'A) Base RI'!A229</f>
        <v>5761</v>
      </c>
      <c r="B231" s="288" t="str">
        <f>'A) Base RI'!B229</f>
        <v>Romainmôtier-Envy</v>
      </c>
      <c r="C231" s="10">
        <f>'A) Base RI'!V229</f>
        <v>551</v>
      </c>
      <c r="D231" s="10">
        <f t="shared" si="12"/>
        <v>551</v>
      </c>
      <c r="E231" s="411">
        <f t="shared" si="15"/>
        <v>0</v>
      </c>
      <c r="F231" s="10">
        <f t="shared" si="15"/>
        <v>0</v>
      </c>
      <c r="G231" s="411">
        <f t="shared" si="15"/>
        <v>0</v>
      </c>
      <c r="H231" s="41">
        <f t="shared" si="15"/>
        <v>0</v>
      </c>
      <c r="I231" s="10">
        <f t="shared" si="15"/>
        <v>0</v>
      </c>
      <c r="J231" s="10">
        <f t="shared" si="13"/>
        <v>0</v>
      </c>
      <c r="K231" s="113">
        <f t="shared" si="14"/>
        <v>68736.418511066397</v>
      </c>
    </row>
    <row r="232" spans="1:11" x14ac:dyDescent="0.25">
      <c r="A232" s="49">
        <f>'A) Base RI'!A230</f>
        <v>5762</v>
      </c>
      <c r="B232" s="288" t="str">
        <f>'A) Base RI'!B230</f>
        <v>Sergey</v>
      </c>
      <c r="C232" s="10">
        <f>'A) Base RI'!V230</f>
        <v>141</v>
      </c>
      <c r="D232" s="10">
        <f t="shared" si="12"/>
        <v>141</v>
      </c>
      <c r="E232" s="411">
        <f t="shared" si="15"/>
        <v>0</v>
      </c>
      <c r="F232" s="10">
        <f t="shared" si="15"/>
        <v>0</v>
      </c>
      <c r="G232" s="411">
        <f t="shared" si="15"/>
        <v>0</v>
      </c>
      <c r="H232" s="41">
        <f t="shared" si="15"/>
        <v>0</v>
      </c>
      <c r="I232" s="10">
        <f t="shared" si="15"/>
        <v>0</v>
      </c>
      <c r="J232" s="10">
        <f t="shared" si="13"/>
        <v>0</v>
      </c>
      <c r="K232" s="113">
        <f t="shared" si="14"/>
        <v>17589.537223340038</v>
      </c>
    </row>
    <row r="233" spans="1:11" x14ac:dyDescent="0.25">
      <c r="A233" s="49">
        <f>'A) Base RI'!A231</f>
        <v>5763</v>
      </c>
      <c r="B233" s="288" t="str">
        <f>'A) Base RI'!B231</f>
        <v>Valeyres-sous-Rances</v>
      </c>
      <c r="C233" s="10">
        <f>'A) Base RI'!V231</f>
        <v>614</v>
      </c>
      <c r="D233" s="10">
        <f t="shared" si="12"/>
        <v>614</v>
      </c>
      <c r="E233" s="411">
        <f t="shared" si="15"/>
        <v>0</v>
      </c>
      <c r="F233" s="10">
        <f t="shared" si="15"/>
        <v>0</v>
      </c>
      <c r="G233" s="411">
        <f t="shared" si="15"/>
        <v>0</v>
      </c>
      <c r="H233" s="41">
        <f t="shared" si="15"/>
        <v>0</v>
      </c>
      <c r="I233" s="10">
        <f t="shared" si="15"/>
        <v>0</v>
      </c>
      <c r="J233" s="10">
        <f t="shared" si="13"/>
        <v>0</v>
      </c>
      <c r="K233" s="113">
        <f t="shared" si="14"/>
        <v>76595.573440643857</v>
      </c>
    </row>
    <row r="234" spans="1:11" x14ac:dyDescent="0.25">
      <c r="A234" s="49">
        <f>'A) Base RI'!A232</f>
        <v>5764</v>
      </c>
      <c r="B234" s="288" t="str">
        <f>'A) Base RI'!B232</f>
        <v>Vallorbe</v>
      </c>
      <c r="C234" s="10">
        <f>'A) Base RI'!V232</f>
        <v>3924</v>
      </c>
      <c r="D234" s="10">
        <f t="shared" si="12"/>
        <v>1000</v>
      </c>
      <c r="E234" s="411">
        <f t="shared" si="15"/>
        <v>2000</v>
      </c>
      <c r="F234" s="10">
        <f t="shared" si="15"/>
        <v>924</v>
      </c>
      <c r="G234" s="411">
        <f t="shared" si="15"/>
        <v>0</v>
      </c>
      <c r="H234" s="41">
        <f t="shared" si="15"/>
        <v>0</v>
      </c>
      <c r="I234" s="10">
        <f t="shared" si="15"/>
        <v>0</v>
      </c>
      <c r="J234" s="10">
        <f t="shared" si="13"/>
        <v>0</v>
      </c>
      <c r="K234" s="113">
        <f t="shared" si="14"/>
        <v>1284410.4627766598</v>
      </c>
    </row>
    <row r="235" spans="1:11" x14ac:dyDescent="0.25">
      <c r="A235" s="49">
        <f>'A) Base RI'!A233</f>
        <v>5765</v>
      </c>
      <c r="B235" s="288" t="str">
        <f>'A) Base RI'!B233</f>
        <v>Vaulion</v>
      </c>
      <c r="C235" s="10">
        <f>'A) Base RI'!V233</f>
        <v>492</v>
      </c>
      <c r="D235" s="10">
        <f t="shared" ref="D235:D298" si="16">IF($C235&gt;D$5,IF($C235&lt;D$6,$C235-D$5,D$6-D$5),0)</f>
        <v>492</v>
      </c>
      <c r="E235" s="411">
        <f t="shared" si="15"/>
        <v>0</v>
      </c>
      <c r="F235" s="10">
        <f t="shared" si="15"/>
        <v>0</v>
      </c>
      <c r="G235" s="411">
        <f t="shared" si="15"/>
        <v>0</v>
      </c>
      <c r="H235" s="41">
        <f t="shared" si="15"/>
        <v>0</v>
      </c>
      <c r="I235" s="10">
        <f t="shared" si="15"/>
        <v>0</v>
      </c>
      <c r="J235" s="10">
        <f t="shared" si="13"/>
        <v>0</v>
      </c>
      <c r="K235" s="113">
        <f t="shared" si="14"/>
        <v>61376.257545271626</v>
      </c>
    </row>
    <row r="236" spans="1:11" x14ac:dyDescent="0.25">
      <c r="A236" s="49">
        <f>'A) Base RI'!A234</f>
        <v>5766</v>
      </c>
      <c r="B236" s="288" t="str">
        <f>'A) Base RI'!B234</f>
        <v>Vuiteboeuf</v>
      </c>
      <c r="C236" s="10">
        <f>'A) Base RI'!V234</f>
        <v>591</v>
      </c>
      <c r="D236" s="10">
        <f t="shared" si="16"/>
        <v>591</v>
      </c>
      <c r="E236" s="411">
        <f t="shared" si="15"/>
        <v>0</v>
      </c>
      <c r="F236" s="10">
        <f t="shared" si="15"/>
        <v>0</v>
      </c>
      <c r="G236" s="411">
        <f t="shared" si="15"/>
        <v>0</v>
      </c>
      <c r="H236" s="41">
        <f t="shared" si="15"/>
        <v>0</v>
      </c>
      <c r="I236" s="10">
        <f t="shared" si="15"/>
        <v>0</v>
      </c>
      <c r="J236" s="10">
        <f t="shared" si="13"/>
        <v>0</v>
      </c>
      <c r="K236" s="113">
        <f t="shared" si="14"/>
        <v>73726.358148893356</v>
      </c>
    </row>
    <row r="237" spans="1:11" x14ac:dyDescent="0.25">
      <c r="A237" s="49">
        <f>'A) Base RI'!A235</f>
        <v>5785</v>
      </c>
      <c r="B237" s="288" t="str">
        <f>'A) Base RI'!B235</f>
        <v>Corcelles-le-Jorat</v>
      </c>
      <c r="C237" s="10">
        <f>'A) Base RI'!V235</f>
        <v>489</v>
      </c>
      <c r="D237" s="10">
        <f t="shared" si="16"/>
        <v>489</v>
      </c>
      <c r="E237" s="411">
        <f t="shared" si="15"/>
        <v>0</v>
      </c>
      <c r="F237" s="10">
        <f t="shared" si="15"/>
        <v>0</v>
      </c>
      <c r="G237" s="411">
        <f t="shared" si="15"/>
        <v>0</v>
      </c>
      <c r="H237" s="41">
        <f t="shared" si="15"/>
        <v>0</v>
      </c>
      <c r="I237" s="10">
        <f t="shared" si="15"/>
        <v>0</v>
      </c>
      <c r="J237" s="10">
        <f t="shared" si="13"/>
        <v>0</v>
      </c>
      <c r="K237" s="113">
        <f t="shared" si="14"/>
        <v>61002.012072434605</v>
      </c>
    </row>
    <row r="238" spans="1:11" x14ac:dyDescent="0.25">
      <c r="A238" s="49">
        <f>'A) Base RI'!A236</f>
        <v>5788</v>
      </c>
      <c r="B238" s="288" t="str">
        <f>'A) Base RI'!B236</f>
        <v>Essertes</v>
      </c>
      <c r="C238" s="10">
        <f>'A) Base RI'!V236</f>
        <v>397</v>
      </c>
      <c r="D238" s="10">
        <f t="shared" si="16"/>
        <v>397</v>
      </c>
      <c r="E238" s="411">
        <f t="shared" si="15"/>
        <v>0</v>
      </c>
      <c r="F238" s="10">
        <f t="shared" si="15"/>
        <v>0</v>
      </c>
      <c r="G238" s="411">
        <f t="shared" si="15"/>
        <v>0</v>
      </c>
      <c r="H238" s="41">
        <f t="shared" si="15"/>
        <v>0</v>
      </c>
      <c r="I238" s="10">
        <f t="shared" si="15"/>
        <v>0</v>
      </c>
      <c r="J238" s="10">
        <f t="shared" si="13"/>
        <v>0</v>
      </c>
      <c r="K238" s="113">
        <f t="shared" si="14"/>
        <v>49525.150905432594</v>
      </c>
    </row>
    <row r="239" spans="1:11" x14ac:dyDescent="0.25">
      <c r="A239" s="49">
        <f>'A) Base RI'!A237</f>
        <v>5790</v>
      </c>
      <c r="B239" s="288" t="str">
        <f>'A) Base RI'!B237</f>
        <v>Maracon</v>
      </c>
      <c r="C239" s="10">
        <f>'A) Base RI'!V237</f>
        <v>547</v>
      </c>
      <c r="D239" s="10">
        <f t="shared" si="16"/>
        <v>547</v>
      </c>
      <c r="E239" s="411">
        <f t="shared" si="15"/>
        <v>0</v>
      </c>
      <c r="F239" s="10">
        <f t="shared" si="15"/>
        <v>0</v>
      </c>
      <c r="G239" s="411">
        <f t="shared" si="15"/>
        <v>0</v>
      </c>
      <c r="H239" s="41">
        <f t="shared" si="15"/>
        <v>0</v>
      </c>
      <c r="I239" s="10">
        <f t="shared" si="15"/>
        <v>0</v>
      </c>
      <c r="J239" s="10">
        <f t="shared" si="13"/>
        <v>0</v>
      </c>
      <c r="K239" s="113">
        <f t="shared" si="14"/>
        <v>68237.424547283692</v>
      </c>
    </row>
    <row r="240" spans="1:11" x14ac:dyDescent="0.25">
      <c r="A240" s="49">
        <f>'A) Base RI'!A238</f>
        <v>5792</v>
      </c>
      <c r="B240" s="288" t="str">
        <f>'A) Base RI'!B238</f>
        <v>Montpreveyres</v>
      </c>
      <c r="C240" s="10">
        <f>'A) Base RI'!V238</f>
        <v>662</v>
      </c>
      <c r="D240" s="10">
        <f t="shared" si="16"/>
        <v>662</v>
      </c>
      <c r="E240" s="411">
        <f t="shared" si="15"/>
        <v>0</v>
      </c>
      <c r="F240" s="10">
        <f t="shared" si="15"/>
        <v>0</v>
      </c>
      <c r="G240" s="411">
        <f t="shared" si="15"/>
        <v>0</v>
      </c>
      <c r="H240" s="41">
        <f t="shared" si="15"/>
        <v>0</v>
      </c>
      <c r="I240" s="10">
        <f t="shared" si="15"/>
        <v>0</v>
      </c>
      <c r="J240" s="10">
        <f t="shared" si="13"/>
        <v>0</v>
      </c>
      <c r="K240" s="113">
        <f t="shared" si="14"/>
        <v>82583.501006036211</v>
      </c>
    </row>
    <row r="241" spans="1:11" x14ac:dyDescent="0.25">
      <c r="A241" s="49">
        <f>'A) Base RI'!A239</f>
        <v>5798</v>
      </c>
      <c r="B241" s="288" t="str">
        <f>'A) Base RI'!B239</f>
        <v>Ropraz</v>
      </c>
      <c r="C241" s="10">
        <f>'A) Base RI'!V239</f>
        <v>534</v>
      </c>
      <c r="D241" s="10">
        <f t="shared" si="16"/>
        <v>534</v>
      </c>
      <c r="E241" s="411">
        <f t="shared" si="15"/>
        <v>0</v>
      </c>
      <c r="F241" s="10">
        <f t="shared" si="15"/>
        <v>0</v>
      </c>
      <c r="G241" s="411">
        <f t="shared" si="15"/>
        <v>0</v>
      </c>
      <c r="H241" s="41">
        <f t="shared" si="15"/>
        <v>0</v>
      </c>
      <c r="I241" s="10">
        <f t="shared" si="15"/>
        <v>0</v>
      </c>
      <c r="J241" s="10">
        <f t="shared" si="13"/>
        <v>0</v>
      </c>
      <c r="K241" s="113">
        <f t="shared" si="14"/>
        <v>66615.694164989938</v>
      </c>
    </row>
    <row r="242" spans="1:11" x14ac:dyDescent="0.25">
      <c r="A242" s="49">
        <f>'A) Base RI'!A240</f>
        <v>5799</v>
      </c>
      <c r="B242" s="288" t="str">
        <f>'A) Base RI'!B240</f>
        <v>Servion</v>
      </c>
      <c r="C242" s="10">
        <f>'A) Base RI'!V240</f>
        <v>2107</v>
      </c>
      <c r="D242" s="10">
        <f t="shared" si="16"/>
        <v>1000</v>
      </c>
      <c r="E242" s="411">
        <f t="shared" si="15"/>
        <v>1107</v>
      </c>
      <c r="F242" s="10">
        <f t="shared" si="15"/>
        <v>0</v>
      </c>
      <c r="G242" s="411">
        <f t="shared" si="15"/>
        <v>0</v>
      </c>
      <c r="H242" s="41">
        <f t="shared" si="15"/>
        <v>0</v>
      </c>
      <c r="I242" s="10">
        <f t="shared" si="15"/>
        <v>0</v>
      </c>
      <c r="J242" s="10">
        <f t="shared" si="13"/>
        <v>0</v>
      </c>
      <c r="K242" s="113">
        <f t="shared" si="14"/>
        <v>511418.91348088533</v>
      </c>
    </row>
    <row r="243" spans="1:11" x14ac:dyDescent="0.25">
      <c r="A243" s="49">
        <f>'A) Base RI'!A241</f>
        <v>5803</v>
      </c>
      <c r="B243" s="288" t="str">
        <f>'A) Base RI'!B241</f>
        <v>Vulliens</v>
      </c>
      <c r="C243" s="10">
        <f>'A) Base RI'!V241</f>
        <v>631</v>
      </c>
      <c r="D243" s="10">
        <f t="shared" si="16"/>
        <v>631</v>
      </c>
      <c r="E243" s="411">
        <f t="shared" si="15"/>
        <v>0</v>
      </c>
      <c r="F243" s="10">
        <f t="shared" si="15"/>
        <v>0</v>
      </c>
      <c r="G243" s="411">
        <f t="shared" si="15"/>
        <v>0</v>
      </c>
      <c r="H243" s="41">
        <f t="shared" si="15"/>
        <v>0</v>
      </c>
      <c r="I243" s="10">
        <f t="shared" si="15"/>
        <v>0</v>
      </c>
      <c r="J243" s="10">
        <f t="shared" si="13"/>
        <v>0</v>
      </c>
      <c r="K243" s="113">
        <f t="shared" si="14"/>
        <v>78716.297786720315</v>
      </c>
    </row>
    <row r="244" spans="1:11" x14ac:dyDescent="0.25">
      <c r="A244" s="49">
        <f>'A) Base RI'!A242</f>
        <v>5804</v>
      </c>
      <c r="B244" s="288" t="str">
        <f>'A) Base RI'!B242</f>
        <v>Jorat-Menthue</v>
      </c>
      <c r="C244" s="10">
        <f>'A) Base RI'!V242</f>
        <v>1603</v>
      </c>
      <c r="D244" s="10">
        <f t="shared" si="16"/>
        <v>1000</v>
      </c>
      <c r="E244" s="411">
        <f t="shared" si="15"/>
        <v>603</v>
      </c>
      <c r="F244" s="10">
        <f t="shared" si="15"/>
        <v>0</v>
      </c>
      <c r="G244" s="411">
        <f t="shared" si="15"/>
        <v>0</v>
      </c>
      <c r="H244" s="41">
        <f t="shared" si="15"/>
        <v>0</v>
      </c>
      <c r="I244" s="10">
        <f t="shared" si="15"/>
        <v>0</v>
      </c>
      <c r="J244" s="10">
        <f t="shared" si="13"/>
        <v>0</v>
      </c>
      <c r="K244" s="113">
        <f t="shared" si="14"/>
        <v>335373.84305835009</v>
      </c>
    </row>
    <row r="245" spans="1:11" x14ac:dyDescent="0.25">
      <c r="A245" s="49">
        <f>'A) Base RI'!A243</f>
        <v>5805</v>
      </c>
      <c r="B245" s="288" t="str">
        <f>'A) Base RI'!B243</f>
        <v>Oron</v>
      </c>
      <c r="C245" s="10">
        <f>'A) Base RI'!V243</f>
        <v>5703</v>
      </c>
      <c r="D245" s="10">
        <f t="shared" si="16"/>
        <v>1000</v>
      </c>
      <c r="E245" s="411">
        <f t="shared" si="15"/>
        <v>2000</v>
      </c>
      <c r="F245" s="10">
        <f t="shared" si="15"/>
        <v>2000</v>
      </c>
      <c r="G245" s="411">
        <f t="shared" si="15"/>
        <v>703</v>
      </c>
      <c r="H245" s="41">
        <f t="shared" si="15"/>
        <v>0</v>
      </c>
      <c r="I245" s="10">
        <f t="shared" si="15"/>
        <v>0</v>
      </c>
      <c r="J245" s="10">
        <f t="shared" si="13"/>
        <v>0</v>
      </c>
      <c r="K245" s="113">
        <f t="shared" si="14"/>
        <v>2242279.2756539234</v>
      </c>
    </row>
    <row r="246" spans="1:11" x14ac:dyDescent="0.25">
      <c r="A246" s="49">
        <f>'A) Base RI'!A244</f>
        <v>5806</v>
      </c>
      <c r="B246" s="288" t="str">
        <f>'A) Base RI'!B244</f>
        <v>Jorat-Mézières</v>
      </c>
      <c r="C246" s="10">
        <f>'A) Base RI'!V244</f>
        <v>3095</v>
      </c>
      <c r="D246" s="10">
        <f t="shared" si="16"/>
        <v>1000</v>
      </c>
      <c r="E246" s="411">
        <f t="shared" si="15"/>
        <v>2000</v>
      </c>
      <c r="F246" s="10">
        <f t="shared" si="15"/>
        <v>95</v>
      </c>
      <c r="G246" s="411">
        <f t="shared" si="15"/>
        <v>0</v>
      </c>
      <c r="H246" s="41">
        <f t="shared" si="15"/>
        <v>0</v>
      </c>
      <c r="I246" s="10">
        <f t="shared" si="15"/>
        <v>0</v>
      </c>
      <c r="J246" s="10">
        <f t="shared" si="13"/>
        <v>0</v>
      </c>
      <c r="K246" s="113">
        <f t="shared" si="14"/>
        <v>870744.46680080472</v>
      </c>
    </row>
    <row r="247" spans="1:11" x14ac:dyDescent="0.25">
      <c r="A247" s="49">
        <f>'A) Base RI'!A245</f>
        <v>5812</v>
      </c>
      <c r="B247" s="288" t="str">
        <f>'A) Base RI'!B245</f>
        <v>Champtauroz</v>
      </c>
      <c r="C247" s="10">
        <f>'A) Base RI'!V245</f>
        <v>169</v>
      </c>
      <c r="D247" s="10">
        <f t="shared" si="16"/>
        <v>169</v>
      </c>
      <c r="E247" s="411">
        <f t="shared" si="15"/>
        <v>0</v>
      </c>
      <c r="F247" s="10">
        <f t="shared" si="15"/>
        <v>0</v>
      </c>
      <c r="G247" s="411">
        <f t="shared" si="15"/>
        <v>0</v>
      </c>
      <c r="H247" s="41">
        <f t="shared" si="15"/>
        <v>0</v>
      </c>
      <c r="I247" s="10">
        <f t="shared" si="15"/>
        <v>0</v>
      </c>
      <c r="J247" s="10">
        <f t="shared" si="13"/>
        <v>0</v>
      </c>
      <c r="K247" s="113">
        <f t="shared" si="14"/>
        <v>21082.494969818912</v>
      </c>
    </row>
    <row r="248" spans="1:11" x14ac:dyDescent="0.25">
      <c r="A248" s="49">
        <f>'A) Base RI'!A246</f>
        <v>5813</v>
      </c>
      <c r="B248" s="288" t="str">
        <f>'A) Base RI'!B246</f>
        <v>Chevroux</v>
      </c>
      <c r="C248" s="10">
        <f>'A) Base RI'!V246</f>
        <v>506</v>
      </c>
      <c r="D248" s="10">
        <f t="shared" si="16"/>
        <v>506</v>
      </c>
      <c r="E248" s="411">
        <f t="shared" si="15"/>
        <v>0</v>
      </c>
      <c r="F248" s="10">
        <f t="shared" si="15"/>
        <v>0</v>
      </c>
      <c r="G248" s="411">
        <f t="shared" si="15"/>
        <v>0</v>
      </c>
      <c r="H248" s="41">
        <f t="shared" si="15"/>
        <v>0</v>
      </c>
      <c r="I248" s="10">
        <f t="shared" si="15"/>
        <v>0</v>
      </c>
      <c r="J248" s="10">
        <f t="shared" si="13"/>
        <v>0</v>
      </c>
      <c r="K248" s="113">
        <f t="shared" si="14"/>
        <v>63122.736418511064</v>
      </c>
    </row>
    <row r="249" spans="1:11" x14ac:dyDescent="0.25">
      <c r="A249" s="49">
        <f>'A) Base RI'!A247</f>
        <v>5816</v>
      </c>
      <c r="B249" s="288" t="str">
        <f>'A) Base RI'!B247</f>
        <v>Corcelles-près-Payerne</v>
      </c>
      <c r="C249" s="10">
        <f>'A) Base RI'!V247</f>
        <v>2722</v>
      </c>
      <c r="D249" s="10">
        <f t="shared" si="16"/>
        <v>1000</v>
      </c>
      <c r="E249" s="411">
        <f t="shared" si="15"/>
        <v>1722</v>
      </c>
      <c r="F249" s="10">
        <f t="shared" si="15"/>
        <v>0</v>
      </c>
      <c r="G249" s="411">
        <f t="shared" si="15"/>
        <v>0</v>
      </c>
      <c r="H249" s="41">
        <f t="shared" si="15"/>
        <v>0</v>
      </c>
      <c r="I249" s="10">
        <f t="shared" si="15"/>
        <v>0</v>
      </c>
      <c r="J249" s="10">
        <f t="shared" si="13"/>
        <v>0</v>
      </c>
      <c r="K249" s="113">
        <f t="shared" si="14"/>
        <v>726235.81488933589</v>
      </c>
    </row>
    <row r="250" spans="1:11" x14ac:dyDescent="0.25">
      <c r="A250" s="49">
        <f>'A) Base RI'!A248</f>
        <v>5817</v>
      </c>
      <c r="B250" s="288" t="str">
        <f>'A) Base RI'!B248</f>
        <v>Grandcour</v>
      </c>
      <c r="C250" s="10">
        <f>'A) Base RI'!V248</f>
        <v>987</v>
      </c>
      <c r="D250" s="10">
        <f t="shared" si="16"/>
        <v>987</v>
      </c>
      <c r="E250" s="411">
        <f t="shared" si="15"/>
        <v>0</v>
      </c>
      <c r="F250" s="10">
        <f t="shared" si="15"/>
        <v>0</v>
      </c>
      <c r="G250" s="411">
        <f t="shared" si="15"/>
        <v>0</v>
      </c>
      <c r="H250" s="41">
        <f t="shared" si="15"/>
        <v>0</v>
      </c>
      <c r="I250" s="10">
        <f t="shared" si="15"/>
        <v>0</v>
      </c>
      <c r="J250" s="10">
        <f t="shared" si="13"/>
        <v>0</v>
      </c>
      <c r="K250" s="113">
        <f t="shared" si="14"/>
        <v>123126.76056338027</v>
      </c>
    </row>
    <row r="251" spans="1:11" x14ac:dyDescent="0.25">
      <c r="A251" s="49">
        <f>'A) Base RI'!A249</f>
        <v>5819</v>
      </c>
      <c r="B251" s="288" t="str">
        <f>'A) Base RI'!B249</f>
        <v>Henniez</v>
      </c>
      <c r="C251" s="10">
        <f>'A) Base RI'!V249</f>
        <v>407</v>
      </c>
      <c r="D251" s="10">
        <f t="shared" si="16"/>
        <v>407</v>
      </c>
      <c r="E251" s="411">
        <f t="shared" si="15"/>
        <v>0</v>
      </c>
      <c r="F251" s="10">
        <f t="shared" si="15"/>
        <v>0</v>
      </c>
      <c r="G251" s="411">
        <f t="shared" si="15"/>
        <v>0</v>
      </c>
      <c r="H251" s="41">
        <f t="shared" si="15"/>
        <v>0</v>
      </c>
      <c r="I251" s="10">
        <f t="shared" si="15"/>
        <v>0</v>
      </c>
      <c r="J251" s="10">
        <f t="shared" si="13"/>
        <v>0</v>
      </c>
      <c r="K251" s="113">
        <f t="shared" si="14"/>
        <v>50772.635814889334</v>
      </c>
    </row>
    <row r="252" spans="1:11" x14ac:dyDescent="0.25">
      <c r="A252" s="49">
        <f>'A) Base RI'!A250</f>
        <v>5821</v>
      </c>
      <c r="B252" s="288" t="str">
        <f>'A) Base RI'!B250</f>
        <v>Missy</v>
      </c>
      <c r="C252" s="10">
        <f>'A) Base RI'!V250</f>
        <v>366</v>
      </c>
      <c r="D252" s="10">
        <f t="shared" si="16"/>
        <v>366</v>
      </c>
      <c r="E252" s="411">
        <f t="shared" si="15"/>
        <v>0</v>
      </c>
      <c r="F252" s="10">
        <f t="shared" si="15"/>
        <v>0</v>
      </c>
      <c r="G252" s="411">
        <f t="shared" si="15"/>
        <v>0</v>
      </c>
      <c r="H252" s="41">
        <f t="shared" si="15"/>
        <v>0</v>
      </c>
      <c r="I252" s="10">
        <f t="shared" si="15"/>
        <v>0</v>
      </c>
      <c r="J252" s="10">
        <f t="shared" si="13"/>
        <v>0</v>
      </c>
      <c r="K252" s="113">
        <f t="shared" si="14"/>
        <v>45657.947686116699</v>
      </c>
    </row>
    <row r="253" spans="1:11" x14ac:dyDescent="0.25">
      <c r="A253" s="49">
        <f>'A) Base RI'!A251</f>
        <v>5822</v>
      </c>
      <c r="B253" s="288" t="str">
        <f>'A) Base RI'!B251</f>
        <v>Payerne</v>
      </c>
      <c r="C253" s="10">
        <f>'A) Base RI'!V251</f>
        <v>10258</v>
      </c>
      <c r="D253" s="10">
        <f t="shared" si="16"/>
        <v>1000</v>
      </c>
      <c r="E253" s="411">
        <f t="shared" si="15"/>
        <v>2000</v>
      </c>
      <c r="F253" s="10">
        <f t="shared" si="15"/>
        <v>2000</v>
      </c>
      <c r="G253" s="411">
        <f t="shared" si="15"/>
        <v>4000</v>
      </c>
      <c r="H253" s="41">
        <f t="shared" si="15"/>
        <v>1258</v>
      </c>
      <c r="I253" s="10">
        <f t="shared" si="15"/>
        <v>0</v>
      </c>
      <c r="J253" s="10">
        <f t="shared" si="13"/>
        <v>0</v>
      </c>
      <c r="K253" s="113">
        <f t="shared" si="14"/>
        <v>5283647.4849094562</v>
      </c>
    </row>
    <row r="254" spans="1:11" x14ac:dyDescent="0.25">
      <c r="A254" s="49">
        <f>'A) Base RI'!A252</f>
        <v>5827</v>
      </c>
      <c r="B254" s="288" t="str">
        <f>'A) Base RI'!B252</f>
        <v>Trey</v>
      </c>
      <c r="C254" s="10">
        <f>'A) Base RI'!V252</f>
        <v>321</v>
      </c>
      <c r="D254" s="10">
        <f t="shared" si="16"/>
        <v>321</v>
      </c>
      <c r="E254" s="411">
        <f t="shared" si="15"/>
        <v>0</v>
      </c>
      <c r="F254" s="10">
        <f t="shared" si="15"/>
        <v>0</v>
      </c>
      <c r="G254" s="411">
        <f t="shared" si="15"/>
        <v>0</v>
      </c>
      <c r="H254" s="41">
        <f t="shared" si="15"/>
        <v>0</v>
      </c>
      <c r="I254" s="10">
        <f t="shared" si="15"/>
        <v>0</v>
      </c>
      <c r="J254" s="10">
        <f t="shared" si="13"/>
        <v>0</v>
      </c>
      <c r="K254" s="113">
        <f t="shared" si="14"/>
        <v>40044.265593561366</v>
      </c>
    </row>
    <row r="255" spans="1:11" x14ac:dyDescent="0.25">
      <c r="A255" s="49">
        <f>'A) Base RI'!A253</f>
        <v>5828</v>
      </c>
      <c r="B255" s="288" t="str">
        <f>'A) Base RI'!B253</f>
        <v>Treytorrens (Payerne)</v>
      </c>
      <c r="C255" s="10">
        <f>'A) Base RI'!V253</f>
        <v>110</v>
      </c>
      <c r="D255" s="10">
        <f t="shared" si="16"/>
        <v>110</v>
      </c>
      <c r="E255" s="411">
        <f t="shared" si="15"/>
        <v>0</v>
      </c>
      <c r="F255" s="10">
        <f t="shared" si="15"/>
        <v>0</v>
      </c>
      <c r="G255" s="411">
        <f t="shared" si="15"/>
        <v>0</v>
      </c>
      <c r="H255" s="41">
        <f t="shared" si="15"/>
        <v>0</v>
      </c>
      <c r="I255" s="10">
        <f t="shared" si="15"/>
        <v>0</v>
      </c>
      <c r="J255" s="10">
        <f t="shared" si="13"/>
        <v>0</v>
      </c>
      <c r="K255" s="113">
        <f t="shared" si="14"/>
        <v>13722.334004024144</v>
      </c>
    </row>
    <row r="256" spans="1:11" x14ac:dyDescent="0.25">
      <c r="A256" s="49">
        <f>'A) Base RI'!A254</f>
        <v>5830</v>
      </c>
      <c r="B256" s="288" t="str">
        <f>'A) Base RI'!B254</f>
        <v>Villarzel</v>
      </c>
      <c r="C256" s="10">
        <f>'A) Base RI'!V254</f>
        <v>500</v>
      </c>
      <c r="D256" s="10">
        <f t="shared" si="16"/>
        <v>500</v>
      </c>
      <c r="E256" s="411">
        <f t="shared" si="15"/>
        <v>0</v>
      </c>
      <c r="F256" s="10">
        <f t="shared" si="15"/>
        <v>0</v>
      </c>
      <c r="G256" s="411">
        <f t="shared" si="15"/>
        <v>0</v>
      </c>
      <c r="H256" s="41">
        <f t="shared" si="15"/>
        <v>0</v>
      </c>
      <c r="I256" s="10">
        <f t="shared" si="15"/>
        <v>0</v>
      </c>
      <c r="J256" s="10">
        <f t="shared" si="13"/>
        <v>0</v>
      </c>
      <c r="K256" s="113">
        <f t="shared" si="14"/>
        <v>62374.245472837021</v>
      </c>
    </row>
    <row r="257" spans="1:11" x14ac:dyDescent="0.25">
      <c r="A257" s="49">
        <f>'A) Base RI'!A255</f>
        <v>5831</v>
      </c>
      <c r="B257" s="288" t="str">
        <f>'A) Base RI'!B255</f>
        <v>Valbroye</v>
      </c>
      <c r="C257" s="10">
        <f>'A) Base RI'!V255</f>
        <v>3349</v>
      </c>
      <c r="D257" s="10">
        <f t="shared" si="16"/>
        <v>1000</v>
      </c>
      <c r="E257" s="411">
        <f t="shared" si="15"/>
        <v>2000</v>
      </c>
      <c r="F257" s="10">
        <f t="shared" si="15"/>
        <v>349</v>
      </c>
      <c r="G257" s="411">
        <f t="shared" si="15"/>
        <v>0</v>
      </c>
      <c r="H257" s="41">
        <f t="shared" si="15"/>
        <v>0</v>
      </c>
      <c r="I257" s="10">
        <f t="shared" si="15"/>
        <v>0</v>
      </c>
      <c r="J257" s="10">
        <f t="shared" si="13"/>
        <v>0</v>
      </c>
      <c r="K257" s="113">
        <f t="shared" si="14"/>
        <v>997488.93360160955</v>
      </c>
    </row>
    <row r="258" spans="1:11" x14ac:dyDescent="0.25">
      <c r="A258" s="49">
        <f>'A) Base RI'!A256</f>
        <v>5841</v>
      </c>
      <c r="B258" s="288" t="str">
        <f>'A) Base RI'!B256</f>
        <v>Château-d'Oex</v>
      </c>
      <c r="C258" s="10">
        <f>'A) Base RI'!V256</f>
        <v>3549</v>
      </c>
      <c r="D258" s="10">
        <f t="shared" si="16"/>
        <v>1000</v>
      </c>
      <c r="E258" s="411">
        <f t="shared" si="15"/>
        <v>2000</v>
      </c>
      <c r="F258" s="10">
        <f t="shared" si="15"/>
        <v>549</v>
      </c>
      <c r="G258" s="411">
        <f t="shared" si="15"/>
        <v>0</v>
      </c>
      <c r="H258" s="41">
        <f t="shared" si="15"/>
        <v>0</v>
      </c>
      <c r="I258" s="10">
        <f t="shared" si="15"/>
        <v>0</v>
      </c>
      <c r="J258" s="10">
        <f t="shared" si="13"/>
        <v>0</v>
      </c>
      <c r="K258" s="113">
        <f t="shared" si="14"/>
        <v>1097287.7263581487</v>
      </c>
    </row>
    <row r="259" spans="1:11" x14ac:dyDescent="0.25">
      <c r="A259" s="49">
        <f>'A) Base RI'!A257</f>
        <v>5842</v>
      </c>
      <c r="B259" s="288" t="str">
        <f>'A) Base RI'!B257</f>
        <v>Rossinière</v>
      </c>
      <c r="C259" s="10">
        <f>'A) Base RI'!V257</f>
        <v>534</v>
      </c>
      <c r="D259" s="10">
        <f t="shared" si="16"/>
        <v>534</v>
      </c>
      <c r="E259" s="411">
        <f t="shared" si="15"/>
        <v>0</v>
      </c>
      <c r="F259" s="10">
        <f t="shared" si="15"/>
        <v>0</v>
      </c>
      <c r="G259" s="411">
        <f t="shared" ref="E259:I310" si="17">IF($C259&gt;G$5,IF($C259&lt;G$6,$C259-G$5,G$6-G$5),0)</f>
        <v>0</v>
      </c>
      <c r="H259" s="41">
        <f t="shared" si="17"/>
        <v>0</v>
      </c>
      <c r="I259" s="10">
        <f t="shared" si="17"/>
        <v>0</v>
      </c>
      <c r="J259" s="10">
        <f t="shared" si="13"/>
        <v>0</v>
      </c>
      <c r="K259" s="113">
        <f t="shared" si="14"/>
        <v>66615.694164989938</v>
      </c>
    </row>
    <row r="260" spans="1:11" x14ac:dyDescent="0.25">
      <c r="A260" s="49">
        <f>'A) Base RI'!A258</f>
        <v>5843</v>
      </c>
      <c r="B260" s="288" t="str">
        <f>'A) Base RI'!B258</f>
        <v>Rougemont</v>
      </c>
      <c r="C260" s="10">
        <f>'A) Base RI'!V258</f>
        <v>862</v>
      </c>
      <c r="D260" s="10">
        <f t="shared" si="16"/>
        <v>862</v>
      </c>
      <c r="E260" s="411">
        <f t="shared" si="17"/>
        <v>0</v>
      </c>
      <c r="F260" s="10">
        <f t="shared" si="17"/>
        <v>0</v>
      </c>
      <c r="G260" s="411">
        <f t="shared" si="17"/>
        <v>0</v>
      </c>
      <c r="H260" s="41">
        <f t="shared" si="17"/>
        <v>0</v>
      </c>
      <c r="I260" s="10">
        <f t="shared" si="17"/>
        <v>0</v>
      </c>
      <c r="J260" s="10">
        <f t="shared" si="13"/>
        <v>0</v>
      </c>
      <c r="K260" s="113">
        <f t="shared" si="14"/>
        <v>107533.19919517102</v>
      </c>
    </row>
    <row r="261" spans="1:11" x14ac:dyDescent="0.25">
      <c r="A261" s="49">
        <f>'A) Base RI'!A259</f>
        <v>5851</v>
      </c>
      <c r="B261" s="288" t="str">
        <f>'A) Base RI'!B259</f>
        <v>Allaman</v>
      </c>
      <c r="C261" s="10">
        <f>'A) Base RI'!V259</f>
        <v>430</v>
      </c>
      <c r="D261" s="10">
        <f t="shared" si="16"/>
        <v>430</v>
      </c>
      <c r="E261" s="411">
        <f t="shared" si="17"/>
        <v>0</v>
      </c>
      <c r="F261" s="10">
        <f t="shared" si="17"/>
        <v>0</v>
      </c>
      <c r="G261" s="411">
        <f t="shared" si="17"/>
        <v>0</v>
      </c>
      <c r="H261" s="41">
        <f t="shared" si="17"/>
        <v>0</v>
      </c>
      <c r="I261" s="10">
        <f t="shared" si="17"/>
        <v>0</v>
      </c>
      <c r="J261" s="10">
        <f t="shared" si="13"/>
        <v>0</v>
      </c>
      <c r="K261" s="113">
        <f t="shared" si="14"/>
        <v>53641.851106639835</v>
      </c>
    </row>
    <row r="262" spans="1:11" x14ac:dyDescent="0.25">
      <c r="A262" s="49">
        <f>'A) Base RI'!A260</f>
        <v>5852</v>
      </c>
      <c r="B262" s="288" t="str">
        <f>'A) Base RI'!B260</f>
        <v>Bursinel</v>
      </c>
      <c r="C262" s="10">
        <f>'A) Base RI'!V260</f>
        <v>515</v>
      </c>
      <c r="D262" s="10">
        <f t="shared" si="16"/>
        <v>515</v>
      </c>
      <c r="E262" s="411">
        <f t="shared" si="17"/>
        <v>0</v>
      </c>
      <c r="F262" s="10">
        <f t="shared" si="17"/>
        <v>0</v>
      </c>
      <c r="G262" s="411">
        <f t="shared" si="17"/>
        <v>0</v>
      </c>
      <c r="H262" s="41">
        <f t="shared" si="17"/>
        <v>0</v>
      </c>
      <c r="I262" s="10">
        <f t="shared" si="17"/>
        <v>0</v>
      </c>
      <c r="J262" s="10">
        <f t="shared" si="13"/>
        <v>0</v>
      </c>
      <c r="K262" s="113">
        <f t="shared" si="14"/>
        <v>64245.472837022127</v>
      </c>
    </row>
    <row r="263" spans="1:11" x14ac:dyDescent="0.25">
      <c r="A263" s="49">
        <f>'A) Base RI'!A261</f>
        <v>5853</v>
      </c>
      <c r="B263" s="288" t="str">
        <f>'A) Base RI'!B261</f>
        <v>Bursins</v>
      </c>
      <c r="C263" s="10">
        <f>'A) Base RI'!V261</f>
        <v>773</v>
      </c>
      <c r="D263" s="10">
        <f t="shared" si="16"/>
        <v>773</v>
      </c>
      <c r="E263" s="411">
        <f t="shared" si="17"/>
        <v>0</v>
      </c>
      <c r="F263" s="10">
        <f t="shared" si="17"/>
        <v>0</v>
      </c>
      <c r="G263" s="411">
        <f t="shared" si="17"/>
        <v>0</v>
      </c>
      <c r="H263" s="41">
        <f t="shared" si="17"/>
        <v>0</v>
      </c>
      <c r="I263" s="10">
        <f t="shared" si="17"/>
        <v>0</v>
      </c>
      <c r="J263" s="10">
        <f t="shared" si="13"/>
        <v>0</v>
      </c>
      <c r="K263" s="113">
        <f t="shared" si="14"/>
        <v>96430.583501006025</v>
      </c>
    </row>
    <row r="264" spans="1:11" x14ac:dyDescent="0.25">
      <c r="A264" s="49">
        <f>'A) Base RI'!A262</f>
        <v>5854</v>
      </c>
      <c r="B264" s="288" t="str">
        <f>'A) Base RI'!B262</f>
        <v>Burtigny</v>
      </c>
      <c r="C264" s="10">
        <f>'A) Base RI'!V262</f>
        <v>416</v>
      </c>
      <c r="D264" s="10">
        <f t="shared" si="16"/>
        <v>416</v>
      </c>
      <c r="E264" s="411">
        <f t="shared" si="17"/>
        <v>0</v>
      </c>
      <c r="F264" s="10">
        <f t="shared" si="17"/>
        <v>0</v>
      </c>
      <c r="G264" s="411">
        <f t="shared" si="17"/>
        <v>0</v>
      </c>
      <c r="H264" s="41">
        <f t="shared" si="17"/>
        <v>0</v>
      </c>
      <c r="I264" s="10">
        <f t="shared" si="17"/>
        <v>0</v>
      </c>
      <c r="J264" s="10">
        <f t="shared" si="13"/>
        <v>0</v>
      </c>
      <c r="K264" s="113">
        <f t="shared" si="14"/>
        <v>51895.372233400398</v>
      </c>
    </row>
    <row r="265" spans="1:11" x14ac:dyDescent="0.25">
      <c r="A265" s="49">
        <f>'A) Base RI'!A263</f>
        <v>5855</v>
      </c>
      <c r="B265" s="288" t="str">
        <f>'A) Base RI'!B263</f>
        <v>Dully</v>
      </c>
      <c r="C265" s="10">
        <f>'A) Base RI'!V263</f>
        <v>634</v>
      </c>
      <c r="D265" s="10">
        <f t="shared" si="16"/>
        <v>634</v>
      </c>
      <c r="E265" s="411">
        <f t="shared" si="17"/>
        <v>0</v>
      </c>
      <c r="F265" s="10">
        <f t="shared" si="17"/>
        <v>0</v>
      </c>
      <c r="G265" s="411">
        <f t="shared" si="17"/>
        <v>0</v>
      </c>
      <c r="H265" s="41">
        <f t="shared" si="17"/>
        <v>0</v>
      </c>
      <c r="I265" s="10">
        <f t="shared" si="17"/>
        <v>0</v>
      </c>
      <c r="J265" s="10">
        <f t="shared" ref="J265:J316" si="18">IF(C265&gt;$J$5,C265-$J$5,0)</f>
        <v>0</v>
      </c>
      <c r="K265" s="113">
        <f t="shared" ref="K265:K316" si="19">(D265*D$8)+(E265*E$8)+(F265*F$8)+(G265*G$8)+(H265*H$8)+(I265*I$8)+(J265*J$8)</f>
        <v>79090.543259557337</v>
      </c>
    </row>
    <row r="266" spans="1:11" x14ac:dyDescent="0.25">
      <c r="A266" s="49">
        <f>'A) Base RI'!A264</f>
        <v>5856</v>
      </c>
      <c r="B266" s="288" t="str">
        <f>'A) Base RI'!B264</f>
        <v>Essertines-sur-Rolle</v>
      </c>
      <c r="C266" s="10">
        <f>'A) Base RI'!V264</f>
        <v>753</v>
      </c>
      <c r="D266" s="10">
        <f t="shared" si="16"/>
        <v>753</v>
      </c>
      <c r="E266" s="411">
        <f t="shared" si="17"/>
        <v>0</v>
      </c>
      <c r="F266" s="10">
        <f t="shared" si="17"/>
        <v>0</v>
      </c>
      <c r="G266" s="411">
        <f t="shared" si="17"/>
        <v>0</v>
      </c>
      <c r="H266" s="41">
        <f t="shared" si="17"/>
        <v>0</v>
      </c>
      <c r="I266" s="10">
        <f t="shared" si="17"/>
        <v>0</v>
      </c>
      <c r="J266" s="10">
        <f t="shared" si="18"/>
        <v>0</v>
      </c>
      <c r="K266" s="113">
        <f t="shared" si="19"/>
        <v>93935.613682092546</v>
      </c>
    </row>
    <row r="267" spans="1:11" x14ac:dyDescent="0.25">
      <c r="A267" s="49">
        <f>'A) Base RI'!A265</f>
        <v>5857</v>
      </c>
      <c r="B267" s="288" t="str">
        <f>'A) Base RI'!B265</f>
        <v>Gilly</v>
      </c>
      <c r="C267" s="10">
        <f>'A) Base RI'!V265</f>
        <v>1438</v>
      </c>
      <c r="D267" s="10">
        <f t="shared" si="16"/>
        <v>1000</v>
      </c>
      <c r="E267" s="411">
        <f t="shared" si="17"/>
        <v>438</v>
      </c>
      <c r="F267" s="10">
        <f t="shared" si="17"/>
        <v>0</v>
      </c>
      <c r="G267" s="411">
        <f t="shared" si="17"/>
        <v>0</v>
      </c>
      <c r="H267" s="41">
        <f t="shared" si="17"/>
        <v>0</v>
      </c>
      <c r="I267" s="10">
        <f t="shared" si="17"/>
        <v>0</v>
      </c>
      <c r="J267" s="10">
        <f t="shared" si="18"/>
        <v>0</v>
      </c>
      <c r="K267" s="113">
        <f t="shared" si="19"/>
        <v>277740.04024144867</v>
      </c>
    </row>
    <row r="268" spans="1:11" x14ac:dyDescent="0.25">
      <c r="A268" s="49">
        <f>'A) Base RI'!A266</f>
        <v>5858</v>
      </c>
      <c r="B268" s="288" t="str">
        <f>'A) Base RI'!B266</f>
        <v>Luins</v>
      </c>
      <c r="C268" s="10">
        <f>'A) Base RI'!V266</f>
        <v>630</v>
      </c>
      <c r="D268" s="10">
        <f t="shared" si="16"/>
        <v>630</v>
      </c>
      <c r="E268" s="411">
        <f t="shared" si="17"/>
        <v>0</v>
      </c>
      <c r="F268" s="10">
        <f t="shared" si="17"/>
        <v>0</v>
      </c>
      <c r="G268" s="411">
        <f t="shared" si="17"/>
        <v>0</v>
      </c>
      <c r="H268" s="41">
        <f t="shared" si="17"/>
        <v>0</v>
      </c>
      <c r="I268" s="10">
        <f t="shared" si="17"/>
        <v>0</v>
      </c>
      <c r="J268" s="10">
        <f t="shared" si="18"/>
        <v>0</v>
      </c>
      <c r="K268" s="113">
        <f t="shared" si="19"/>
        <v>78591.549295774646</v>
      </c>
    </row>
    <row r="269" spans="1:11" x14ac:dyDescent="0.25">
      <c r="A269" s="49">
        <f>'A) Base RI'!A267</f>
        <v>5859</v>
      </c>
      <c r="B269" s="288" t="str">
        <f>'A) Base RI'!B267</f>
        <v>Mont-sur-Rolle</v>
      </c>
      <c r="C269" s="10">
        <f>'A) Base RI'!V267</f>
        <v>2739</v>
      </c>
      <c r="D269" s="10">
        <f t="shared" si="16"/>
        <v>1000</v>
      </c>
      <c r="E269" s="411">
        <f t="shared" si="17"/>
        <v>1739</v>
      </c>
      <c r="F269" s="10">
        <f t="shared" si="17"/>
        <v>0</v>
      </c>
      <c r="G269" s="411">
        <f t="shared" si="17"/>
        <v>0</v>
      </c>
      <c r="H269" s="41">
        <f t="shared" si="17"/>
        <v>0</v>
      </c>
      <c r="I269" s="10">
        <f t="shared" si="17"/>
        <v>0</v>
      </c>
      <c r="J269" s="10">
        <f t="shared" si="18"/>
        <v>0</v>
      </c>
      <c r="K269" s="113">
        <f t="shared" si="19"/>
        <v>732173.84305835003</v>
      </c>
    </row>
    <row r="270" spans="1:11" x14ac:dyDescent="0.25">
      <c r="A270" s="49">
        <f>'A) Base RI'!A268</f>
        <v>5860</v>
      </c>
      <c r="B270" s="288" t="str">
        <f>'A) Base RI'!B268</f>
        <v>Perroy</v>
      </c>
      <c r="C270" s="10">
        <f>'A) Base RI'!V268</f>
        <v>1514</v>
      </c>
      <c r="D270" s="10">
        <f t="shared" si="16"/>
        <v>1000</v>
      </c>
      <c r="E270" s="411">
        <f t="shared" si="17"/>
        <v>514</v>
      </c>
      <c r="F270" s="10">
        <f t="shared" si="17"/>
        <v>0</v>
      </c>
      <c r="G270" s="411">
        <f t="shared" si="17"/>
        <v>0</v>
      </c>
      <c r="H270" s="41">
        <f t="shared" si="17"/>
        <v>0</v>
      </c>
      <c r="I270" s="10">
        <f t="shared" si="17"/>
        <v>0</v>
      </c>
      <c r="J270" s="10">
        <f t="shared" si="18"/>
        <v>0</v>
      </c>
      <c r="K270" s="113">
        <f t="shared" si="19"/>
        <v>304286.51911468816</v>
      </c>
    </row>
    <row r="271" spans="1:11" x14ac:dyDescent="0.25">
      <c r="A271" s="49">
        <f>'A) Base RI'!A269</f>
        <v>5861</v>
      </c>
      <c r="B271" s="288" t="str">
        <f>'A) Base RI'!B269</f>
        <v>Rolle</v>
      </c>
      <c r="C271" s="10">
        <f>'A) Base RI'!V269</f>
        <v>6291</v>
      </c>
      <c r="D271" s="10">
        <f t="shared" si="16"/>
        <v>1000</v>
      </c>
      <c r="E271" s="411">
        <f t="shared" si="17"/>
        <v>2000</v>
      </c>
      <c r="F271" s="10">
        <f t="shared" si="17"/>
        <v>2000</v>
      </c>
      <c r="G271" s="411">
        <f t="shared" si="17"/>
        <v>1291</v>
      </c>
      <c r="H271" s="41">
        <f t="shared" si="17"/>
        <v>0</v>
      </c>
      <c r="I271" s="10">
        <f t="shared" si="17"/>
        <v>0</v>
      </c>
      <c r="J271" s="10">
        <f t="shared" si="18"/>
        <v>0</v>
      </c>
      <c r="K271" s="113">
        <f t="shared" si="19"/>
        <v>2594369.4164989935</v>
      </c>
    </row>
    <row r="272" spans="1:11" x14ac:dyDescent="0.25">
      <c r="A272" s="49">
        <f>'A) Base RI'!A270</f>
        <v>5862</v>
      </c>
      <c r="B272" s="288" t="str">
        <f>'A) Base RI'!B270</f>
        <v>Tartegnin</v>
      </c>
      <c r="C272" s="10">
        <f>'A) Base RI'!V270</f>
        <v>241</v>
      </c>
      <c r="D272" s="10">
        <f t="shared" si="16"/>
        <v>241</v>
      </c>
      <c r="E272" s="411">
        <f t="shared" si="17"/>
        <v>0</v>
      </c>
      <c r="F272" s="10">
        <f t="shared" si="17"/>
        <v>0</v>
      </c>
      <c r="G272" s="411">
        <f t="shared" si="17"/>
        <v>0</v>
      </c>
      <c r="H272" s="41">
        <f t="shared" si="17"/>
        <v>0</v>
      </c>
      <c r="I272" s="10">
        <f t="shared" si="17"/>
        <v>0</v>
      </c>
      <c r="J272" s="10">
        <f t="shared" si="18"/>
        <v>0</v>
      </c>
      <c r="K272" s="113">
        <f t="shared" si="19"/>
        <v>30064.386317907443</v>
      </c>
    </row>
    <row r="273" spans="1:11" x14ac:dyDescent="0.25">
      <c r="A273" s="49">
        <f>'A) Base RI'!A271</f>
        <v>5863</v>
      </c>
      <c r="B273" s="288" t="str">
        <f>'A) Base RI'!B271</f>
        <v>Vinzel</v>
      </c>
      <c r="C273" s="10">
        <f>'A) Base RI'!V271</f>
        <v>369</v>
      </c>
      <c r="D273" s="10">
        <f t="shared" si="16"/>
        <v>369</v>
      </c>
      <c r="E273" s="411">
        <f t="shared" si="17"/>
        <v>0</v>
      </c>
      <c r="F273" s="10">
        <f t="shared" si="17"/>
        <v>0</v>
      </c>
      <c r="G273" s="411">
        <f t="shared" si="17"/>
        <v>0</v>
      </c>
      <c r="H273" s="41">
        <f t="shared" si="17"/>
        <v>0</v>
      </c>
      <c r="I273" s="10">
        <f t="shared" si="17"/>
        <v>0</v>
      </c>
      <c r="J273" s="10">
        <f t="shared" si="18"/>
        <v>0</v>
      </c>
      <c r="K273" s="113">
        <f t="shared" si="19"/>
        <v>46032.19315895372</v>
      </c>
    </row>
    <row r="274" spans="1:11" x14ac:dyDescent="0.25">
      <c r="A274" s="49">
        <f>'A) Base RI'!A272</f>
        <v>5871</v>
      </c>
      <c r="B274" s="288" t="str">
        <f>'A) Base RI'!B272</f>
        <v>L'Abbaye</v>
      </c>
      <c r="C274" s="10">
        <f>'A) Base RI'!V272</f>
        <v>1521</v>
      </c>
      <c r="D274" s="10">
        <f t="shared" si="16"/>
        <v>1000</v>
      </c>
      <c r="E274" s="411">
        <f t="shared" si="17"/>
        <v>521</v>
      </c>
      <c r="F274" s="10">
        <f t="shared" si="17"/>
        <v>0</v>
      </c>
      <c r="G274" s="411">
        <f t="shared" si="17"/>
        <v>0</v>
      </c>
      <c r="H274" s="41">
        <f t="shared" si="17"/>
        <v>0</v>
      </c>
      <c r="I274" s="10">
        <f t="shared" si="17"/>
        <v>0</v>
      </c>
      <c r="J274" s="10">
        <f t="shared" si="18"/>
        <v>0</v>
      </c>
      <c r="K274" s="113">
        <f t="shared" si="19"/>
        <v>306731.58953722334</v>
      </c>
    </row>
    <row r="275" spans="1:11" x14ac:dyDescent="0.25">
      <c r="A275" s="49">
        <f>'A) Base RI'!A273</f>
        <v>5872</v>
      </c>
      <c r="B275" s="288" t="str">
        <f>'A) Base RI'!B273</f>
        <v>Le Chenit</v>
      </c>
      <c r="C275" s="10">
        <f>'A) Base RI'!V273</f>
        <v>4569</v>
      </c>
      <c r="D275" s="10">
        <f t="shared" si="16"/>
        <v>1000</v>
      </c>
      <c r="E275" s="411">
        <f t="shared" si="17"/>
        <v>2000</v>
      </c>
      <c r="F275" s="10">
        <f t="shared" si="17"/>
        <v>1569</v>
      </c>
      <c r="G275" s="411">
        <f t="shared" si="17"/>
        <v>0</v>
      </c>
      <c r="H275" s="41">
        <f t="shared" si="17"/>
        <v>0</v>
      </c>
      <c r="I275" s="10">
        <f t="shared" si="17"/>
        <v>0</v>
      </c>
      <c r="J275" s="10">
        <f t="shared" si="18"/>
        <v>0</v>
      </c>
      <c r="K275" s="113">
        <f t="shared" si="19"/>
        <v>1606261.5694164988</v>
      </c>
    </row>
    <row r="276" spans="1:11" x14ac:dyDescent="0.25">
      <c r="A276" s="49">
        <f>'A) Base RI'!A274</f>
        <v>5873</v>
      </c>
      <c r="B276" s="288" t="str">
        <f>'A) Base RI'!B274</f>
        <v>Le Lieu</v>
      </c>
      <c r="C276" s="10">
        <f>'A) Base RI'!V274</f>
        <v>881</v>
      </c>
      <c r="D276" s="10">
        <f t="shared" si="16"/>
        <v>881</v>
      </c>
      <c r="E276" s="411">
        <f t="shared" si="17"/>
        <v>0</v>
      </c>
      <c r="F276" s="10">
        <f t="shared" si="17"/>
        <v>0</v>
      </c>
      <c r="G276" s="411">
        <f t="shared" si="17"/>
        <v>0</v>
      </c>
      <c r="H276" s="41">
        <f t="shared" si="17"/>
        <v>0</v>
      </c>
      <c r="I276" s="10">
        <f t="shared" si="17"/>
        <v>0</v>
      </c>
      <c r="J276" s="10">
        <f t="shared" si="18"/>
        <v>0</v>
      </c>
      <c r="K276" s="113">
        <f t="shared" si="19"/>
        <v>109903.42052313882</v>
      </c>
    </row>
    <row r="277" spans="1:11" x14ac:dyDescent="0.25">
      <c r="A277" s="49">
        <f>'A) Base RI'!A275</f>
        <v>5881</v>
      </c>
      <c r="B277" s="288" t="str">
        <f>'A) Base RI'!B275</f>
        <v>Blonay</v>
      </c>
      <c r="C277" s="10">
        <f>'A) Base RI'!V275</f>
        <v>6291</v>
      </c>
      <c r="D277" s="10">
        <f t="shared" si="16"/>
        <v>1000</v>
      </c>
      <c r="E277" s="411">
        <f t="shared" si="17"/>
        <v>2000</v>
      </c>
      <c r="F277" s="10">
        <f t="shared" si="17"/>
        <v>2000</v>
      </c>
      <c r="G277" s="411">
        <f t="shared" si="17"/>
        <v>1291</v>
      </c>
      <c r="H277" s="41">
        <f t="shared" si="17"/>
        <v>0</v>
      </c>
      <c r="I277" s="10">
        <f t="shared" si="17"/>
        <v>0</v>
      </c>
      <c r="J277" s="10">
        <f t="shared" si="18"/>
        <v>0</v>
      </c>
      <c r="K277" s="113">
        <f t="shared" si="19"/>
        <v>2594369.4164989935</v>
      </c>
    </row>
    <row r="278" spans="1:11" x14ac:dyDescent="0.25">
      <c r="A278" s="49">
        <f>'A) Base RI'!A276</f>
        <v>5882</v>
      </c>
      <c r="B278" s="288" t="str">
        <f>'A) Base RI'!B276</f>
        <v>Chardonne</v>
      </c>
      <c r="C278" s="10">
        <f>'A) Base RI'!V276</f>
        <v>3078</v>
      </c>
      <c r="D278" s="10">
        <f t="shared" si="16"/>
        <v>1000</v>
      </c>
      <c r="E278" s="411">
        <f t="shared" si="17"/>
        <v>2000</v>
      </c>
      <c r="F278" s="10">
        <f t="shared" si="17"/>
        <v>78</v>
      </c>
      <c r="G278" s="411">
        <f t="shared" si="17"/>
        <v>0</v>
      </c>
      <c r="H278" s="41">
        <f t="shared" si="17"/>
        <v>0</v>
      </c>
      <c r="I278" s="10">
        <f t="shared" si="17"/>
        <v>0</v>
      </c>
      <c r="J278" s="10">
        <f t="shared" si="18"/>
        <v>0</v>
      </c>
      <c r="K278" s="113">
        <f t="shared" si="19"/>
        <v>862261.56941649888</v>
      </c>
    </row>
    <row r="279" spans="1:11" x14ac:dyDescent="0.25">
      <c r="A279" s="49">
        <f>'A) Base RI'!A277</f>
        <v>5883</v>
      </c>
      <c r="B279" s="288" t="str">
        <f>'A) Base RI'!B277</f>
        <v>Corseaux</v>
      </c>
      <c r="C279" s="10">
        <f>'A) Base RI'!V277</f>
        <v>2330</v>
      </c>
      <c r="D279" s="10">
        <f t="shared" si="16"/>
        <v>1000</v>
      </c>
      <c r="E279" s="411">
        <f t="shared" si="17"/>
        <v>1330</v>
      </c>
      <c r="F279" s="10">
        <f t="shared" si="17"/>
        <v>0</v>
      </c>
      <c r="G279" s="411">
        <f t="shared" si="17"/>
        <v>0</v>
      </c>
      <c r="H279" s="41">
        <f t="shared" si="17"/>
        <v>0</v>
      </c>
      <c r="I279" s="10">
        <f t="shared" si="17"/>
        <v>0</v>
      </c>
      <c r="J279" s="10">
        <f t="shared" si="18"/>
        <v>0</v>
      </c>
      <c r="K279" s="113">
        <f t="shared" si="19"/>
        <v>589311.87122736417</v>
      </c>
    </row>
    <row r="280" spans="1:11" x14ac:dyDescent="0.25">
      <c r="A280" s="49">
        <f>'A) Base RI'!A278</f>
        <v>5884</v>
      </c>
      <c r="B280" s="288" t="str">
        <f>'A) Base RI'!B278</f>
        <v>Corsier-sur-Vevey</v>
      </c>
      <c r="C280" s="10">
        <f>'A) Base RI'!V278</f>
        <v>3390</v>
      </c>
      <c r="D280" s="10">
        <f t="shared" si="16"/>
        <v>1000</v>
      </c>
      <c r="E280" s="411">
        <f t="shared" si="17"/>
        <v>2000</v>
      </c>
      <c r="F280" s="10">
        <f t="shared" si="17"/>
        <v>390</v>
      </c>
      <c r="G280" s="411">
        <f t="shared" si="17"/>
        <v>0</v>
      </c>
      <c r="H280" s="41">
        <f t="shared" si="17"/>
        <v>0</v>
      </c>
      <c r="I280" s="10">
        <f t="shared" si="17"/>
        <v>0</v>
      </c>
      <c r="J280" s="10">
        <f t="shared" si="18"/>
        <v>0</v>
      </c>
      <c r="K280" s="113">
        <f t="shared" si="19"/>
        <v>1017947.6861167001</v>
      </c>
    </row>
    <row r="281" spans="1:11" x14ac:dyDescent="0.25">
      <c r="A281" s="49">
        <f>'A) Base RI'!A279</f>
        <v>5885</v>
      </c>
      <c r="B281" s="288" t="str">
        <f>'A) Base RI'!B279</f>
        <v>Jongny</v>
      </c>
      <c r="C281" s="10">
        <f>'A) Base RI'!V279</f>
        <v>1805</v>
      </c>
      <c r="D281" s="10">
        <f t="shared" si="16"/>
        <v>1000</v>
      </c>
      <c r="E281" s="411">
        <f t="shared" si="17"/>
        <v>805</v>
      </c>
      <c r="F281" s="10">
        <f t="shared" si="17"/>
        <v>0</v>
      </c>
      <c r="G281" s="411">
        <f t="shared" si="17"/>
        <v>0</v>
      </c>
      <c r="H281" s="41">
        <f t="shared" si="17"/>
        <v>0</v>
      </c>
      <c r="I281" s="10">
        <f t="shared" si="17"/>
        <v>0</v>
      </c>
      <c r="J281" s="10">
        <f t="shared" si="18"/>
        <v>0</v>
      </c>
      <c r="K281" s="113">
        <f t="shared" si="19"/>
        <v>405931.58953722334</v>
      </c>
    </row>
    <row r="282" spans="1:11" x14ac:dyDescent="0.25">
      <c r="A282" s="49">
        <f>'A) Base RI'!A280</f>
        <v>5886</v>
      </c>
      <c r="B282" s="288" t="str">
        <f>'A) Base RI'!B280</f>
        <v>Montreux</v>
      </c>
      <c r="C282" s="10">
        <f>'A) Base RI'!V280</f>
        <v>26012</v>
      </c>
      <c r="D282" s="10">
        <f t="shared" si="16"/>
        <v>1000</v>
      </c>
      <c r="E282" s="411">
        <f t="shared" si="17"/>
        <v>2000</v>
      </c>
      <c r="F282" s="10">
        <f t="shared" si="17"/>
        <v>2000</v>
      </c>
      <c r="G282" s="411">
        <f t="shared" si="17"/>
        <v>4000</v>
      </c>
      <c r="H282" s="41">
        <f t="shared" si="17"/>
        <v>3000</v>
      </c>
      <c r="I282" s="10">
        <f t="shared" si="17"/>
        <v>3000</v>
      </c>
      <c r="J282" s="10">
        <f t="shared" si="18"/>
        <v>11012</v>
      </c>
      <c r="K282" s="113">
        <f t="shared" si="19"/>
        <v>21294667.203219313</v>
      </c>
    </row>
    <row r="283" spans="1:11" x14ac:dyDescent="0.25">
      <c r="A283" s="49">
        <f>'A) Base RI'!A281</f>
        <v>5888</v>
      </c>
      <c r="B283" s="288" t="str">
        <f>'A) Base RI'!B281</f>
        <v>Saint-Légier-La Chiésaz</v>
      </c>
      <c r="C283" s="10">
        <f>'A) Base RI'!V281</f>
        <v>5634</v>
      </c>
      <c r="D283" s="10">
        <f t="shared" si="16"/>
        <v>1000</v>
      </c>
      <c r="E283" s="411">
        <f t="shared" si="17"/>
        <v>2000</v>
      </c>
      <c r="F283" s="10">
        <f t="shared" si="17"/>
        <v>2000</v>
      </c>
      <c r="G283" s="411">
        <f t="shared" si="17"/>
        <v>634</v>
      </c>
      <c r="H283" s="41">
        <f t="shared" si="17"/>
        <v>0</v>
      </c>
      <c r="I283" s="10">
        <f t="shared" si="17"/>
        <v>0</v>
      </c>
      <c r="J283" s="10">
        <f t="shared" si="18"/>
        <v>0</v>
      </c>
      <c r="K283" s="113">
        <f t="shared" si="19"/>
        <v>2200962.5754527161</v>
      </c>
    </row>
    <row r="284" spans="1:11" x14ac:dyDescent="0.25">
      <c r="A284" s="49">
        <f>'A) Base RI'!A282</f>
        <v>5889</v>
      </c>
      <c r="B284" s="288" t="str">
        <f>'A) Base RI'!B282</f>
        <v>La Tour-de-Peilz</v>
      </c>
      <c r="C284" s="10">
        <f>'A) Base RI'!V282</f>
        <v>12222</v>
      </c>
      <c r="D284" s="10">
        <f t="shared" si="16"/>
        <v>1000</v>
      </c>
      <c r="E284" s="411">
        <f t="shared" si="17"/>
        <v>2000</v>
      </c>
      <c r="F284" s="10">
        <f t="shared" si="17"/>
        <v>2000</v>
      </c>
      <c r="G284" s="411">
        <f t="shared" si="17"/>
        <v>4000</v>
      </c>
      <c r="H284" s="41">
        <f t="shared" si="17"/>
        <v>3000</v>
      </c>
      <c r="I284" s="10">
        <f t="shared" si="17"/>
        <v>222</v>
      </c>
      <c r="J284" s="10">
        <f t="shared" si="18"/>
        <v>0</v>
      </c>
      <c r="K284" s="113">
        <f t="shared" si="19"/>
        <v>6982921.5291750496</v>
      </c>
    </row>
    <row r="285" spans="1:11" x14ac:dyDescent="0.25">
      <c r="A285" s="49">
        <f>'A) Base RI'!A283</f>
        <v>5890</v>
      </c>
      <c r="B285" s="288" t="str">
        <f>'A) Base RI'!B283</f>
        <v>Vevey</v>
      </c>
      <c r="C285" s="10">
        <f>'A) Base RI'!V283</f>
        <v>19721</v>
      </c>
      <c r="D285" s="10">
        <f t="shared" si="16"/>
        <v>1000</v>
      </c>
      <c r="E285" s="411">
        <f t="shared" si="17"/>
        <v>2000</v>
      </c>
      <c r="F285" s="10">
        <f t="shared" si="17"/>
        <v>2000</v>
      </c>
      <c r="G285" s="411">
        <f t="shared" si="17"/>
        <v>4000</v>
      </c>
      <c r="H285" s="41">
        <f t="shared" si="17"/>
        <v>3000</v>
      </c>
      <c r="I285" s="10">
        <f t="shared" si="17"/>
        <v>3000</v>
      </c>
      <c r="J285" s="10">
        <f t="shared" si="18"/>
        <v>4721</v>
      </c>
      <c r="K285" s="113">
        <f t="shared" si="19"/>
        <v>14702408.048289737</v>
      </c>
    </row>
    <row r="286" spans="1:11" x14ac:dyDescent="0.25">
      <c r="A286" s="49">
        <f>'A) Base RI'!A284</f>
        <v>5891</v>
      </c>
      <c r="B286" s="288" t="str">
        <f>'A) Base RI'!B284</f>
        <v>Veytaux</v>
      </c>
      <c r="C286" s="10">
        <f>'A) Base RI'!V284</f>
        <v>952</v>
      </c>
      <c r="D286" s="10">
        <f t="shared" si="16"/>
        <v>952</v>
      </c>
      <c r="E286" s="411">
        <f t="shared" si="17"/>
        <v>0</v>
      </c>
      <c r="F286" s="10">
        <f t="shared" si="17"/>
        <v>0</v>
      </c>
      <c r="G286" s="411">
        <f t="shared" si="17"/>
        <v>0</v>
      </c>
      <c r="H286" s="41">
        <f t="shared" si="17"/>
        <v>0</v>
      </c>
      <c r="I286" s="10">
        <f t="shared" si="17"/>
        <v>0</v>
      </c>
      <c r="J286" s="10">
        <f t="shared" si="18"/>
        <v>0</v>
      </c>
      <c r="K286" s="113">
        <f t="shared" si="19"/>
        <v>118760.56338028169</v>
      </c>
    </row>
    <row r="287" spans="1:11" x14ac:dyDescent="0.25">
      <c r="A287" s="49">
        <f>'A) Base RI'!A285</f>
        <v>5902</v>
      </c>
      <c r="B287" s="288" t="str">
        <f>'A) Base RI'!B285</f>
        <v>Belmont-sur-Yverdon</v>
      </c>
      <c r="C287" s="10">
        <f>'A) Base RI'!V285</f>
        <v>415</v>
      </c>
      <c r="D287" s="10">
        <f t="shared" si="16"/>
        <v>415</v>
      </c>
      <c r="E287" s="411">
        <f t="shared" si="17"/>
        <v>0</v>
      </c>
      <c r="F287" s="10">
        <f t="shared" si="17"/>
        <v>0</v>
      </c>
      <c r="G287" s="411">
        <f t="shared" si="17"/>
        <v>0</v>
      </c>
      <c r="H287" s="41">
        <f t="shared" si="17"/>
        <v>0</v>
      </c>
      <c r="I287" s="10">
        <f t="shared" si="17"/>
        <v>0</v>
      </c>
      <c r="J287" s="10">
        <f t="shared" si="18"/>
        <v>0</v>
      </c>
      <c r="K287" s="113">
        <f t="shared" si="19"/>
        <v>51770.623742454722</v>
      </c>
    </row>
    <row r="288" spans="1:11" x14ac:dyDescent="0.25">
      <c r="A288" s="49">
        <f>'A) Base RI'!A286</f>
        <v>5903</v>
      </c>
      <c r="B288" s="288" t="str">
        <f>'A) Base RI'!B286</f>
        <v>Bioley-Magnoux</v>
      </c>
      <c r="C288" s="10">
        <f>'A) Base RI'!V286</f>
        <v>234</v>
      </c>
      <c r="D288" s="10">
        <f t="shared" si="16"/>
        <v>234</v>
      </c>
      <c r="E288" s="411">
        <f t="shared" si="17"/>
        <v>0</v>
      </c>
      <c r="F288" s="10">
        <f t="shared" si="17"/>
        <v>0</v>
      </c>
      <c r="G288" s="411">
        <f t="shared" si="17"/>
        <v>0</v>
      </c>
      <c r="H288" s="41">
        <f t="shared" si="17"/>
        <v>0</v>
      </c>
      <c r="I288" s="10">
        <f t="shared" si="17"/>
        <v>0</v>
      </c>
      <c r="J288" s="10">
        <f t="shared" si="18"/>
        <v>0</v>
      </c>
      <c r="K288" s="113">
        <f t="shared" si="19"/>
        <v>29191.146881287725</v>
      </c>
    </row>
    <row r="289" spans="1:11" x14ac:dyDescent="0.25">
      <c r="A289" s="49">
        <f>'A) Base RI'!A287</f>
        <v>5904</v>
      </c>
      <c r="B289" s="288" t="str">
        <f>'A) Base RI'!B287</f>
        <v>Chamblon</v>
      </c>
      <c r="C289" s="10">
        <f>'A) Base RI'!V287</f>
        <v>561</v>
      </c>
      <c r="D289" s="10">
        <f t="shared" si="16"/>
        <v>561</v>
      </c>
      <c r="E289" s="411">
        <f t="shared" si="17"/>
        <v>0</v>
      </c>
      <c r="F289" s="10">
        <f t="shared" si="17"/>
        <v>0</v>
      </c>
      <c r="G289" s="411">
        <f t="shared" si="17"/>
        <v>0</v>
      </c>
      <c r="H289" s="41">
        <f t="shared" si="17"/>
        <v>0</v>
      </c>
      <c r="I289" s="10">
        <f t="shared" si="17"/>
        <v>0</v>
      </c>
      <c r="J289" s="10">
        <f t="shared" si="18"/>
        <v>0</v>
      </c>
      <c r="K289" s="113">
        <f t="shared" si="19"/>
        <v>69983.903420523129</v>
      </c>
    </row>
    <row r="290" spans="1:11" x14ac:dyDescent="0.25">
      <c r="A290" s="49">
        <f>'A) Base RI'!A288</f>
        <v>5905</v>
      </c>
      <c r="B290" s="288" t="str">
        <f>'A) Base RI'!B288</f>
        <v>Champvent</v>
      </c>
      <c r="C290" s="10">
        <f>'A) Base RI'!V288</f>
        <v>712</v>
      </c>
      <c r="D290" s="10">
        <f t="shared" si="16"/>
        <v>712</v>
      </c>
      <c r="E290" s="411">
        <f t="shared" si="17"/>
        <v>0</v>
      </c>
      <c r="F290" s="10">
        <f t="shared" si="17"/>
        <v>0</v>
      </c>
      <c r="G290" s="411">
        <f t="shared" si="17"/>
        <v>0</v>
      </c>
      <c r="H290" s="41">
        <f t="shared" si="17"/>
        <v>0</v>
      </c>
      <c r="I290" s="10">
        <f t="shared" si="17"/>
        <v>0</v>
      </c>
      <c r="J290" s="10">
        <f t="shared" si="18"/>
        <v>0</v>
      </c>
      <c r="K290" s="113">
        <f t="shared" si="19"/>
        <v>88820.925553319918</v>
      </c>
    </row>
    <row r="291" spans="1:11" x14ac:dyDescent="0.25">
      <c r="A291" s="49">
        <f>'A) Base RI'!A289</f>
        <v>5907</v>
      </c>
      <c r="B291" s="288" t="str">
        <f>'A) Base RI'!B289</f>
        <v>Chavannes-le-Chêne</v>
      </c>
      <c r="C291" s="10">
        <f>'A) Base RI'!V289</f>
        <v>325</v>
      </c>
      <c r="D291" s="10">
        <f t="shared" si="16"/>
        <v>325</v>
      </c>
      <c r="E291" s="411">
        <f t="shared" si="17"/>
        <v>0</v>
      </c>
      <c r="F291" s="10">
        <f t="shared" si="17"/>
        <v>0</v>
      </c>
      <c r="G291" s="411">
        <f t="shared" si="17"/>
        <v>0</v>
      </c>
      <c r="H291" s="41">
        <f t="shared" si="17"/>
        <v>0</v>
      </c>
      <c r="I291" s="10">
        <f t="shared" si="17"/>
        <v>0</v>
      </c>
      <c r="J291" s="10">
        <f t="shared" si="18"/>
        <v>0</v>
      </c>
      <c r="K291" s="113">
        <f t="shared" si="19"/>
        <v>40543.259557344063</v>
      </c>
    </row>
    <row r="292" spans="1:11" x14ac:dyDescent="0.25">
      <c r="A292" s="49">
        <f>'A) Base RI'!A290</f>
        <v>5908</v>
      </c>
      <c r="B292" s="288" t="str">
        <f>'A) Base RI'!B290</f>
        <v>Chêne-Pâquier</v>
      </c>
      <c r="C292" s="10">
        <f>'A) Base RI'!V290</f>
        <v>153</v>
      </c>
      <c r="D292" s="10">
        <f t="shared" si="16"/>
        <v>153</v>
      </c>
      <c r="E292" s="411">
        <f t="shared" si="17"/>
        <v>0</v>
      </c>
      <c r="F292" s="10">
        <f t="shared" si="17"/>
        <v>0</v>
      </c>
      <c r="G292" s="411">
        <f t="shared" si="17"/>
        <v>0</v>
      </c>
      <c r="H292" s="41">
        <f t="shared" si="17"/>
        <v>0</v>
      </c>
      <c r="I292" s="10">
        <f t="shared" si="17"/>
        <v>0</v>
      </c>
      <c r="J292" s="10">
        <f t="shared" si="18"/>
        <v>0</v>
      </c>
      <c r="K292" s="113">
        <f t="shared" si="19"/>
        <v>19086.519114688126</v>
      </c>
    </row>
    <row r="293" spans="1:11" x14ac:dyDescent="0.25">
      <c r="A293" s="49">
        <f>'A) Base RI'!A291</f>
        <v>5909</v>
      </c>
      <c r="B293" s="288" t="str">
        <f>'A) Base RI'!B291</f>
        <v>Cheseaux-Noréaz</v>
      </c>
      <c r="C293" s="10">
        <f>'A) Base RI'!V291</f>
        <v>728</v>
      </c>
      <c r="D293" s="10">
        <f t="shared" si="16"/>
        <v>728</v>
      </c>
      <c r="E293" s="411">
        <f t="shared" si="17"/>
        <v>0</v>
      </c>
      <c r="F293" s="10">
        <f t="shared" si="17"/>
        <v>0</v>
      </c>
      <c r="G293" s="411">
        <f t="shared" si="17"/>
        <v>0</v>
      </c>
      <c r="H293" s="41">
        <f t="shared" si="17"/>
        <v>0</v>
      </c>
      <c r="I293" s="10">
        <f t="shared" si="17"/>
        <v>0</v>
      </c>
      <c r="J293" s="10">
        <f t="shared" si="18"/>
        <v>0</v>
      </c>
      <c r="K293" s="113">
        <f t="shared" si="19"/>
        <v>90816.901408450693</v>
      </c>
    </row>
    <row r="294" spans="1:11" x14ac:dyDescent="0.25">
      <c r="A294" s="49">
        <f>'A) Base RI'!A292</f>
        <v>5910</v>
      </c>
      <c r="B294" s="288" t="str">
        <f>'A) Base RI'!B292</f>
        <v>Cronay</v>
      </c>
      <c r="C294" s="10">
        <f>'A) Base RI'!V292</f>
        <v>403</v>
      </c>
      <c r="D294" s="10">
        <f t="shared" si="16"/>
        <v>403</v>
      </c>
      <c r="E294" s="411">
        <f t="shared" si="17"/>
        <v>0</v>
      </c>
      <c r="F294" s="10">
        <f t="shared" si="17"/>
        <v>0</v>
      </c>
      <c r="G294" s="411">
        <f t="shared" si="17"/>
        <v>0</v>
      </c>
      <c r="H294" s="41">
        <f t="shared" si="17"/>
        <v>0</v>
      </c>
      <c r="I294" s="10">
        <f t="shared" si="17"/>
        <v>0</v>
      </c>
      <c r="J294" s="10">
        <f t="shared" si="18"/>
        <v>0</v>
      </c>
      <c r="K294" s="113">
        <f t="shared" si="19"/>
        <v>50273.641851106637</v>
      </c>
    </row>
    <row r="295" spans="1:11" x14ac:dyDescent="0.25">
      <c r="A295" s="49">
        <f>'A) Base RI'!A293</f>
        <v>5911</v>
      </c>
      <c r="B295" s="288" t="str">
        <f>'A) Base RI'!B293</f>
        <v>Cuarny</v>
      </c>
      <c r="C295" s="10">
        <f>'A) Base RI'!V293</f>
        <v>245</v>
      </c>
      <c r="D295" s="10">
        <f t="shared" si="16"/>
        <v>245</v>
      </c>
      <c r="E295" s="411">
        <f t="shared" si="17"/>
        <v>0</v>
      </c>
      <c r="F295" s="10">
        <f t="shared" si="17"/>
        <v>0</v>
      </c>
      <c r="G295" s="411">
        <f t="shared" si="17"/>
        <v>0</v>
      </c>
      <c r="H295" s="41">
        <f t="shared" si="17"/>
        <v>0</v>
      </c>
      <c r="I295" s="10">
        <f t="shared" si="17"/>
        <v>0</v>
      </c>
      <c r="J295" s="10">
        <f t="shared" si="18"/>
        <v>0</v>
      </c>
      <c r="K295" s="113">
        <f t="shared" si="19"/>
        <v>30563.380281690137</v>
      </c>
    </row>
    <row r="296" spans="1:11" x14ac:dyDescent="0.25">
      <c r="A296" s="49">
        <f>'A) Base RI'!A294</f>
        <v>5912</v>
      </c>
      <c r="B296" s="288" t="str">
        <f>'A) Base RI'!B294</f>
        <v>Démoret</v>
      </c>
      <c r="C296" s="10">
        <f>'A) Base RI'!V294</f>
        <v>164</v>
      </c>
      <c r="D296" s="10">
        <f t="shared" si="16"/>
        <v>164</v>
      </c>
      <c r="E296" s="411">
        <f t="shared" si="17"/>
        <v>0</v>
      </c>
      <c r="F296" s="10">
        <f t="shared" si="17"/>
        <v>0</v>
      </c>
      <c r="G296" s="411">
        <f t="shared" si="17"/>
        <v>0</v>
      </c>
      <c r="H296" s="41">
        <f t="shared" si="17"/>
        <v>0</v>
      </c>
      <c r="I296" s="10">
        <f t="shared" si="17"/>
        <v>0</v>
      </c>
      <c r="J296" s="10">
        <f t="shared" si="18"/>
        <v>0</v>
      </c>
      <c r="K296" s="113">
        <f t="shared" si="19"/>
        <v>20458.752515090542</v>
      </c>
    </row>
    <row r="297" spans="1:11" x14ac:dyDescent="0.25">
      <c r="A297" s="49">
        <f>'A) Base RI'!A295</f>
        <v>5913</v>
      </c>
      <c r="B297" s="288" t="str">
        <f>'A) Base RI'!B295</f>
        <v>Donneloye</v>
      </c>
      <c r="C297" s="10">
        <f>'A) Base RI'!V295</f>
        <v>891</v>
      </c>
      <c r="D297" s="10">
        <f t="shared" si="16"/>
        <v>891</v>
      </c>
      <c r="E297" s="411">
        <f t="shared" si="17"/>
        <v>0</v>
      </c>
      <c r="F297" s="10">
        <f t="shared" si="17"/>
        <v>0</v>
      </c>
      <c r="G297" s="411">
        <f t="shared" si="17"/>
        <v>0</v>
      </c>
      <c r="H297" s="41">
        <f t="shared" si="17"/>
        <v>0</v>
      </c>
      <c r="I297" s="10">
        <f t="shared" si="17"/>
        <v>0</v>
      </c>
      <c r="J297" s="10">
        <f t="shared" si="18"/>
        <v>0</v>
      </c>
      <c r="K297" s="113">
        <f t="shared" si="19"/>
        <v>111150.90543259557</v>
      </c>
    </row>
    <row r="298" spans="1:11" x14ac:dyDescent="0.25">
      <c r="A298" s="49">
        <f>'A) Base RI'!A296</f>
        <v>5914</v>
      </c>
      <c r="B298" s="288" t="str">
        <f>'A) Base RI'!B296</f>
        <v>Ependes</v>
      </c>
      <c r="C298" s="10">
        <f>'A) Base RI'!V296</f>
        <v>381</v>
      </c>
      <c r="D298" s="10">
        <f t="shared" si="16"/>
        <v>381</v>
      </c>
      <c r="E298" s="411">
        <f t="shared" si="17"/>
        <v>0</v>
      </c>
      <c r="F298" s="10">
        <f t="shared" si="17"/>
        <v>0</v>
      </c>
      <c r="G298" s="411">
        <f t="shared" si="17"/>
        <v>0</v>
      </c>
      <c r="H298" s="41">
        <f t="shared" si="17"/>
        <v>0</v>
      </c>
      <c r="I298" s="10">
        <f t="shared" si="17"/>
        <v>0</v>
      </c>
      <c r="J298" s="10">
        <f t="shared" si="18"/>
        <v>0</v>
      </c>
      <c r="K298" s="113">
        <f t="shared" si="19"/>
        <v>47529.175050301805</v>
      </c>
    </row>
    <row r="299" spans="1:11" x14ac:dyDescent="0.25">
      <c r="A299" s="49">
        <f>'A) Base RI'!A297</f>
        <v>5919</v>
      </c>
      <c r="B299" s="288" t="str">
        <f>'A) Base RI'!B297</f>
        <v>Mathod</v>
      </c>
      <c r="C299" s="10">
        <f>'A) Base RI'!V297</f>
        <v>655</v>
      </c>
      <c r="D299" s="10">
        <f t="shared" ref="D299:D316" si="20">IF($C299&gt;D$5,IF($C299&lt;D$6,$C299-D$5,D$6-D$5),0)</f>
        <v>655</v>
      </c>
      <c r="E299" s="411">
        <f t="shared" si="17"/>
        <v>0</v>
      </c>
      <c r="F299" s="10">
        <f t="shared" si="17"/>
        <v>0</v>
      </c>
      <c r="G299" s="411">
        <f t="shared" si="17"/>
        <v>0</v>
      </c>
      <c r="H299" s="41">
        <f t="shared" si="17"/>
        <v>0</v>
      </c>
      <c r="I299" s="10">
        <f t="shared" si="17"/>
        <v>0</v>
      </c>
      <c r="J299" s="10">
        <f t="shared" si="18"/>
        <v>0</v>
      </c>
      <c r="K299" s="113">
        <f t="shared" si="19"/>
        <v>81710.2615694165</v>
      </c>
    </row>
    <row r="300" spans="1:11" x14ac:dyDescent="0.25">
      <c r="A300" s="49">
        <f>'A) Base RI'!A298</f>
        <v>5921</v>
      </c>
      <c r="B300" s="288" t="str">
        <f>'A) Base RI'!B298</f>
        <v>Molondin</v>
      </c>
      <c r="C300" s="10">
        <f>'A) Base RI'!V298</f>
        <v>239</v>
      </c>
      <c r="D300" s="10">
        <f t="shared" si="20"/>
        <v>239</v>
      </c>
      <c r="E300" s="411">
        <f t="shared" si="17"/>
        <v>0</v>
      </c>
      <c r="F300" s="10">
        <f t="shared" si="17"/>
        <v>0</v>
      </c>
      <c r="G300" s="411">
        <f t="shared" si="17"/>
        <v>0</v>
      </c>
      <c r="H300" s="41">
        <f t="shared" si="17"/>
        <v>0</v>
      </c>
      <c r="I300" s="10">
        <f t="shared" si="17"/>
        <v>0</v>
      </c>
      <c r="J300" s="10">
        <f t="shared" si="18"/>
        <v>0</v>
      </c>
      <c r="K300" s="113">
        <f t="shared" si="19"/>
        <v>29814.889336016095</v>
      </c>
    </row>
    <row r="301" spans="1:11" x14ac:dyDescent="0.25">
      <c r="A301" s="49">
        <f>'A) Base RI'!A299</f>
        <v>5922</v>
      </c>
      <c r="B301" s="288" t="str">
        <f>'A) Base RI'!B299</f>
        <v>Montagny-près-Yverdon</v>
      </c>
      <c r="C301" s="10">
        <f>'A) Base RI'!V299</f>
        <v>775</v>
      </c>
      <c r="D301" s="10">
        <f t="shared" si="20"/>
        <v>775</v>
      </c>
      <c r="E301" s="411">
        <f t="shared" si="17"/>
        <v>0</v>
      </c>
      <c r="F301" s="10">
        <f t="shared" si="17"/>
        <v>0</v>
      </c>
      <c r="G301" s="411">
        <f t="shared" si="17"/>
        <v>0</v>
      </c>
      <c r="H301" s="41">
        <f t="shared" si="17"/>
        <v>0</v>
      </c>
      <c r="I301" s="10">
        <f t="shared" si="17"/>
        <v>0</v>
      </c>
      <c r="J301" s="10">
        <f t="shared" si="18"/>
        <v>0</v>
      </c>
      <c r="K301" s="113">
        <f t="shared" si="19"/>
        <v>96680.080482897378</v>
      </c>
    </row>
    <row r="302" spans="1:11" x14ac:dyDescent="0.25">
      <c r="A302" s="49">
        <f>'A) Base RI'!A300</f>
        <v>5923</v>
      </c>
      <c r="B302" s="288" t="str">
        <f>'A) Base RI'!B300</f>
        <v>Oppens</v>
      </c>
      <c r="C302" s="10">
        <f>'A) Base RI'!V300</f>
        <v>201</v>
      </c>
      <c r="D302" s="10">
        <f t="shared" si="20"/>
        <v>201</v>
      </c>
      <c r="E302" s="411">
        <f t="shared" si="17"/>
        <v>0</v>
      </c>
      <c r="F302" s="10">
        <f t="shared" si="17"/>
        <v>0</v>
      </c>
      <c r="G302" s="411">
        <f t="shared" si="17"/>
        <v>0</v>
      </c>
      <c r="H302" s="41">
        <f t="shared" si="17"/>
        <v>0</v>
      </c>
      <c r="I302" s="10">
        <f t="shared" si="17"/>
        <v>0</v>
      </c>
      <c r="J302" s="10">
        <f t="shared" si="18"/>
        <v>0</v>
      </c>
      <c r="K302" s="113">
        <f t="shared" si="19"/>
        <v>25074.44668008048</v>
      </c>
    </row>
    <row r="303" spans="1:11" x14ac:dyDescent="0.25">
      <c r="A303" s="49">
        <f>'A) Base RI'!A301</f>
        <v>5924</v>
      </c>
      <c r="B303" s="288" t="str">
        <f>'A) Base RI'!B301</f>
        <v>Orges</v>
      </c>
      <c r="C303" s="10">
        <f>'A) Base RI'!V301</f>
        <v>367</v>
      </c>
      <c r="D303" s="10">
        <f t="shared" si="20"/>
        <v>367</v>
      </c>
      <c r="E303" s="411">
        <f t="shared" si="17"/>
        <v>0</v>
      </c>
      <c r="F303" s="10">
        <f t="shared" si="17"/>
        <v>0</v>
      </c>
      <c r="G303" s="411">
        <f t="shared" si="17"/>
        <v>0</v>
      </c>
      <c r="H303" s="41">
        <f t="shared" si="17"/>
        <v>0</v>
      </c>
      <c r="I303" s="10">
        <f t="shared" si="17"/>
        <v>0</v>
      </c>
      <c r="J303" s="10">
        <f t="shared" si="18"/>
        <v>0</v>
      </c>
      <c r="K303" s="113">
        <f t="shared" si="19"/>
        <v>45782.696177062367</v>
      </c>
    </row>
    <row r="304" spans="1:11" x14ac:dyDescent="0.25">
      <c r="A304" s="49">
        <f>'A) Base RI'!A302</f>
        <v>5925</v>
      </c>
      <c r="B304" s="288" t="str">
        <f>'A) Base RI'!B302</f>
        <v>Orzens</v>
      </c>
      <c r="C304" s="10">
        <f>'A) Base RI'!V302</f>
        <v>202</v>
      </c>
      <c r="D304" s="10">
        <f t="shared" si="20"/>
        <v>202</v>
      </c>
      <c r="E304" s="411">
        <f t="shared" si="17"/>
        <v>0</v>
      </c>
      <c r="F304" s="10">
        <f t="shared" si="17"/>
        <v>0</v>
      </c>
      <c r="G304" s="411">
        <f t="shared" si="17"/>
        <v>0</v>
      </c>
      <c r="H304" s="41">
        <f t="shared" si="17"/>
        <v>0</v>
      </c>
      <c r="I304" s="10">
        <f t="shared" si="17"/>
        <v>0</v>
      </c>
      <c r="J304" s="10">
        <f t="shared" si="18"/>
        <v>0</v>
      </c>
      <c r="K304" s="113">
        <f t="shared" si="19"/>
        <v>25199.195171026156</v>
      </c>
    </row>
    <row r="305" spans="1:11" x14ac:dyDescent="0.25">
      <c r="A305" s="49">
        <f>'A) Base RI'!A303</f>
        <v>5926</v>
      </c>
      <c r="B305" s="288" t="str">
        <f>'A) Base RI'!B303</f>
        <v>Pomy</v>
      </c>
      <c r="C305" s="10">
        <f>'A) Base RI'!V303</f>
        <v>838</v>
      </c>
      <c r="D305" s="10">
        <f t="shared" si="20"/>
        <v>838</v>
      </c>
      <c r="E305" s="411">
        <f t="shared" si="17"/>
        <v>0</v>
      </c>
      <c r="F305" s="10">
        <f t="shared" si="17"/>
        <v>0</v>
      </c>
      <c r="G305" s="411">
        <f t="shared" si="17"/>
        <v>0</v>
      </c>
      <c r="H305" s="41">
        <f t="shared" si="17"/>
        <v>0</v>
      </c>
      <c r="I305" s="10">
        <f t="shared" si="17"/>
        <v>0</v>
      </c>
      <c r="J305" s="10">
        <f t="shared" si="18"/>
        <v>0</v>
      </c>
      <c r="K305" s="113">
        <f t="shared" si="19"/>
        <v>104539.23541247484</v>
      </c>
    </row>
    <row r="306" spans="1:11" x14ac:dyDescent="0.25">
      <c r="A306" s="49">
        <f>'A) Base RI'!A304</f>
        <v>5928</v>
      </c>
      <c r="B306" s="288" t="str">
        <f>'A) Base RI'!B304</f>
        <v>Rovray</v>
      </c>
      <c r="C306" s="10">
        <f>'A) Base RI'!V304</f>
        <v>206</v>
      </c>
      <c r="D306" s="10">
        <f t="shared" si="20"/>
        <v>206</v>
      </c>
      <c r="E306" s="411">
        <f t="shared" si="17"/>
        <v>0</v>
      </c>
      <c r="F306" s="10">
        <f t="shared" si="17"/>
        <v>0</v>
      </c>
      <c r="G306" s="411">
        <f t="shared" si="17"/>
        <v>0</v>
      </c>
      <c r="H306" s="41">
        <f t="shared" si="17"/>
        <v>0</v>
      </c>
      <c r="I306" s="10">
        <f t="shared" si="17"/>
        <v>0</v>
      </c>
      <c r="J306" s="10">
        <f t="shared" si="18"/>
        <v>0</v>
      </c>
      <c r="K306" s="113">
        <f t="shared" si="19"/>
        <v>25698.18913480885</v>
      </c>
    </row>
    <row r="307" spans="1:11" x14ac:dyDescent="0.25">
      <c r="A307" s="49">
        <f>'A) Base RI'!A305</f>
        <v>5929</v>
      </c>
      <c r="B307" s="288" t="str">
        <f>'A) Base RI'!B305</f>
        <v>Suchy</v>
      </c>
      <c r="C307" s="10">
        <f>'A) Base RI'!V305</f>
        <v>656</v>
      </c>
      <c r="D307" s="10">
        <f t="shared" si="20"/>
        <v>656</v>
      </c>
      <c r="E307" s="411">
        <f t="shared" si="17"/>
        <v>0</v>
      </c>
      <c r="F307" s="10">
        <f t="shared" si="17"/>
        <v>0</v>
      </c>
      <c r="G307" s="411">
        <f t="shared" si="17"/>
        <v>0</v>
      </c>
      <c r="H307" s="41">
        <f t="shared" si="17"/>
        <v>0</v>
      </c>
      <c r="I307" s="10">
        <f t="shared" si="17"/>
        <v>0</v>
      </c>
      <c r="J307" s="10">
        <f t="shared" si="18"/>
        <v>0</v>
      </c>
      <c r="K307" s="113">
        <f t="shared" si="19"/>
        <v>81835.010060362169</v>
      </c>
    </row>
    <row r="308" spans="1:11" x14ac:dyDescent="0.25">
      <c r="A308" s="49">
        <f>'A) Base RI'!A306</f>
        <v>5930</v>
      </c>
      <c r="B308" s="288" t="str">
        <f>'A) Base RI'!B306</f>
        <v>Suscévaz</v>
      </c>
      <c r="C308" s="10">
        <f>'A) Base RI'!V306</f>
        <v>215</v>
      </c>
      <c r="D308" s="10">
        <f t="shared" si="20"/>
        <v>215</v>
      </c>
      <c r="E308" s="411">
        <f t="shared" si="17"/>
        <v>0</v>
      </c>
      <c r="F308" s="10">
        <f t="shared" si="17"/>
        <v>0</v>
      </c>
      <c r="G308" s="411">
        <f t="shared" si="17"/>
        <v>0</v>
      </c>
      <c r="H308" s="41">
        <f t="shared" si="17"/>
        <v>0</v>
      </c>
      <c r="I308" s="10">
        <f t="shared" si="17"/>
        <v>0</v>
      </c>
      <c r="J308" s="10">
        <f t="shared" si="18"/>
        <v>0</v>
      </c>
      <c r="K308" s="113">
        <f t="shared" si="19"/>
        <v>26820.925553319918</v>
      </c>
    </row>
    <row r="309" spans="1:11" x14ac:dyDescent="0.25">
      <c r="A309" s="49">
        <f>'A) Base RI'!A307</f>
        <v>5931</v>
      </c>
      <c r="B309" s="288" t="str">
        <f>'A) Base RI'!B307</f>
        <v>Treycovagnes</v>
      </c>
      <c r="C309" s="10">
        <f>'A) Base RI'!V307</f>
        <v>490</v>
      </c>
      <c r="D309" s="10">
        <f t="shared" si="20"/>
        <v>490</v>
      </c>
      <c r="E309" s="411">
        <f t="shared" si="17"/>
        <v>0</v>
      </c>
      <c r="F309" s="10">
        <f t="shared" si="17"/>
        <v>0</v>
      </c>
      <c r="G309" s="411">
        <f t="shared" si="17"/>
        <v>0</v>
      </c>
      <c r="H309" s="41">
        <f t="shared" si="17"/>
        <v>0</v>
      </c>
      <c r="I309" s="10">
        <f t="shared" si="17"/>
        <v>0</v>
      </c>
      <c r="J309" s="10">
        <f t="shared" si="18"/>
        <v>0</v>
      </c>
      <c r="K309" s="113">
        <f t="shared" si="19"/>
        <v>61126.760563380274</v>
      </c>
    </row>
    <row r="310" spans="1:11" x14ac:dyDescent="0.25">
      <c r="A310" s="49">
        <f>'A) Base RI'!A308</f>
        <v>5932</v>
      </c>
      <c r="B310" s="288" t="str">
        <f>'A) Base RI'!B308</f>
        <v>Ursins</v>
      </c>
      <c r="C310" s="10">
        <f>'A) Base RI'!V308</f>
        <v>228</v>
      </c>
      <c r="D310" s="10">
        <f t="shared" si="20"/>
        <v>228</v>
      </c>
      <c r="E310" s="411">
        <f t="shared" si="17"/>
        <v>0</v>
      </c>
      <c r="F310" s="10">
        <f t="shared" si="17"/>
        <v>0</v>
      </c>
      <c r="G310" s="411">
        <f t="shared" ref="E310:I316" si="21">IF($C310&gt;G$5,IF($C310&lt;G$6,$C310-G$5,G$6-G$5),0)</f>
        <v>0</v>
      </c>
      <c r="H310" s="41">
        <f t="shared" si="21"/>
        <v>0</v>
      </c>
      <c r="I310" s="10">
        <f t="shared" si="21"/>
        <v>0</v>
      </c>
      <c r="J310" s="10">
        <f t="shared" si="18"/>
        <v>0</v>
      </c>
      <c r="K310" s="113">
        <f t="shared" si="19"/>
        <v>28442.655935613679</v>
      </c>
    </row>
    <row r="311" spans="1:11" x14ac:dyDescent="0.25">
      <c r="A311" s="49">
        <f>'A) Base RI'!A309</f>
        <v>5933</v>
      </c>
      <c r="B311" s="288" t="str">
        <f>'A) Base RI'!B309</f>
        <v>Valeyres-sous-Montagny</v>
      </c>
      <c r="C311" s="10">
        <f>'A) Base RI'!V309</f>
        <v>697</v>
      </c>
      <c r="D311" s="10">
        <f t="shared" si="20"/>
        <v>697</v>
      </c>
      <c r="E311" s="411">
        <f t="shared" si="21"/>
        <v>0</v>
      </c>
      <c r="F311" s="10">
        <f t="shared" si="21"/>
        <v>0</v>
      </c>
      <c r="G311" s="411">
        <f t="shared" si="21"/>
        <v>0</v>
      </c>
      <c r="H311" s="41">
        <f t="shared" si="21"/>
        <v>0</v>
      </c>
      <c r="I311" s="10">
        <f t="shared" si="21"/>
        <v>0</v>
      </c>
      <c r="J311" s="10">
        <f t="shared" si="18"/>
        <v>0</v>
      </c>
      <c r="K311" s="113">
        <f t="shared" si="19"/>
        <v>86949.698189134797</v>
      </c>
    </row>
    <row r="312" spans="1:11" x14ac:dyDescent="0.25">
      <c r="A312" s="49">
        <f>'A) Base RI'!A310</f>
        <v>5934</v>
      </c>
      <c r="B312" s="288" t="str">
        <f>'A) Base RI'!B310</f>
        <v>Valeyres-sous-Ursins</v>
      </c>
      <c r="C312" s="10">
        <f>'A) Base RI'!V310</f>
        <v>247</v>
      </c>
      <c r="D312" s="10">
        <f t="shared" si="20"/>
        <v>247</v>
      </c>
      <c r="E312" s="411">
        <f t="shared" si="21"/>
        <v>0</v>
      </c>
      <c r="F312" s="10">
        <f t="shared" si="21"/>
        <v>0</v>
      </c>
      <c r="G312" s="411">
        <f t="shared" si="21"/>
        <v>0</v>
      </c>
      <c r="H312" s="41">
        <f t="shared" si="21"/>
        <v>0</v>
      </c>
      <c r="I312" s="10">
        <f t="shared" si="21"/>
        <v>0</v>
      </c>
      <c r="J312" s="10">
        <f t="shared" si="18"/>
        <v>0</v>
      </c>
      <c r="K312" s="113">
        <f t="shared" si="19"/>
        <v>30812.877263581486</v>
      </c>
    </row>
    <row r="313" spans="1:11" x14ac:dyDescent="0.25">
      <c r="A313" s="49">
        <f>'A) Base RI'!A311</f>
        <v>5935</v>
      </c>
      <c r="B313" s="288" t="str">
        <f>'A) Base RI'!B311</f>
        <v>Villars-Epeney</v>
      </c>
      <c r="C313" s="10">
        <f>'A) Base RI'!V311</f>
        <v>95</v>
      </c>
      <c r="D313" s="10">
        <f t="shared" si="20"/>
        <v>95</v>
      </c>
      <c r="E313" s="411">
        <f t="shared" si="21"/>
        <v>0</v>
      </c>
      <c r="F313" s="10">
        <f t="shared" si="21"/>
        <v>0</v>
      </c>
      <c r="G313" s="411">
        <f t="shared" si="21"/>
        <v>0</v>
      </c>
      <c r="H313" s="41">
        <f t="shared" si="21"/>
        <v>0</v>
      </c>
      <c r="I313" s="10">
        <f t="shared" si="21"/>
        <v>0</v>
      </c>
      <c r="J313" s="10">
        <f t="shared" si="18"/>
        <v>0</v>
      </c>
      <c r="K313" s="113">
        <f t="shared" si="19"/>
        <v>11851.106639839034</v>
      </c>
    </row>
    <row r="314" spans="1:11" x14ac:dyDescent="0.25">
      <c r="A314" s="49">
        <f>'A) Base RI'!A312</f>
        <v>5937</v>
      </c>
      <c r="B314" s="288" t="str">
        <f>'A) Base RI'!B312</f>
        <v>Vugelles-La Mothe</v>
      </c>
      <c r="C314" s="10">
        <f>'A) Base RI'!V312</f>
        <v>140</v>
      </c>
      <c r="D314" s="10">
        <f t="shared" si="20"/>
        <v>140</v>
      </c>
      <c r="E314" s="411">
        <f t="shared" si="21"/>
        <v>0</v>
      </c>
      <c r="F314" s="10">
        <f t="shared" si="21"/>
        <v>0</v>
      </c>
      <c r="G314" s="411">
        <f t="shared" si="21"/>
        <v>0</v>
      </c>
      <c r="H314" s="41">
        <f t="shared" si="21"/>
        <v>0</v>
      </c>
      <c r="I314" s="10">
        <f t="shared" si="21"/>
        <v>0</v>
      </c>
      <c r="J314" s="10">
        <f t="shared" si="18"/>
        <v>0</v>
      </c>
      <c r="K314" s="113">
        <f t="shared" si="19"/>
        <v>17464.788732394365</v>
      </c>
    </row>
    <row r="315" spans="1:11" x14ac:dyDescent="0.25">
      <c r="A315" s="49">
        <f>'A) Base RI'!A313</f>
        <v>5938</v>
      </c>
      <c r="B315" s="288" t="str">
        <f>'A) Base RI'!B313</f>
        <v>Yverdon-les-Bains</v>
      </c>
      <c r="C315" s="10">
        <f>'A) Base RI'!V313</f>
        <v>29710</v>
      </c>
      <c r="D315" s="10">
        <f t="shared" si="20"/>
        <v>1000</v>
      </c>
      <c r="E315" s="411">
        <f t="shared" si="21"/>
        <v>2000</v>
      </c>
      <c r="F315" s="10">
        <f t="shared" si="21"/>
        <v>2000</v>
      </c>
      <c r="G315" s="411">
        <f t="shared" si="21"/>
        <v>4000</v>
      </c>
      <c r="H315" s="41">
        <f t="shared" si="21"/>
        <v>3000</v>
      </c>
      <c r="I315" s="10">
        <f t="shared" si="21"/>
        <v>3000</v>
      </c>
      <c r="J315" s="10">
        <f t="shared" si="18"/>
        <v>14710</v>
      </c>
      <c r="K315" s="113">
        <f t="shared" si="19"/>
        <v>25169754.527162977</v>
      </c>
    </row>
    <row r="316" spans="1:11" x14ac:dyDescent="0.25">
      <c r="A316" s="49">
        <f>'A) Base RI'!A314</f>
        <v>5939</v>
      </c>
      <c r="B316" s="288" t="str">
        <f>'A) Base RI'!B314</f>
        <v>Yvonand</v>
      </c>
      <c r="C316" s="412">
        <f>'A) Base RI'!V314</f>
        <v>3512</v>
      </c>
      <c r="D316" s="10">
        <f t="shared" si="20"/>
        <v>1000</v>
      </c>
      <c r="E316" s="411">
        <f t="shared" si="21"/>
        <v>2000</v>
      </c>
      <c r="F316" s="10">
        <f t="shared" si="21"/>
        <v>512</v>
      </c>
      <c r="G316" s="411">
        <f t="shared" si="21"/>
        <v>0</v>
      </c>
      <c r="H316" s="41">
        <f t="shared" si="21"/>
        <v>0</v>
      </c>
      <c r="I316" s="10">
        <f t="shared" si="21"/>
        <v>0</v>
      </c>
      <c r="J316" s="10">
        <f t="shared" si="18"/>
        <v>0</v>
      </c>
      <c r="K316" s="113">
        <f t="shared" si="19"/>
        <v>1078824.949698189</v>
      </c>
    </row>
    <row r="317" spans="1:11" x14ac:dyDescent="0.25">
      <c r="A317" s="363"/>
      <c r="B317" s="421">
        <f>COUNTA(B9:B316)</f>
        <v>308</v>
      </c>
      <c r="C317" s="11">
        <f>SUM(C9:C316)</f>
        <v>823881</v>
      </c>
      <c r="D317" s="11">
        <f t="shared" ref="D317:J317" si="22">SUM(D9:D316)</f>
        <v>219733</v>
      </c>
      <c r="E317" s="11">
        <f t="shared" si="22"/>
        <v>173541</v>
      </c>
      <c r="F317" s="11">
        <f t="shared" si="22"/>
        <v>88528</v>
      </c>
      <c r="G317" s="11">
        <f t="shared" si="22"/>
        <v>96784</v>
      </c>
      <c r="H317" s="11">
        <f t="shared" si="22"/>
        <v>43073</v>
      </c>
      <c r="I317" s="11">
        <f t="shared" si="22"/>
        <v>27083</v>
      </c>
      <c r="J317" s="11">
        <f t="shared" si="22"/>
        <v>175139</v>
      </c>
      <c r="K317" s="37">
        <f>SUM(K9:K316)</f>
        <v>437249822.93762583</v>
      </c>
    </row>
    <row r="318" spans="1:11" x14ac:dyDescent="0.25">
      <c r="C318" s="71"/>
      <c r="K318" s="6"/>
    </row>
    <row r="328" spans="3:3" x14ac:dyDescent="0.25">
      <c r="C328" s="58"/>
    </row>
  </sheetData>
  <mergeCells count="6">
    <mergeCell ref="K7:K8"/>
    <mergeCell ref="C4:J4"/>
    <mergeCell ref="A7:A8"/>
    <mergeCell ref="B7:B8"/>
    <mergeCell ref="C7:C8"/>
    <mergeCell ref="D7:J7"/>
  </mergeCells>
  <phoneticPr fontId="21" type="noConversion"/>
  <pageMargins left="0.78740157499999996" right="0.78740157499999996" top="0.984251969" bottom="0.984251969" header="0.4921259845" footer="0.4921259845"/>
  <pageSetup paperSize="9" orientation="portrait" horizontalDpi="4294967292" verticalDpi="4294967292"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Feuil10">
    <tabColor rgb="FF00B050"/>
  </sheetPr>
  <dimension ref="A1:M314"/>
  <sheetViews>
    <sheetView workbookViewId="0">
      <selection activeCell="D6" sqref="D6"/>
    </sheetView>
  </sheetViews>
  <sheetFormatPr baseColWidth="10" defaultColWidth="11" defaultRowHeight="15" x14ac:dyDescent="0.25"/>
  <cols>
    <col min="1" max="1" width="7.25" style="13" customWidth="1"/>
    <col min="2" max="2" width="25.375" style="13" customWidth="1"/>
    <col min="3" max="3" width="9.25" style="13" customWidth="1"/>
    <col min="4" max="4" width="12.125" style="13" customWidth="1"/>
    <col min="5" max="5" width="10.375" style="13" customWidth="1"/>
    <col min="6" max="6" width="13.25" style="14" customWidth="1"/>
    <col min="7" max="7" width="11" style="15"/>
    <col min="8" max="8" width="11" style="13"/>
    <col min="9" max="9" width="13.375" style="6" customWidth="1"/>
    <col min="10" max="12" width="11" style="13"/>
    <col min="13" max="13" width="11.625" style="15" bestFit="1" customWidth="1"/>
    <col min="14" max="16384" width="11" style="13"/>
  </cols>
  <sheetData>
    <row r="1" spans="1:13" ht="21" x14ac:dyDescent="0.25">
      <c r="A1" s="51" t="s">
        <v>438</v>
      </c>
      <c r="B1" s="42"/>
      <c r="C1" s="93"/>
      <c r="D1" s="93"/>
    </row>
    <row r="2" spans="1:13" s="400" customFormat="1" ht="21" x14ac:dyDescent="0.25">
      <c r="A2" s="200" t="str">
        <f>Paramètres!B5</f>
        <v>décompte provisoire 2021</v>
      </c>
      <c r="B2" s="42"/>
      <c r="C2" s="93"/>
      <c r="D2" s="93"/>
      <c r="F2" s="432"/>
      <c r="G2" s="436"/>
      <c r="I2" s="6"/>
      <c r="M2" s="436"/>
    </row>
    <row r="4" spans="1:13" ht="30" x14ac:dyDescent="0.25">
      <c r="A4" s="581" t="s">
        <v>46</v>
      </c>
      <c r="B4" s="581" t="s">
        <v>94</v>
      </c>
      <c r="C4" s="581" t="s">
        <v>297</v>
      </c>
      <c r="D4" s="581" t="s">
        <v>564</v>
      </c>
      <c r="E4" s="112" t="s">
        <v>346</v>
      </c>
      <c r="F4" s="578" t="s">
        <v>304</v>
      </c>
      <c r="G4" s="602" t="s">
        <v>77</v>
      </c>
      <c r="H4" s="581" t="s">
        <v>344</v>
      </c>
      <c r="I4" s="578" t="s">
        <v>345</v>
      </c>
    </row>
    <row r="5" spans="1:13" x14ac:dyDescent="0.25">
      <c r="A5" s="582"/>
      <c r="B5" s="582"/>
      <c r="C5" s="582"/>
      <c r="D5" s="583"/>
      <c r="E5" s="454">
        <f>+Paramètres!B28</f>
        <v>0.27</v>
      </c>
      <c r="F5" s="580"/>
      <c r="G5" s="603"/>
      <c r="H5" s="583"/>
      <c r="I5" s="579"/>
    </row>
    <row r="6" spans="1:13" x14ac:dyDescent="0.25">
      <c r="A6" s="46">
        <f>'A) Base RI'!A7</f>
        <v>5401</v>
      </c>
      <c r="B6" s="291" t="str">
        <f>'A) Base RI'!B7</f>
        <v>Aigle</v>
      </c>
      <c r="C6" s="94">
        <f>'A) Base RI'!V7</f>
        <v>10828</v>
      </c>
      <c r="D6" s="110">
        <f>'D) Ecrêtage'!E6</f>
        <v>25.950449314441048</v>
      </c>
      <c r="E6" s="34">
        <f t="shared" ref="E6:E37" si="0">IF($D$314-D6&lt;0,0,$D$314-D6)</f>
        <v>22.474938865213002</v>
      </c>
      <c r="F6" s="273">
        <f t="shared" ref="F6" si="1">(C6*E6*G6)*$E$5</f>
        <v>4336650.9297396205</v>
      </c>
      <c r="G6" s="33">
        <f>+'A) Base RI'!U7</f>
        <v>66</v>
      </c>
      <c r="H6" s="274">
        <f t="shared" ref="H6:H37" si="2">G6/$G$314</f>
        <v>0.97705172635174709</v>
      </c>
      <c r="I6" s="55">
        <f>F6*H6</f>
        <v>4237132.2774870051</v>
      </c>
      <c r="J6" s="48"/>
      <c r="K6" s="107"/>
      <c r="L6" s="15"/>
    </row>
    <row r="7" spans="1:13" x14ac:dyDescent="0.25">
      <c r="A7" s="49">
        <f>'A) Base RI'!A8</f>
        <v>5402</v>
      </c>
      <c r="B7" s="32" t="str">
        <f>'A) Base RI'!B8</f>
        <v>Bex</v>
      </c>
      <c r="C7" s="95">
        <f>'A) Base RI'!V8</f>
        <v>8063</v>
      </c>
      <c r="D7" s="110">
        <f>'D) Ecrêtage'!E7</f>
        <v>23.900158854653409</v>
      </c>
      <c r="E7" s="34">
        <f t="shared" si="0"/>
        <v>24.525229325000641</v>
      </c>
      <c r="F7" s="273">
        <f t="shared" ref="F7:F69" si="3">(C7*E7*G7)*$E$5</f>
        <v>3790808.533990195</v>
      </c>
      <c r="G7" s="33">
        <f>+'A) Base RI'!U8</f>
        <v>71</v>
      </c>
      <c r="H7" s="274">
        <f t="shared" si="2"/>
        <v>1.0510707965299098</v>
      </c>
      <c r="I7" s="55">
        <f t="shared" ref="I7:I69" si="4">F7*H7</f>
        <v>3984408.1453134539</v>
      </c>
      <c r="J7" s="48"/>
      <c r="L7" s="108"/>
    </row>
    <row r="8" spans="1:13" x14ac:dyDescent="0.25">
      <c r="A8" s="49">
        <f>'A) Base RI'!A9</f>
        <v>5403</v>
      </c>
      <c r="B8" s="32" t="str">
        <f>'A) Base RI'!B9</f>
        <v>Chessel</v>
      </c>
      <c r="C8" s="95">
        <f>'A) Base RI'!V9</f>
        <v>497</v>
      </c>
      <c r="D8" s="110">
        <f>'D) Ecrêtage'!E8</f>
        <v>24.326625156343464</v>
      </c>
      <c r="E8" s="34">
        <f t="shared" si="0"/>
        <v>24.098763023310585</v>
      </c>
      <c r="F8" s="273">
        <f t="shared" si="3"/>
        <v>239302.16274725553</v>
      </c>
      <c r="G8" s="33">
        <f>+'A) Base RI'!U9</f>
        <v>74</v>
      </c>
      <c r="H8" s="274">
        <f t="shared" si="2"/>
        <v>1.0954822386368073</v>
      </c>
      <c r="I8" s="55">
        <f t="shared" si="4"/>
        <v>262151.26895699307</v>
      </c>
      <c r="J8" s="48"/>
      <c r="L8" s="108"/>
    </row>
    <row r="9" spans="1:13" x14ac:dyDescent="0.25">
      <c r="A9" s="49">
        <f>'A) Base RI'!A10</f>
        <v>5404</v>
      </c>
      <c r="B9" s="32" t="str">
        <f>'A) Base RI'!B10</f>
        <v>Corbeyrier</v>
      </c>
      <c r="C9" s="95">
        <f>'A) Base RI'!V10</f>
        <v>439</v>
      </c>
      <c r="D9" s="110">
        <f>'D) Ecrêtage'!E9</f>
        <v>26.380680600874225</v>
      </c>
      <c r="E9" s="34">
        <f t="shared" si="0"/>
        <v>22.044707578779825</v>
      </c>
      <c r="F9" s="273">
        <f t="shared" si="3"/>
        <v>193358.98000914519</v>
      </c>
      <c r="G9" s="33">
        <f>+'A) Base RI'!U10</f>
        <v>74</v>
      </c>
      <c r="H9" s="274">
        <f t="shared" si="2"/>
        <v>1.0954822386368073</v>
      </c>
      <c r="I9" s="55">
        <f t="shared" si="4"/>
        <v>211821.32828094804</v>
      </c>
    </row>
    <row r="10" spans="1:13" x14ac:dyDescent="0.25">
      <c r="A10" s="49">
        <f>'A) Base RI'!A11</f>
        <v>5405</v>
      </c>
      <c r="B10" s="32" t="str">
        <f>'A) Base RI'!B11</f>
        <v>Gryon</v>
      </c>
      <c r="C10" s="95">
        <f>'A) Base RI'!V11</f>
        <v>1382</v>
      </c>
      <c r="D10" s="110">
        <f>'D) Ecrêtage'!E10</f>
        <v>56.520358250391332</v>
      </c>
      <c r="E10" s="34">
        <f t="shared" si="0"/>
        <v>0</v>
      </c>
      <c r="F10" s="273">
        <f t="shared" si="3"/>
        <v>0</v>
      </c>
      <c r="G10" s="33">
        <f>+'A) Base RI'!U11</f>
        <v>73.5</v>
      </c>
      <c r="H10" s="274">
        <f t="shared" si="2"/>
        <v>1.0880803316189911</v>
      </c>
      <c r="I10" s="55">
        <f t="shared" si="4"/>
        <v>0</v>
      </c>
    </row>
    <row r="11" spans="1:13" x14ac:dyDescent="0.25">
      <c r="A11" s="49">
        <f>'A) Base RI'!A12</f>
        <v>5406</v>
      </c>
      <c r="B11" s="32" t="str">
        <f>'A) Base RI'!B12</f>
        <v>Lavey-Morcles</v>
      </c>
      <c r="C11" s="95">
        <f>'A) Base RI'!V12</f>
        <v>966</v>
      </c>
      <c r="D11" s="110">
        <f>'D) Ecrêtage'!E11</f>
        <v>22.271037457525754</v>
      </c>
      <c r="E11" s="34">
        <f t="shared" si="0"/>
        <v>26.154350722128296</v>
      </c>
      <c r="F11" s="273">
        <f t="shared" si="3"/>
        <v>487742.80950720346</v>
      </c>
      <c r="G11" s="33">
        <f>+'A) Base RI'!U12</f>
        <v>71.5</v>
      </c>
      <c r="H11" s="274">
        <f t="shared" si="2"/>
        <v>1.0584727035477262</v>
      </c>
      <c r="I11" s="55">
        <f t="shared" si="4"/>
        <v>516262.45021505322</v>
      </c>
    </row>
    <row r="12" spans="1:13" x14ac:dyDescent="0.25">
      <c r="A12" s="49">
        <f>'A) Base RI'!A13</f>
        <v>5407</v>
      </c>
      <c r="B12" s="32" t="str">
        <f>'A) Base RI'!B13</f>
        <v>Leysin</v>
      </c>
      <c r="C12" s="95">
        <f>'A) Base RI'!V13</f>
        <v>3637</v>
      </c>
      <c r="D12" s="110">
        <f>'D) Ecrêtage'!E12</f>
        <v>24.934683476331809</v>
      </c>
      <c r="E12" s="34">
        <f t="shared" si="0"/>
        <v>23.49070470332224</v>
      </c>
      <c r="F12" s="273">
        <f t="shared" si="3"/>
        <v>1799275.6947060018</v>
      </c>
      <c r="G12" s="33">
        <f>+'A) Base RI'!U13</f>
        <v>78</v>
      </c>
      <c r="H12" s="274">
        <f t="shared" si="2"/>
        <v>1.1546974947793376</v>
      </c>
      <c r="I12" s="55">
        <f t="shared" si="4"/>
        <v>2077619.1370943724</v>
      </c>
    </row>
    <row r="13" spans="1:13" x14ac:dyDescent="0.25">
      <c r="A13" s="49">
        <f>'A) Base RI'!A14</f>
        <v>5408</v>
      </c>
      <c r="B13" s="32" t="str">
        <f>'A) Base RI'!B14</f>
        <v>Noville</v>
      </c>
      <c r="C13" s="95">
        <f>'A) Base RI'!V14</f>
        <v>1169</v>
      </c>
      <c r="D13" s="110">
        <f>'D) Ecrêtage'!E13</f>
        <v>35.405853406925914</v>
      </c>
      <c r="E13" s="34">
        <f t="shared" si="0"/>
        <v>13.019534772728136</v>
      </c>
      <c r="F13" s="273">
        <f t="shared" si="3"/>
        <v>322584.42718482029</v>
      </c>
      <c r="G13" s="33">
        <f>+'A) Base RI'!U14</f>
        <v>78.5</v>
      </c>
      <c r="H13" s="274">
        <f t="shared" si="2"/>
        <v>1.1620994017971538</v>
      </c>
      <c r="I13" s="55">
        <f t="shared" si="4"/>
        <v>374875.16986055719</v>
      </c>
    </row>
    <row r="14" spans="1:13" x14ac:dyDescent="0.25">
      <c r="A14" s="49">
        <f>'A) Base RI'!A15</f>
        <v>5409</v>
      </c>
      <c r="B14" s="32" t="str">
        <f>'A) Base RI'!B15</f>
        <v>Ollon</v>
      </c>
      <c r="C14" s="95">
        <f>'A) Base RI'!V15</f>
        <v>7904</v>
      </c>
      <c r="D14" s="110">
        <f>'D) Ecrêtage'!E14</f>
        <v>54.183066896078735</v>
      </c>
      <c r="E14" s="34">
        <f t="shared" si="0"/>
        <v>0</v>
      </c>
      <c r="F14" s="273">
        <f t="shared" si="3"/>
        <v>0</v>
      </c>
      <c r="G14" s="33">
        <f>+'A) Base RI'!U15</f>
        <v>68</v>
      </c>
      <c r="H14" s="274">
        <f t="shared" si="2"/>
        <v>1.0066593544230122</v>
      </c>
      <c r="I14" s="55">
        <f t="shared" si="4"/>
        <v>0</v>
      </c>
    </row>
    <row r="15" spans="1:13" x14ac:dyDescent="0.25">
      <c r="A15" s="49">
        <f>'A) Base RI'!A16</f>
        <v>5410</v>
      </c>
      <c r="B15" s="32" t="str">
        <f>'A) Base RI'!B16</f>
        <v>Ormont-Dessous</v>
      </c>
      <c r="C15" s="95">
        <f>'A) Base RI'!V16</f>
        <v>1162</v>
      </c>
      <c r="D15" s="110">
        <f>'D) Ecrêtage'!E15</f>
        <v>33.224789324272976</v>
      </c>
      <c r="E15" s="34">
        <f t="shared" si="0"/>
        <v>15.200598855381074</v>
      </c>
      <c r="F15" s="273">
        <f t="shared" si="3"/>
        <v>367215.76313631894</v>
      </c>
      <c r="G15" s="33">
        <f>+'A) Base RI'!U16</f>
        <v>77</v>
      </c>
      <c r="H15" s="274">
        <f t="shared" si="2"/>
        <v>1.139893680743705</v>
      </c>
      <c r="I15" s="55">
        <f t="shared" si="4"/>
        <v>418586.92786856712</v>
      </c>
    </row>
    <row r="16" spans="1:13" x14ac:dyDescent="0.25">
      <c r="A16" s="49">
        <f>'A) Base RI'!A17</f>
        <v>5411</v>
      </c>
      <c r="B16" s="32" t="str">
        <f>'A) Base RI'!B17</f>
        <v>Ormont-Dessus</v>
      </c>
      <c r="C16" s="95">
        <f>'A) Base RI'!V17</f>
        <v>1451</v>
      </c>
      <c r="D16" s="110">
        <f>'D) Ecrêtage'!E16</f>
        <v>53.350386787091786</v>
      </c>
      <c r="E16" s="34">
        <f t="shared" si="0"/>
        <v>0</v>
      </c>
      <c r="F16" s="273">
        <f t="shared" si="3"/>
        <v>0</v>
      </c>
      <c r="G16" s="33">
        <f>+'A) Base RI'!U17</f>
        <v>76</v>
      </c>
      <c r="H16" s="274">
        <f t="shared" si="2"/>
        <v>1.1250898667080724</v>
      </c>
      <c r="I16" s="55">
        <f t="shared" si="4"/>
        <v>0</v>
      </c>
    </row>
    <row r="17" spans="1:9" x14ac:dyDescent="0.25">
      <c r="A17" s="49">
        <f>'A) Base RI'!A18</f>
        <v>5412</v>
      </c>
      <c r="B17" s="32" t="str">
        <f>'A) Base RI'!B18</f>
        <v>Rennaz</v>
      </c>
      <c r="C17" s="95">
        <f>'A) Base RI'!V18</f>
        <v>883</v>
      </c>
      <c r="D17" s="110">
        <f>'D) Ecrêtage'!E17</f>
        <v>32.702151098856007</v>
      </c>
      <c r="E17" s="34">
        <f t="shared" si="0"/>
        <v>15.723237080798043</v>
      </c>
      <c r="F17" s="273">
        <f t="shared" si="3"/>
        <v>258651.80971788126</v>
      </c>
      <c r="G17" s="33">
        <f>+'A) Base RI'!U18</f>
        <v>69</v>
      </c>
      <c r="H17" s="274">
        <f t="shared" si="2"/>
        <v>1.0214631684586448</v>
      </c>
      <c r="I17" s="55">
        <f t="shared" si="4"/>
        <v>264203.29708198947</v>
      </c>
    </row>
    <row r="18" spans="1:9" x14ac:dyDescent="0.25">
      <c r="A18" s="49">
        <f>'A) Base RI'!A19</f>
        <v>5413</v>
      </c>
      <c r="B18" s="32" t="str">
        <f>'A) Base RI'!B19</f>
        <v>Roche</v>
      </c>
      <c r="C18" s="95">
        <f>'A) Base RI'!V19</f>
        <v>1874</v>
      </c>
      <c r="D18" s="110">
        <f>'D) Ecrêtage'!E18</f>
        <v>23.024835245464242</v>
      </c>
      <c r="E18" s="34">
        <f t="shared" si="0"/>
        <v>25.400552934189808</v>
      </c>
      <c r="F18" s="273">
        <f t="shared" si="3"/>
        <v>873947.68060761248</v>
      </c>
      <c r="G18" s="33">
        <f>+'A) Base RI'!U19</f>
        <v>68</v>
      </c>
      <c r="H18" s="274">
        <f t="shared" si="2"/>
        <v>1.0066593544230122</v>
      </c>
      <c r="I18" s="55">
        <f t="shared" si="4"/>
        <v>879767.60795994801</v>
      </c>
    </row>
    <row r="19" spans="1:9" x14ac:dyDescent="0.25">
      <c r="A19" s="49">
        <f>'A) Base RI'!A20</f>
        <v>5414</v>
      </c>
      <c r="B19" s="32" t="str">
        <f>'A) Base RI'!B20</f>
        <v>Villeneuve</v>
      </c>
      <c r="C19" s="95">
        <f>'A) Base RI'!V20</f>
        <v>5921</v>
      </c>
      <c r="D19" s="110">
        <f>'D) Ecrêtage'!E19</f>
        <v>31.365007112161987</v>
      </c>
      <c r="E19" s="34">
        <f t="shared" si="0"/>
        <v>17.060381067492063</v>
      </c>
      <c r="F19" s="273">
        <f t="shared" si="3"/>
        <v>1840989.559578809</v>
      </c>
      <c r="G19" s="33">
        <f>+'A) Base RI'!U20</f>
        <v>67.5</v>
      </c>
      <c r="H19" s="274">
        <f t="shared" si="2"/>
        <v>0.99925744740519595</v>
      </c>
      <c r="I19" s="55">
        <f t="shared" si="4"/>
        <v>1839622.5280043366</v>
      </c>
    </row>
    <row r="20" spans="1:9" x14ac:dyDescent="0.25">
      <c r="A20" s="49">
        <f>'A) Base RI'!A21</f>
        <v>5415</v>
      </c>
      <c r="B20" s="32" t="str">
        <f>'A) Base RI'!B21</f>
        <v>Yvorne</v>
      </c>
      <c r="C20" s="95">
        <f>'A) Base RI'!V21</f>
        <v>1038</v>
      </c>
      <c r="D20" s="110">
        <f>'D) Ecrêtage'!E20</f>
        <v>34.59564030702758</v>
      </c>
      <c r="E20" s="34">
        <f t="shared" si="0"/>
        <v>13.82974787262647</v>
      </c>
      <c r="F20" s="273">
        <f t="shared" si="3"/>
        <v>277128.64742293407</v>
      </c>
      <c r="G20" s="33">
        <f>+'A) Base RI'!U21</f>
        <v>71.5</v>
      </c>
      <c r="H20" s="274">
        <f t="shared" si="2"/>
        <v>1.0584727035477262</v>
      </c>
      <c r="I20" s="55">
        <f t="shared" si="4"/>
        <v>293333.10866827762</v>
      </c>
    </row>
    <row r="21" spans="1:9" x14ac:dyDescent="0.25">
      <c r="A21" s="49">
        <f>'A) Base RI'!A22</f>
        <v>5421</v>
      </c>
      <c r="B21" s="32" t="str">
        <f>'A) Base RI'!B22</f>
        <v>Apples</v>
      </c>
      <c r="C21" s="95">
        <f>'A) Base RI'!V22</f>
        <v>1469</v>
      </c>
      <c r="D21" s="110">
        <f>'D) Ecrêtage'!E21</f>
        <v>46.651904862657084</v>
      </c>
      <c r="E21" s="34">
        <f t="shared" si="0"/>
        <v>1.7734833169969662</v>
      </c>
      <c r="F21" s="273">
        <f t="shared" si="3"/>
        <v>52052.834913517509</v>
      </c>
      <c r="G21" s="33">
        <f>+'A) Base RI'!U22</f>
        <v>74</v>
      </c>
      <c r="H21" s="274">
        <f t="shared" si="2"/>
        <v>1.0954822386368073</v>
      </c>
      <c r="I21" s="55">
        <f t="shared" si="4"/>
        <v>57022.956118452319</v>
      </c>
    </row>
    <row r="22" spans="1:9" x14ac:dyDescent="0.25">
      <c r="A22" s="49">
        <f>'A) Base RI'!A23</f>
        <v>5422</v>
      </c>
      <c r="B22" s="32" t="str">
        <f>'A) Base RI'!B23</f>
        <v>Aubonne</v>
      </c>
      <c r="C22" s="95">
        <f>'A) Base RI'!V23</f>
        <v>3781</v>
      </c>
      <c r="D22" s="110">
        <f>'D) Ecrêtage'!E22</f>
        <v>96.457679185400679</v>
      </c>
      <c r="E22" s="34">
        <f t="shared" si="0"/>
        <v>0</v>
      </c>
      <c r="F22" s="273">
        <f t="shared" si="3"/>
        <v>0</v>
      </c>
      <c r="G22" s="33">
        <f>+'A) Base RI'!U23</f>
        <v>70</v>
      </c>
      <c r="H22" s="274">
        <f t="shared" si="2"/>
        <v>1.0362669824942772</v>
      </c>
      <c r="I22" s="55">
        <f t="shared" si="4"/>
        <v>0</v>
      </c>
    </row>
    <row r="23" spans="1:9" x14ac:dyDescent="0.25">
      <c r="A23" s="49">
        <f>'A) Base RI'!A24</f>
        <v>5423</v>
      </c>
      <c r="B23" s="32" t="str">
        <f>'A) Base RI'!B24</f>
        <v>Ballens</v>
      </c>
      <c r="C23" s="95">
        <f>'A) Base RI'!V24</f>
        <v>567</v>
      </c>
      <c r="D23" s="110">
        <f>'D) Ecrêtage'!E23</f>
        <v>28.561623058152737</v>
      </c>
      <c r="E23" s="34">
        <f t="shared" si="0"/>
        <v>19.863765121501313</v>
      </c>
      <c r="F23" s="273">
        <f t="shared" si="3"/>
        <v>221988.89757889643</v>
      </c>
      <c r="G23" s="33">
        <f>+'A) Base RI'!U24</f>
        <v>73</v>
      </c>
      <c r="H23" s="274">
        <f t="shared" si="2"/>
        <v>1.0806784246011749</v>
      </c>
      <c r="I23" s="55">
        <f t="shared" si="4"/>
        <v>239898.61211451338</v>
      </c>
    </row>
    <row r="24" spans="1:9" x14ac:dyDescent="0.25">
      <c r="A24" s="49">
        <f>'A) Base RI'!A25</f>
        <v>5424</v>
      </c>
      <c r="B24" s="32" t="str">
        <f>'A) Base RI'!B25</f>
        <v>Berolle</v>
      </c>
      <c r="C24" s="95">
        <f>'A) Base RI'!V25</f>
        <v>308</v>
      </c>
      <c r="D24" s="110">
        <f>'D) Ecrêtage'!E24</f>
        <v>26.954118431237635</v>
      </c>
      <c r="E24" s="34">
        <f t="shared" si="0"/>
        <v>21.471269748416415</v>
      </c>
      <c r="F24" s="273">
        <f t="shared" si="3"/>
        <v>134809.08481701234</v>
      </c>
      <c r="G24" s="33">
        <f>+'A) Base RI'!U25</f>
        <v>75.5</v>
      </c>
      <c r="H24" s="274">
        <f t="shared" si="2"/>
        <v>1.1176879596902562</v>
      </c>
      <c r="I24" s="55">
        <f t="shared" si="4"/>
        <v>150674.49095683722</v>
      </c>
    </row>
    <row r="25" spans="1:9" x14ac:dyDescent="0.25">
      <c r="A25" s="49">
        <f>'A) Base RI'!A26</f>
        <v>5425</v>
      </c>
      <c r="B25" s="32" t="str">
        <f>'A) Base RI'!B26</f>
        <v>Bière</v>
      </c>
      <c r="C25" s="95">
        <f>'A) Base RI'!V26</f>
        <v>1634</v>
      </c>
      <c r="D25" s="110">
        <f>'D) Ecrêtage'!E25</f>
        <v>27.06884830534549</v>
      </c>
      <c r="E25" s="34">
        <f t="shared" si="0"/>
        <v>21.356539874308559</v>
      </c>
      <c r="F25" s="273">
        <f t="shared" si="3"/>
        <v>650123.40006057406</v>
      </c>
      <c r="G25" s="33">
        <f>+'A) Base RI'!U26</f>
        <v>69</v>
      </c>
      <c r="H25" s="274">
        <f t="shared" si="2"/>
        <v>1.0214631684586448</v>
      </c>
      <c r="I25" s="55">
        <f t="shared" si="4"/>
        <v>664077.10811498109</v>
      </c>
    </row>
    <row r="26" spans="1:9" x14ac:dyDescent="0.25">
      <c r="A26" s="49">
        <f>'A) Base RI'!A27</f>
        <v>5426</v>
      </c>
      <c r="B26" s="32" t="str">
        <f>'A) Base RI'!B27</f>
        <v>Bougy-Villars</v>
      </c>
      <c r="C26" s="95">
        <f>'A) Base RI'!V27</f>
        <v>497</v>
      </c>
      <c r="D26" s="110">
        <f>'D) Ecrêtage'!E26</f>
        <v>106.72780366956259</v>
      </c>
      <c r="E26" s="34">
        <f t="shared" si="0"/>
        <v>0</v>
      </c>
      <c r="F26" s="273">
        <f t="shared" si="3"/>
        <v>0</v>
      </c>
      <c r="G26" s="33">
        <f>+'A) Base RI'!U27</f>
        <v>64.5</v>
      </c>
      <c r="H26" s="274">
        <f t="shared" si="2"/>
        <v>0.95484600529829833</v>
      </c>
      <c r="I26" s="55">
        <f t="shared" si="4"/>
        <v>0</v>
      </c>
    </row>
    <row r="27" spans="1:9" x14ac:dyDescent="0.25">
      <c r="A27" s="49">
        <f>'A) Base RI'!A28</f>
        <v>5427</v>
      </c>
      <c r="B27" s="32" t="str">
        <f>'A) Base RI'!B28</f>
        <v>Féchy</v>
      </c>
      <c r="C27" s="95">
        <f>'A) Base RI'!V28</f>
        <v>893</v>
      </c>
      <c r="D27" s="110">
        <f>'D) Ecrêtage'!E27</f>
        <v>98.788923720281673</v>
      </c>
      <c r="E27" s="34">
        <f t="shared" si="0"/>
        <v>0</v>
      </c>
      <c r="F27" s="273">
        <f t="shared" si="3"/>
        <v>0</v>
      </c>
      <c r="G27" s="33">
        <f>+'A) Base RI'!U28</f>
        <v>64</v>
      </c>
      <c r="H27" s="274">
        <f t="shared" si="2"/>
        <v>0.94744409828048204</v>
      </c>
      <c r="I27" s="55">
        <f t="shared" si="4"/>
        <v>0</v>
      </c>
    </row>
    <row r="28" spans="1:9" x14ac:dyDescent="0.25">
      <c r="A28" s="49">
        <f>'A) Base RI'!A29</f>
        <v>5428</v>
      </c>
      <c r="B28" s="32" t="str">
        <f>'A) Base RI'!B29</f>
        <v>Gimel</v>
      </c>
      <c r="C28" s="95">
        <f>'A) Base RI'!V29</f>
        <v>2402</v>
      </c>
      <c r="D28" s="110">
        <f>'D) Ecrêtage'!E28</f>
        <v>29.374978718331292</v>
      </c>
      <c r="E28" s="34">
        <f t="shared" si="0"/>
        <v>19.050409461322758</v>
      </c>
      <c r="F28" s="273">
        <f t="shared" si="3"/>
        <v>920443.96512744669</v>
      </c>
      <c r="G28" s="33">
        <f>+'A) Base RI'!U29</f>
        <v>74.5</v>
      </c>
      <c r="H28" s="274">
        <f t="shared" si="2"/>
        <v>1.1028841456546237</v>
      </c>
      <c r="I28" s="55">
        <f t="shared" si="4"/>
        <v>1015143.0561025382</v>
      </c>
    </row>
    <row r="29" spans="1:9" x14ac:dyDescent="0.25">
      <c r="A29" s="49">
        <f>'A) Base RI'!A30</f>
        <v>5429</v>
      </c>
      <c r="B29" s="32" t="str">
        <f>'A) Base RI'!B30</f>
        <v>Longirod</v>
      </c>
      <c r="C29" s="95">
        <f>'A) Base RI'!V30</f>
        <v>520</v>
      </c>
      <c r="D29" s="110">
        <f>'D) Ecrêtage'!E29</f>
        <v>35.720100744416868</v>
      </c>
      <c r="E29" s="34">
        <f t="shared" si="0"/>
        <v>12.705287435237182</v>
      </c>
      <c r="F29" s="273">
        <f t="shared" si="3"/>
        <v>138246.23258281578</v>
      </c>
      <c r="G29" s="33">
        <f>+'A) Base RI'!U30</f>
        <v>77.5</v>
      </c>
      <c r="H29" s="274">
        <f t="shared" si="2"/>
        <v>1.1472955877615212</v>
      </c>
      <c r="I29" s="55">
        <f t="shared" si="4"/>
        <v>158609.29266691758</v>
      </c>
    </row>
    <row r="30" spans="1:9" x14ac:dyDescent="0.25">
      <c r="A30" s="49">
        <f>'A) Base RI'!A31</f>
        <v>5430</v>
      </c>
      <c r="B30" s="32" t="str">
        <f>'A) Base RI'!B31</f>
        <v>Marchissy</v>
      </c>
      <c r="C30" s="95">
        <f>'A) Base RI'!V31</f>
        <v>485</v>
      </c>
      <c r="D30" s="110">
        <f>'D) Ecrêtage'!E30</f>
        <v>32.125735151313613</v>
      </c>
      <c r="E30" s="34">
        <f t="shared" si="0"/>
        <v>16.299653028340437</v>
      </c>
      <c r="F30" s="273">
        <f t="shared" si="3"/>
        <v>165419.0662147415</v>
      </c>
      <c r="G30" s="33">
        <f>+'A) Base RI'!U31</f>
        <v>77.5</v>
      </c>
      <c r="H30" s="274">
        <f t="shared" si="2"/>
        <v>1.1472955877615212</v>
      </c>
      <c r="I30" s="55">
        <f t="shared" si="4"/>
        <v>189784.56479980383</v>
      </c>
    </row>
    <row r="31" spans="1:9" x14ac:dyDescent="0.25">
      <c r="A31" s="49">
        <f>'A) Base RI'!A32</f>
        <v>5431</v>
      </c>
      <c r="B31" s="32" t="str">
        <f>'A) Base RI'!B32</f>
        <v>Mollens</v>
      </c>
      <c r="C31" s="95">
        <f>'A) Base RI'!V32</f>
        <v>319</v>
      </c>
      <c r="D31" s="110">
        <f>'D) Ecrêtage'!E31</f>
        <v>32.805556638142846</v>
      </c>
      <c r="E31" s="34">
        <f t="shared" si="0"/>
        <v>15.619831541511203</v>
      </c>
      <c r="F31" s="273">
        <f t="shared" si="3"/>
        <v>99554.87070960665</v>
      </c>
      <c r="G31" s="33">
        <f>+'A) Base RI'!U32</f>
        <v>74</v>
      </c>
      <c r="H31" s="274">
        <f t="shared" si="2"/>
        <v>1.0954822386368073</v>
      </c>
      <c r="I31" s="55">
        <f t="shared" si="4"/>
        <v>109060.5926321578</v>
      </c>
    </row>
    <row r="32" spans="1:9" x14ac:dyDescent="0.25">
      <c r="A32" s="49">
        <f>'A) Base RI'!A33</f>
        <v>5434</v>
      </c>
      <c r="B32" s="32" t="str">
        <f>'A) Base RI'!B33</f>
        <v>Saint-George</v>
      </c>
      <c r="C32" s="95">
        <f>'A) Base RI'!V33</f>
        <v>1072</v>
      </c>
      <c r="D32" s="110">
        <f>'D) Ecrêtage'!E32</f>
        <v>40.620101224990151</v>
      </c>
      <c r="E32" s="34">
        <f t="shared" si="0"/>
        <v>7.8052869546638988</v>
      </c>
      <c r="F32" s="273">
        <f t="shared" si="3"/>
        <v>157011.77680297539</v>
      </c>
      <c r="G32" s="33">
        <f>+'A) Base RI'!U33</f>
        <v>69.5</v>
      </c>
      <c r="H32" s="274">
        <f t="shared" si="2"/>
        <v>1.028865075476461</v>
      </c>
      <c r="I32" s="55">
        <f t="shared" si="4"/>
        <v>161543.93359108653</v>
      </c>
    </row>
    <row r="33" spans="1:9" x14ac:dyDescent="0.25">
      <c r="A33" s="49">
        <f>'A) Base RI'!A34</f>
        <v>5435</v>
      </c>
      <c r="B33" s="32" t="str">
        <f>'A) Base RI'!B34</f>
        <v>Saint-Livres</v>
      </c>
      <c r="C33" s="95">
        <f>'A) Base RI'!V34</f>
        <v>674</v>
      </c>
      <c r="D33" s="110">
        <f>'D) Ecrêtage'!E33</f>
        <v>38.359510170730665</v>
      </c>
      <c r="E33" s="34">
        <f t="shared" si="0"/>
        <v>10.065878008923384</v>
      </c>
      <c r="F33" s="273">
        <f t="shared" si="3"/>
        <v>126393.40512440757</v>
      </c>
      <c r="G33" s="33">
        <f>+'A) Base RI'!U34</f>
        <v>69</v>
      </c>
      <c r="H33" s="274">
        <f t="shared" si="2"/>
        <v>1.0214631684586448</v>
      </c>
      <c r="I33" s="55">
        <f t="shared" si="4"/>
        <v>129106.20807065447</v>
      </c>
    </row>
    <row r="34" spans="1:9" x14ac:dyDescent="0.25">
      <c r="A34" s="49">
        <f>'A) Base RI'!A35</f>
        <v>5436</v>
      </c>
      <c r="B34" s="32" t="str">
        <f>'A) Base RI'!B35</f>
        <v>Saint-Oyens</v>
      </c>
      <c r="C34" s="95">
        <f>'A) Base RI'!V35</f>
        <v>458</v>
      </c>
      <c r="D34" s="110">
        <f>'D) Ecrêtage'!E34</f>
        <v>36.830435872553778</v>
      </c>
      <c r="E34" s="34">
        <f t="shared" si="0"/>
        <v>11.594952307100272</v>
      </c>
      <c r="F34" s="273">
        <f t="shared" si="3"/>
        <v>116140.37598597759</v>
      </c>
      <c r="G34" s="33">
        <f>+'A) Base RI'!U35</f>
        <v>81</v>
      </c>
      <c r="H34" s="274">
        <f t="shared" si="2"/>
        <v>1.1991089368862351</v>
      </c>
      <c r="I34" s="55">
        <f t="shared" si="4"/>
        <v>139264.96277811323</v>
      </c>
    </row>
    <row r="35" spans="1:9" x14ac:dyDescent="0.25">
      <c r="A35" s="49">
        <f>'A) Base RI'!A36</f>
        <v>5437</v>
      </c>
      <c r="B35" s="32" t="str">
        <f>'A) Base RI'!B36</f>
        <v>Saubraz</v>
      </c>
      <c r="C35" s="95">
        <f>'A) Base RI'!V36</f>
        <v>444</v>
      </c>
      <c r="D35" s="110">
        <f>'D) Ecrêtage'!E35</f>
        <v>30.521976069819814</v>
      </c>
      <c r="E35" s="34">
        <f t="shared" si="0"/>
        <v>17.903412109834235</v>
      </c>
      <c r="F35" s="273">
        <f t="shared" si="3"/>
        <v>171700.88349815426</v>
      </c>
      <c r="G35" s="33">
        <f>+'A) Base RI'!U36</f>
        <v>80</v>
      </c>
      <c r="H35" s="274">
        <f t="shared" si="2"/>
        <v>1.1843051228506025</v>
      </c>
      <c r="I35" s="55">
        <f t="shared" si="4"/>
        <v>203346.23592483858</v>
      </c>
    </row>
    <row r="36" spans="1:9" x14ac:dyDescent="0.25">
      <c r="A36" s="49">
        <f>'A) Base RI'!A37</f>
        <v>5451</v>
      </c>
      <c r="B36" s="32" t="str">
        <f>'A) Base RI'!B37</f>
        <v>Avenches</v>
      </c>
      <c r="C36" s="95">
        <f>'A) Base RI'!V37</f>
        <v>4616</v>
      </c>
      <c r="D36" s="110">
        <f>'D) Ecrêtage'!E36</f>
        <v>29.872368138717679</v>
      </c>
      <c r="E36" s="34">
        <f t="shared" si="0"/>
        <v>18.553020040936371</v>
      </c>
      <c r="F36" s="273">
        <f t="shared" si="3"/>
        <v>1537679.4958384181</v>
      </c>
      <c r="G36" s="33">
        <f>+'A) Base RI'!U37</f>
        <v>66.5</v>
      </c>
      <c r="H36" s="274">
        <f t="shared" si="2"/>
        <v>0.98445363336956337</v>
      </c>
      <c r="I36" s="55">
        <f t="shared" si="4"/>
        <v>1513774.1666360092</v>
      </c>
    </row>
    <row r="37" spans="1:9" x14ac:dyDescent="0.25">
      <c r="A37" s="49">
        <f>'A) Base RI'!A38</f>
        <v>5456</v>
      </c>
      <c r="B37" s="32" t="str">
        <f>'A) Base RI'!B38</f>
        <v>Cudrefin</v>
      </c>
      <c r="C37" s="95">
        <f>'A) Base RI'!V38</f>
        <v>1836</v>
      </c>
      <c r="D37" s="110">
        <f>'D) Ecrêtage'!E37</f>
        <v>34.937337524463643</v>
      </c>
      <c r="E37" s="34">
        <f t="shared" si="0"/>
        <v>13.488050655190406</v>
      </c>
      <c r="F37" s="273">
        <f t="shared" si="3"/>
        <v>394491.49177666829</v>
      </c>
      <c r="G37" s="33">
        <f>+'A) Base RI'!U38</f>
        <v>59</v>
      </c>
      <c r="H37" s="274">
        <f t="shared" si="2"/>
        <v>0.87342502810231937</v>
      </c>
      <c r="I37" s="55">
        <f t="shared" si="4"/>
        <v>344558.74229116237</v>
      </c>
    </row>
    <row r="38" spans="1:9" x14ac:dyDescent="0.25">
      <c r="A38" s="49">
        <f>'A) Base RI'!A39</f>
        <v>5458</v>
      </c>
      <c r="B38" s="32" t="str">
        <f>'A) Base RI'!B39</f>
        <v>Faoug</v>
      </c>
      <c r="C38" s="95">
        <f>'A) Base RI'!V39</f>
        <v>866</v>
      </c>
      <c r="D38" s="110">
        <f>'D) Ecrêtage'!E38</f>
        <v>40.093940842067852</v>
      </c>
      <c r="E38" s="34">
        <f t="shared" ref="E38:E69" si="5">IF($D$314-D38&lt;0,0,$D$314-D38)</f>
        <v>8.3314473375861979</v>
      </c>
      <c r="F38" s="273">
        <f t="shared" si="3"/>
        <v>126623.8360708363</v>
      </c>
      <c r="G38" s="33">
        <f>+'A) Base RI'!U39</f>
        <v>65</v>
      </c>
      <c r="H38" s="274">
        <f t="shared" ref="H38:H69" si="6">G38/$G$314</f>
        <v>0.96224791231611462</v>
      </c>
      <c r="I38" s="55">
        <f t="shared" si="4"/>
        <v>121843.52190862017</v>
      </c>
    </row>
    <row r="39" spans="1:9" x14ac:dyDescent="0.25">
      <c r="A39" s="49">
        <f>'A) Base RI'!A40</f>
        <v>5464</v>
      </c>
      <c r="B39" s="32" t="str">
        <f>'A) Base RI'!B40</f>
        <v>Vully-les-Lacs</v>
      </c>
      <c r="C39" s="95">
        <f>'A) Base RI'!V40</f>
        <v>3465</v>
      </c>
      <c r="D39" s="110">
        <f>'D) Ecrêtage'!E39</f>
        <v>34.392296267579852</v>
      </c>
      <c r="E39" s="34">
        <f t="shared" si="5"/>
        <v>14.033091912074198</v>
      </c>
      <c r="F39" s="273">
        <f t="shared" si="3"/>
        <v>879620.16226884816</v>
      </c>
      <c r="G39" s="33">
        <f>+'A) Base RI'!U40</f>
        <v>67</v>
      </c>
      <c r="H39" s="274">
        <f t="shared" si="6"/>
        <v>0.99185554038737966</v>
      </c>
      <c r="I39" s="55">
        <f t="shared" si="4"/>
        <v>872456.13138280297</v>
      </c>
    </row>
    <row r="40" spans="1:9" x14ac:dyDescent="0.25">
      <c r="A40" s="49">
        <f>'A) Base RI'!A41</f>
        <v>5471</v>
      </c>
      <c r="B40" s="32" t="str">
        <f>'A) Base RI'!B41</f>
        <v>Bettens</v>
      </c>
      <c r="C40" s="95">
        <f>'A) Base RI'!V41</f>
        <v>626</v>
      </c>
      <c r="D40" s="110">
        <f>'D) Ecrêtage'!E40</f>
        <v>36.570325396825389</v>
      </c>
      <c r="E40" s="34">
        <f t="shared" si="5"/>
        <v>11.855062782828661</v>
      </c>
      <c r="F40" s="273">
        <f t="shared" si="3"/>
        <v>140261.98980875901</v>
      </c>
      <c r="G40" s="33">
        <f>+'A) Base RI'!U41</f>
        <v>70</v>
      </c>
      <c r="H40" s="274">
        <f t="shared" si="6"/>
        <v>1.0362669824942772</v>
      </c>
      <c r="I40" s="55">
        <f t="shared" si="4"/>
        <v>145348.86893776577</v>
      </c>
    </row>
    <row r="41" spans="1:9" x14ac:dyDescent="0.25">
      <c r="A41" s="49">
        <f>'A) Base RI'!A42</f>
        <v>5472</v>
      </c>
      <c r="B41" s="32" t="str">
        <f>'A) Base RI'!B42</f>
        <v>Bournens</v>
      </c>
      <c r="C41" s="95">
        <f>'A) Base RI'!V42</f>
        <v>507</v>
      </c>
      <c r="D41" s="110">
        <f>'D) Ecrêtage'!E41</f>
        <v>43.744461428884513</v>
      </c>
      <c r="E41" s="34">
        <f t="shared" si="5"/>
        <v>4.6809267507695367</v>
      </c>
      <c r="F41" s="273">
        <f t="shared" si="3"/>
        <v>46135.58852972462</v>
      </c>
      <c r="G41" s="33">
        <f>+'A) Base RI'!U42</f>
        <v>72</v>
      </c>
      <c r="H41" s="274">
        <f t="shared" si="6"/>
        <v>1.0658746105655423</v>
      </c>
      <c r="I41" s="55">
        <f t="shared" si="4"/>
        <v>49174.752457332332</v>
      </c>
    </row>
    <row r="42" spans="1:9" x14ac:dyDescent="0.25">
      <c r="A42" s="49">
        <f>'A) Base RI'!A43</f>
        <v>5473</v>
      </c>
      <c r="B42" s="32" t="str">
        <f>'A) Base RI'!B43</f>
        <v>Boussens</v>
      </c>
      <c r="C42" s="95">
        <f>'A) Base RI'!V43</f>
        <v>1001</v>
      </c>
      <c r="D42" s="110">
        <f>'D) Ecrêtage'!E42</f>
        <v>37.021990897990904</v>
      </c>
      <c r="E42" s="34">
        <f t="shared" si="5"/>
        <v>11.403397281663146</v>
      </c>
      <c r="F42" s="273">
        <f t="shared" si="3"/>
        <v>208034.74237376917</v>
      </c>
      <c r="G42" s="33">
        <f>+'A) Base RI'!U43</f>
        <v>67.5</v>
      </c>
      <c r="H42" s="274">
        <f t="shared" si="6"/>
        <v>0.99925744740519595</v>
      </c>
      <c r="I42" s="55">
        <f t="shared" si="4"/>
        <v>207880.26563601012</v>
      </c>
    </row>
    <row r="43" spans="1:9" x14ac:dyDescent="0.25">
      <c r="A43" s="49">
        <f>'A) Base RI'!A44</f>
        <v>5474</v>
      </c>
      <c r="B43" s="32" t="str">
        <f>'A) Base RI'!B44</f>
        <v>La Chaux (Cossonay)</v>
      </c>
      <c r="C43" s="95">
        <f>'A) Base RI'!V44</f>
        <v>398</v>
      </c>
      <c r="D43" s="110">
        <f>'D) Ecrêtage'!E43</f>
        <v>32.424665652825531</v>
      </c>
      <c r="E43" s="34">
        <f t="shared" si="5"/>
        <v>16.000722526828518</v>
      </c>
      <c r="F43" s="273">
        <f t="shared" si="3"/>
        <v>130677.26084770745</v>
      </c>
      <c r="G43" s="33">
        <f>+'A) Base RI'!U44</f>
        <v>76</v>
      </c>
      <c r="H43" s="274">
        <f t="shared" si="6"/>
        <v>1.1250898667080724</v>
      </c>
      <c r="I43" s="55">
        <f t="shared" si="4"/>
        <v>147023.66198892318</v>
      </c>
    </row>
    <row r="44" spans="1:9" x14ac:dyDescent="0.25">
      <c r="A44" s="49">
        <f>'A) Base RI'!A45</f>
        <v>5475</v>
      </c>
      <c r="B44" s="32" t="str">
        <f>'A) Base RI'!B45</f>
        <v>Chavannes-le-Veyron</v>
      </c>
      <c r="C44" s="95">
        <f>'A) Base RI'!V45</f>
        <v>155</v>
      </c>
      <c r="D44" s="110">
        <f>'D) Ecrêtage'!E44</f>
        <v>27.59530494623656</v>
      </c>
      <c r="E44" s="34">
        <f t="shared" si="5"/>
        <v>20.83008323341749</v>
      </c>
      <c r="F44" s="273">
        <f t="shared" si="3"/>
        <v>65380.423748889152</v>
      </c>
      <c r="G44" s="33">
        <f>+'A) Base RI'!U45</f>
        <v>75</v>
      </c>
      <c r="H44" s="274">
        <f t="shared" si="6"/>
        <v>1.1102860526724398</v>
      </c>
      <c r="I44" s="55">
        <f t="shared" si="4"/>
        <v>72590.972606205585</v>
      </c>
    </row>
    <row r="45" spans="1:9" x14ac:dyDescent="0.25">
      <c r="A45" s="49">
        <f>'A) Base RI'!A46</f>
        <v>5476</v>
      </c>
      <c r="B45" s="32" t="str">
        <f>'A) Base RI'!B46</f>
        <v>Chevilly</v>
      </c>
      <c r="C45" s="95">
        <f>'A) Base RI'!V46</f>
        <v>322</v>
      </c>
      <c r="D45" s="110">
        <f>'D) Ecrêtage'!E45</f>
        <v>37.500955236667387</v>
      </c>
      <c r="E45" s="34">
        <f t="shared" si="5"/>
        <v>10.924432942986662</v>
      </c>
      <c r="F45" s="273">
        <f t="shared" si="3"/>
        <v>68858.339504586387</v>
      </c>
      <c r="G45" s="33">
        <f>+'A) Base RI'!U46</f>
        <v>72.5</v>
      </c>
      <c r="H45" s="274">
        <f t="shared" si="6"/>
        <v>1.0732765175833585</v>
      </c>
      <c r="I45" s="55">
        <f t="shared" si="4"/>
        <v>73904.038830055084</v>
      </c>
    </row>
    <row r="46" spans="1:9" x14ac:dyDescent="0.25">
      <c r="A46" s="49">
        <f>'A) Base RI'!A47</f>
        <v>5477</v>
      </c>
      <c r="B46" s="32" t="str">
        <f>'A) Base RI'!B47</f>
        <v>Cossonay</v>
      </c>
      <c r="C46" s="95">
        <f>'A) Base RI'!V47</f>
        <v>4326</v>
      </c>
      <c r="D46" s="110">
        <f>'D) Ecrêtage'!E46</f>
        <v>32.963010540250188</v>
      </c>
      <c r="E46" s="34">
        <f t="shared" si="5"/>
        <v>15.462377639403861</v>
      </c>
      <c r="F46" s="273">
        <f t="shared" si="3"/>
        <v>1255195.4599611666</v>
      </c>
      <c r="G46" s="33">
        <f>+'A) Base RI'!U47</f>
        <v>69.5</v>
      </c>
      <c r="H46" s="274">
        <f t="shared" si="6"/>
        <v>1.028865075476461</v>
      </c>
      <c r="I46" s="55">
        <f t="shared" si="4"/>
        <v>1291426.7716506568</v>
      </c>
    </row>
    <row r="47" spans="1:9" x14ac:dyDescent="0.25">
      <c r="A47" s="49">
        <f>'A) Base RI'!A48</f>
        <v>5478</v>
      </c>
      <c r="B47" s="32" t="str">
        <f>'A) Base RI'!B48</f>
        <v>Cottens</v>
      </c>
      <c r="C47" s="95">
        <f>'A) Base RI'!V48</f>
        <v>484</v>
      </c>
      <c r="D47" s="110">
        <f>'D) Ecrêtage'!E47</f>
        <v>32.523200804109898</v>
      </c>
      <c r="E47" s="34">
        <f t="shared" si="5"/>
        <v>15.902187375544152</v>
      </c>
      <c r="F47" s="273">
        <f t="shared" si="3"/>
        <v>153779.24062147216</v>
      </c>
      <c r="G47" s="33">
        <f>+'A) Base RI'!U48</f>
        <v>74</v>
      </c>
      <c r="H47" s="274">
        <f t="shared" si="6"/>
        <v>1.0954822386368073</v>
      </c>
      <c r="I47" s="55">
        <f t="shared" si="4"/>
        <v>168462.42677187856</v>
      </c>
    </row>
    <row r="48" spans="1:9" x14ac:dyDescent="0.25">
      <c r="A48" s="49">
        <f>'A) Base RI'!A49</f>
        <v>5479</v>
      </c>
      <c r="B48" s="32" t="str">
        <f>'A) Base RI'!B49</f>
        <v>Cuarnens</v>
      </c>
      <c r="C48" s="95">
        <f>'A) Base RI'!V49</f>
        <v>531</v>
      </c>
      <c r="D48" s="110">
        <f>'D) Ecrêtage'!E48</f>
        <v>33.869823904908642</v>
      </c>
      <c r="E48" s="34">
        <f t="shared" si="5"/>
        <v>14.555564274745407</v>
      </c>
      <c r="F48" s="273">
        <f t="shared" si="3"/>
        <v>160686.00625540919</v>
      </c>
      <c r="G48" s="33">
        <f>+'A) Base RI'!U49</f>
        <v>77</v>
      </c>
      <c r="H48" s="274">
        <f t="shared" si="6"/>
        <v>1.139893680743705</v>
      </c>
      <c r="I48" s="55">
        <f t="shared" si="4"/>
        <v>183164.96311448439</v>
      </c>
    </row>
    <row r="49" spans="1:12" x14ac:dyDescent="0.25">
      <c r="A49" s="49">
        <f>'A) Base RI'!A50</f>
        <v>5480</v>
      </c>
      <c r="B49" s="32" t="str">
        <f>'A) Base RI'!B50</f>
        <v>Daillens</v>
      </c>
      <c r="C49" s="95">
        <f>'A) Base RI'!V50</f>
        <v>1051</v>
      </c>
      <c r="D49" s="110">
        <f>'D) Ecrêtage'!E49</f>
        <v>39.281313948235926</v>
      </c>
      <c r="E49" s="34">
        <f t="shared" si="5"/>
        <v>9.1440742314181236</v>
      </c>
      <c r="F49" s="273">
        <f t="shared" si="3"/>
        <v>171257.72034686839</v>
      </c>
      <c r="G49" s="33">
        <f>+'A) Base RI'!U50</f>
        <v>66</v>
      </c>
      <c r="H49" s="274">
        <f t="shared" si="6"/>
        <v>0.97705172635174709</v>
      </c>
      <c r="I49" s="55">
        <f t="shared" si="4"/>
        <v>167327.65131597247</v>
      </c>
    </row>
    <row r="50" spans="1:12" x14ac:dyDescent="0.25">
      <c r="A50" s="49">
        <f>'A) Base RI'!A51</f>
        <v>5481</v>
      </c>
      <c r="B50" s="32" t="str">
        <f>'A) Base RI'!B51</f>
        <v>Dizy</v>
      </c>
      <c r="C50" s="95">
        <f>'A) Base RI'!V51</f>
        <v>225</v>
      </c>
      <c r="D50" s="110">
        <f>'D) Ecrêtage'!E50</f>
        <v>36.092832592592593</v>
      </c>
      <c r="E50" s="34">
        <f t="shared" si="5"/>
        <v>12.332555587061456</v>
      </c>
      <c r="F50" s="273">
        <f t="shared" si="3"/>
        <v>56190.20639354876</v>
      </c>
      <c r="G50" s="33">
        <f>+'A) Base RI'!U51</f>
        <v>75</v>
      </c>
      <c r="H50" s="274">
        <f t="shared" si="6"/>
        <v>1.1102860526724398</v>
      </c>
      <c r="I50" s="55">
        <f t="shared" si="4"/>
        <v>62387.202455542945</v>
      </c>
    </row>
    <row r="51" spans="1:12" x14ac:dyDescent="0.25">
      <c r="A51" s="49">
        <f>'A) Base RI'!A52</f>
        <v>5482</v>
      </c>
      <c r="B51" s="32" t="str">
        <f>'A) Base RI'!B52</f>
        <v>Eclépens</v>
      </c>
      <c r="C51" s="95">
        <f>'A) Base RI'!V52</f>
        <v>1198</v>
      </c>
      <c r="D51" s="110">
        <f>'D) Ecrêtage'!E51</f>
        <v>45.239011758728317</v>
      </c>
      <c r="E51" s="34">
        <f t="shared" si="5"/>
        <v>3.1863764209257326</v>
      </c>
      <c r="F51" s="273">
        <f t="shared" si="3"/>
        <v>47410.604587181326</v>
      </c>
      <c r="G51" s="33">
        <f>+'A) Base RI'!U52</f>
        <v>46</v>
      </c>
      <c r="H51" s="274">
        <f t="shared" si="6"/>
        <v>0.68097544563909651</v>
      </c>
      <c r="I51" s="55">
        <f t="shared" si="4"/>
        <v>32285.457586774795</v>
      </c>
    </row>
    <row r="52" spans="1:12" x14ac:dyDescent="0.25">
      <c r="A52" s="49">
        <f>'A) Base RI'!A53</f>
        <v>5483</v>
      </c>
      <c r="B52" s="32" t="str">
        <f>'A) Base RI'!B53</f>
        <v>Ferreyres</v>
      </c>
      <c r="C52" s="95">
        <f>'A) Base RI'!V53</f>
        <v>319</v>
      </c>
      <c r="D52" s="110">
        <f>'D) Ecrêtage'!E52</f>
        <v>33.031731974921634</v>
      </c>
      <c r="E52" s="34">
        <f t="shared" si="5"/>
        <v>15.393656204732416</v>
      </c>
      <c r="F52" s="273">
        <f t="shared" si="3"/>
        <v>100765.02627743383</v>
      </c>
      <c r="G52" s="33">
        <f>+'A) Base RI'!U53</f>
        <v>76</v>
      </c>
      <c r="H52" s="274">
        <f t="shared" si="6"/>
        <v>1.1250898667080724</v>
      </c>
      <c r="I52" s="55">
        <f t="shared" si="4"/>
        <v>113369.70998331344</v>
      </c>
    </row>
    <row r="53" spans="1:12" x14ac:dyDescent="0.25">
      <c r="A53" s="49">
        <f>'A) Base RI'!A54</f>
        <v>5484</v>
      </c>
      <c r="B53" s="32" t="str">
        <f>'A) Base RI'!B54</f>
        <v>Gollion</v>
      </c>
      <c r="C53" s="95">
        <f>'A) Base RI'!V54</f>
        <v>1018</v>
      </c>
      <c r="D53" s="110">
        <f>'D) Ecrêtage'!E53</f>
        <v>35.314996150374355</v>
      </c>
      <c r="E53" s="34">
        <f t="shared" si="5"/>
        <v>13.110392029279694</v>
      </c>
      <c r="F53" s="273">
        <f t="shared" si="3"/>
        <v>266660.65413441847</v>
      </c>
      <c r="G53" s="33">
        <f>+'A) Base RI'!U54</f>
        <v>74</v>
      </c>
      <c r="H53" s="274">
        <f t="shared" si="6"/>
        <v>1.0954822386368073</v>
      </c>
      <c r="I53" s="55">
        <f t="shared" si="4"/>
        <v>292122.01034752815</v>
      </c>
    </row>
    <row r="54" spans="1:12" x14ac:dyDescent="0.25">
      <c r="A54" s="49">
        <f>'A) Base RI'!A55</f>
        <v>5485</v>
      </c>
      <c r="B54" s="32" t="str">
        <f>'A) Base RI'!B55</f>
        <v>Grancy</v>
      </c>
      <c r="C54" s="95">
        <f>'A) Base RI'!V55</f>
        <v>445</v>
      </c>
      <c r="D54" s="110">
        <f>'D) Ecrêtage'!E54</f>
        <v>55.030695666131621</v>
      </c>
      <c r="E54" s="34">
        <f t="shared" si="5"/>
        <v>0</v>
      </c>
      <c r="F54" s="273">
        <f t="shared" si="3"/>
        <v>0</v>
      </c>
      <c r="G54" s="33">
        <f>+'A) Base RI'!U55</f>
        <v>70</v>
      </c>
      <c r="H54" s="274">
        <f t="shared" si="6"/>
        <v>1.0362669824942772</v>
      </c>
      <c r="I54" s="55">
        <f t="shared" si="4"/>
        <v>0</v>
      </c>
    </row>
    <row r="55" spans="1:12" x14ac:dyDescent="0.25">
      <c r="A55" s="49">
        <f>'A) Base RI'!A56</f>
        <v>5486</v>
      </c>
      <c r="B55" s="32" t="str">
        <f>'A) Base RI'!B56</f>
        <v>L'Isle</v>
      </c>
      <c r="C55" s="95">
        <f>'A) Base RI'!V56</f>
        <v>1079</v>
      </c>
      <c r="D55" s="110">
        <f>'D) Ecrêtage'!E55</f>
        <v>27.090257522397287</v>
      </c>
      <c r="E55" s="34">
        <f t="shared" si="5"/>
        <v>21.335130657256762</v>
      </c>
      <c r="F55" s="273">
        <f t="shared" si="3"/>
        <v>466167.27107839601</v>
      </c>
      <c r="G55" s="33">
        <f>+'A) Base RI'!U56</f>
        <v>75</v>
      </c>
      <c r="H55" s="274">
        <f t="shared" si="6"/>
        <v>1.1102860526724398</v>
      </c>
      <c r="I55" s="55">
        <f t="shared" si="4"/>
        <v>517579.01929071551</v>
      </c>
    </row>
    <row r="56" spans="1:12" x14ac:dyDescent="0.25">
      <c r="A56" s="49">
        <f>'A) Base RI'!A57</f>
        <v>5487</v>
      </c>
      <c r="B56" s="32" t="str">
        <f>'A) Base RI'!B57</f>
        <v>Lussery-Villars</v>
      </c>
      <c r="C56" s="95">
        <f>'A) Base RI'!V57</f>
        <v>475</v>
      </c>
      <c r="D56" s="110">
        <f>'D) Ecrêtage'!E56</f>
        <v>34.994614456140354</v>
      </c>
      <c r="E56" s="34">
        <f t="shared" si="5"/>
        <v>13.430773723513695</v>
      </c>
      <c r="F56" s="273">
        <f t="shared" si="3"/>
        <v>129187.25475304737</v>
      </c>
      <c r="G56" s="33">
        <f>+'A) Base RI'!U57</f>
        <v>75</v>
      </c>
      <c r="H56" s="274">
        <f t="shared" si="6"/>
        <v>1.1102860526724398</v>
      </c>
      <c r="I56" s="55">
        <f t="shared" si="4"/>
        <v>143434.80713534987</v>
      </c>
    </row>
    <row r="57" spans="1:12" x14ac:dyDescent="0.25">
      <c r="A57" s="49">
        <f>'A) Base RI'!A58</f>
        <v>5488</v>
      </c>
      <c r="B57" s="32" t="str">
        <f>'A) Base RI'!B58</f>
        <v>Mauraz</v>
      </c>
      <c r="C57" s="95">
        <f>'A) Base RI'!V58</f>
        <v>60</v>
      </c>
      <c r="D57" s="110">
        <f>'D) Ecrêtage'!E57</f>
        <v>28.819761904761901</v>
      </c>
      <c r="E57" s="34">
        <f t="shared" si="5"/>
        <v>19.605626274892149</v>
      </c>
      <c r="F57" s="273">
        <f t="shared" si="3"/>
        <v>24456.058215300469</v>
      </c>
      <c r="G57" s="33">
        <f>+'A) Base RI'!U58</f>
        <v>77</v>
      </c>
      <c r="H57" s="274">
        <f t="shared" si="6"/>
        <v>1.139893680743705</v>
      </c>
      <c r="I57" s="55">
        <f t="shared" si="4"/>
        <v>27877.306215521177</v>
      </c>
    </row>
    <row r="58" spans="1:12" x14ac:dyDescent="0.25">
      <c r="A58" s="49">
        <f>'A) Base RI'!A59</f>
        <v>5489</v>
      </c>
      <c r="B58" s="32" t="str">
        <f>'A) Base RI'!B59</f>
        <v>Mex</v>
      </c>
      <c r="C58" s="95">
        <f>'A) Base RI'!V59</f>
        <v>795</v>
      </c>
      <c r="D58" s="110">
        <f>'D) Ecrêtage'!E58</f>
        <v>63.999911843982865</v>
      </c>
      <c r="E58" s="34">
        <f t="shared" si="5"/>
        <v>0</v>
      </c>
      <c r="F58" s="273">
        <f t="shared" si="3"/>
        <v>0</v>
      </c>
      <c r="G58" s="33">
        <f>+'A) Base RI'!U59</f>
        <v>59.5</v>
      </c>
      <c r="H58" s="274">
        <f t="shared" si="6"/>
        <v>0.88082693512013566</v>
      </c>
      <c r="I58" s="55">
        <f t="shared" si="4"/>
        <v>0</v>
      </c>
    </row>
    <row r="59" spans="1:12" x14ac:dyDescent="0.25">
      <c r="A59" s="49">
        <f>'A) Base RI'!A60</f>
        <v>5490</v>
      </c>
      <c r="B59" s="32" t="str">
        <f>'A) Base RI'!B60</f>
        <v>Moiry</v>
      </c>
      <c r="C59" s="95">
        <f>'A) Base RI'!V60</f>
        <v>301</v>
      </c>
      <c r="D59" s="110">
        <f>'D) Ecrêtage'!E59</f>
        <v>30.089368770764118</v>
      </c>
      <c r="E59" s="34">
        <f t="shared" si="5"/>
        <v>18.336019408889932</v>
      </c>
      <c r="F59" s="273">
        <f t="shared" si="3"/>
        <v>115488.04304543757</v>
      </c>
      <c r="G59" s="33">
        <f>+'A) Base RI'!U60</f>
        <v>77.5</v>
      </c>
      <c r="H59" s="274">
        <f t="shared" si="6"/>
        <v>1.1472955877615212</v>
      </c>
      <c r="I59" s="55">
        <f t="shared" si="4"/>
        <v>132498.92222524315</v>
      </c>
    </row>
    <row r="60" spans="1:12" x14ac:dyDescent="0.25">
      <c r="A60" s="49">
        <f>'A) Base RI'!A61</f>
        <v>5491</v>
      </c>
      <c r="B60" s="32" t="str">
        <f>'A) Base RI'!B61</f>
        <v>Mont-la-Ville</v>
      </c>
      <c r="C60" s="95">
        <f>'A) Base RI'!V61</f>
        <v>508</v>
      </c>
      <c r="D60" s="110">
        <f>'D) Ecrêtage'!E60</f>
        <v>26.86797399502694</v>
      </c>
      <c r="E60" s="34">
        <f t="shared" si="5"/>
        <v>21.55741418462711</v>
      </c>
      <c r="F60" s="273">
        <f t="shared" si="3"/>
        <v>224717.93464682254</v>
      </c>
      <c r="G60" s="33">
        <f>+'A) Base RI'!U61</f>
        <v>76</v>
      </c>
      <c r="H60" s="274">
        <f t="shared" si="6"/>
        <v>1.1250898667080724</v>
      </c>
      <c r="I60" s="55">
        <f t="shared" si="4"/>
        <v>252827.87113870689</v>
      </c>
    </row>
    <row r="61" spans="1:12" x14ac:dyDescent="0.25">
      <c r="A61" s="49">
        <f>'A) Base RI'!A62</f>
        <v>5492</v>
      </c>
      <c r="B61" s="32" t="str">
        <f>'A) Base RI'!B62</f>
        <v>Montricher</v>
      </c>
      <c r="C61" s="95">
        <f>'A) Base RI'!V62</f>
        <v>981</v>
      </c>
      <c r="D61" s="110">
        <f>'D) Ecrêtage'!E61</f>
        <v>178.66305332568808</v>
      </c>
      <c r="E61" s="34">
        <f t="shared" si="5"/>
        <v>0</v>
      </c>
      <c r="F61" s="273">
        <f t="shared" si="3"/>
        <v>0</v>
      </c>
      <c r="G61" s="33">
        <f>+'A) Base RI'!U62</f>
        <v>64</v>
      </c>
      <c r="H61" s="274">
        <f t="shared" si="6"/>
        <v>0.94744409828048204</v>
      </c>
      <c r="I61" s="55">
        <f t="shared" si="4"/>
        <v>0</v>
      </c>
    </row>
    <row r="62" spans="1:12" x14ac:dyDescent="0.25">
      <c r="A62" s="49">
        <f>'A) Base RI'!A63</f>
        <v>5493</v>
      </c>
      <c r="B62" s="32" t="str">
        <f>'A) Base RI'!B63</f>
        <v>Orny</v>
      </c>
      <c r="C62" s="95">
        <f>'A) Base RI'!V63</f>
        <v>480</v>
      </c>
      <c r="D62" s="110">
        <f>'D) Ecrêtage'!E62</f>
        <v>28.104055101861611</v>
      </c>
      <c r="E62" s="34">
        <f t="shared" si="5"/>
        <v>20.321333077792438</v>
      </c>
      <c r="F62" s="273">
        <f t="shared" si="3"/>
        <v>192256.06798237874</v>
      </c>
      <c r="G62" s="33">
        <f>+'A) Base RI'!U63</f>
        <v>73</v>
      </c>
      <c r="H62" s="274">
        <f t="shared" si="6"/>
        <v>1.0806784246011749</v>
      </c>
      <c r="I62" s="55">
        <f t="shared" si="4"/>
        <v>207766.98466721343</v>
      </c>
    </row>
    <row r="63" spans="1:12" x14ac:dyDescent="0.25">
      <c r="A63" s="49">
        <f>'A) Base RI'!A64</f>
        <v>5494</v>
      </c>
      <c r="B63" s="32" t="str">
        <f>'A) Base RI'!B64</f>
        <v>Pampigny</v>
      </c>
      <c r="C63" s="95">
        <f>'A) Base RI'!V64</f>
        <v>1185</v>
      </c>
      <c r="D63" s="110">
        <f>'D) Ecrêtage'!E63</f>
        <v>36.46460671967764</v>
      </c>
      <c r="E63" s="34">
        <f t="shared" si="5"/>
        <v>11.96078145997641</v>
      </c>
      <c r="F63" s="273">
        <f t="shared" si="3"/>
        <v>279360.19805272005</v>
      </c>
      <c r="G63" s="33">
        <f>+'A) Base RI'!U64</f>
        <v>73</v>
      </c>
      <c r="H63" s="274">
        <f t="shared" si="6"/>
        <v>1.0806784246011749</v>
      </c>
      <c r="I63" s="55">
        <f t="shared" si="4"/>
        <v>301898.53872788569</v>
      </c>
    </row>
    <row r="64" spans="1:12" x14ac:dyDescent="0.25">
      <c r="A64" s="49">
        <f>'A) Base RI'!A65</f>
        <v>5495</v>
      </c>
      <c r="B64" s="32" t="str">
        <f>'A) Base RI'!B65</f>
        <v>Penthalaz</v>
      </c>
      <c r="C64" s="95">
        <f>'A) Base RI'!V65</f>
        <v>3210</v>
      </c>
      <c r="D64" s="110">
        <f>'D) Ecrêtage'!E64</f>
        <v>29.69299692683337</v>
      </c>
      <c r="E64" s="34">
        <f t="shared" si="5"/>
        <v>18.73239125282068</v>
      </c>
      <c r="F64" s="273">
        <f t="shared" si="3"/>
        <v>1201416.8989126566</v>
      </c>
      <c r="G64" s="33">
        <f>+'A) Base RI'!U65</f>
        <v>74</v>
      </c>
      <c r="H64" s="274">
        <f t="shared" si="6"/>
        <v>1.0954822386368073</v>
      </c>
      <c r="I64" s="55">
        <f t="shared" si="4"/>
        <v>1316130.8739569278</v>
      </c>
      <c r="L64" s="28"/>
    </row>
    <row r="65" spans="1:9" x14ac:dyDescent="0.25">
      <c r="A65" s="49">
        <f>'A) Base RI'!A66</f>
        <v>5496</v>
      </c>
      <c r="B65" s="32" t="str">
        <f>'A) Base RI'!B66</f>
        <v>Penthaz</v>
      </c>
      <c r="C65" s="95">
        <f>'A) Base RI'!V66</f>
        <v>1890</v>
      </c>
      <c r="D65" s="110">
        <f>'D) Ecrêtage'!E65</f>
        <v>29.771381827871039</v>
      </c>
      <c r="E65" s="34">
        <f t="shared" si="5"/>
        <v>18.654006351783011</v>
      </c>
      <c r="F65" s="273">
        <f t="shared" si="3"/>
        <v>661580.1911713836</v>
      </c>
      <c r="G65" s="33">
        <f>+'A) Base RI'!U66</f>
        <v>69.5</v>
      </c>
      <c r="H65" s="274">
        <f t="shared" si="6"/>
        <v>1.028865075476461</v>
      </c>
      <c r="I65" s="55">
        <f t="shared" si="4"/>
        <v>680676.75332327711</v>
      </c>
    </row>
    <row r="66" spans="1:9" x14ac:dyDescent="0.25">
      <c r="A66" s="49">
        <f>'A) Base RI'!A67</f>
        <v>5497</v>
      </c>
      <c r="B66" s="32" t="str">
        <f>'A) Base RI'!B67</f>
        <v>Pompaples</v>
      </c>
      <c r="C66" s="95">
        <f>'A) Base RI'!V67</f>
        <v>849</v>
      </c>
      <c r="D66" s="110">
        <f>'D) Ecrêtage'!E66</f>
        <v>26.211424492272553</v>
      </c>
      <c r="E66" s="34">
        <f t="shared" si="5"/>
        <v>22.213963687381497</v>
      </c>
      <c r="F66" s="273">
        <f t="shared" si="3"/>
        <v>336079.05513985845</v>
      </c>
      <c r="G66" s="33">
        <f>+'A) Base RI'!U67</f>
        <v>66</v>
      </c>
      <c r="H66" s="274">
        <f t="shared" si="6"/>
        <v>0.97705172635174709</v>
      </c>
      <c r="I66" s="55">
        <f t="shared" si="4"/>
        <v>328366.62101506267</v>
      </c>
    </row>
    <row r="67" spans="1:9" x14ac:dyDescent="0.25">
      <c r="A67" s="49">
        <f>'A) Base RI'!A68</f>
        <v>5498</v>
      </c>
      <c r="B67" s="32" t="str">
        <f>'A) Base RI'!B68</f>
        <v>La Sarraz</v>
      </c>
      <c r="C67" s="95">
        <f>'A) Base RI'!V68</f>
        <v>2620</v>
      </c>
      <c r="D67" s="110">
        <f>'D) Ecrêtage'!E67</f>
        <v>28.504637057598895</v>
      </c>
      <c r="E67" s="34">
        <f t="shared" si="5"/>
        <v>19.920751122055155</v>
      </c>
      <c r="F67" s="273">
        <f t="shared" si="3"/>
        <v>930067.99668695987</v>
      </c>
      <c r="G67" s="33">
        <f>+'A) Base RI'!U68</f>
        <v>66</v>
      </c>
      <c r="H67" s="274">
        <f t="shared" si="6"/>
        <v>0.97705172635174709</v>
      </c>
      <c r="I67" s="55">
        <f t="shared" si="4"/>
        <v>908724.54178750515</v>
      </c>
    </row>
    <row r="68" spans="1:9" x14ac:dyDescent="0.25">
      <c r="A68" s="49">
        <f>'A) Base RI'!A69</f>
        <v>5499</v>
      </c>
      <c r="B68" s="32" t="str">
        <f>'A) Base RI'!B69</f>
        <v>Senarclens</v>
      </c>
      <c r="C68" s="95">
        <f>'A) Base RI'!V69</f>
        <v>491</v>
      </c>
      <c r="D68" s="110">
        <f>'D) Ecrêtage'!E68</f>
        <v>37.146444467569538</v>
      </c>
      <c r="E68" s="34">
        <f t="shared" si="5"/>
        <v>11.278943712084512</v>
      </c>
      <c r="F68" s="273">
        <f t="shared" si="3"/>
        <v>102424.59540190651</v>
      </c>
      <c r="G68" s="33">
        <f>+'A) Base RI'!U69</f>
        <v>68.5</v>
      </c>
      <c r="H68" s="274">
        <f t="shared" si="6"/>
        <v>1.0140612614408284</v>
      </c>
      <c r="I68" s="55">
        <f t="shared" si="4"/>
        <v>103864.81441582378</v>
      </c>
    </row>
    <row r="69" spans="1:9" x14ac:dyDescent="0.25">
      <c r="A69" s="49">
        <f>'A) Base RI'!A70</f>
        <v>5500</v>
      </c>
      <c r="B69" s="32" t="str">
        <f>'A) Base RI'!B70</f>
        <v>Sévery</v>
      </c>
      <c r="C69" s="95">
        <f>'A) Base RI'!V70</f>
        <v>220</v>
      </c>
      <c r="D69" s="110">
        <f>'D) Ecrêtage'!E69</f>
        <v>32.86528746367788</v>
      </c>
      <c r="E69" s="34">
        <f t="shared" si="5"/>
        <v>15.560100715976169</v>
      </c>
      <c r="F69" s="273">
        <f t="shared" si="3"/>
        <v>67471.708724615877</v>
      </c>
      <c r="G69" s="33">
        <f>+'A) Base RI'!U70</f>
        <v>73</v>
      </c>
      <c r="H69" s="274">
        <f t="shared" si="6"/>
        <v>1.0806784246011749</v>
      </c>
      <c r="I69" s="55">
        <f t="shared" si="4"/>
        <v>72915.219889667234</v>
      </c>
    </row>
    <row r="70" spans="1:9" x14ac:dyDescent="0.25">
      <c r="A70" s="49">
        <f>'A) Base RI'!A71</f>
        <v>5501</v>
      </c>
      <c r="B70" s="32" t="str">
        <f>'A) Base RI'!B71</f>
        <v>Sullens</v>
      </c>
      <c r="C70" s="95">
        <f>'A) Base RI'!V71</f>
        <v>1143</v>
      </c>
      <c r="D70" s="110">
        <f>'D) Ecrêtage'!E70</f>
        <v>37.791425177692204</v>
      </c>
      <c r="E70" s="34">
        <f t="shared" ref="E70:E133" si="7">IF($D$314-D70&lt;0,0,$D$314-D70)</f>
        <v>10.633963001961845</v>
      </c>
      <c r="F70" s="273">
        <f t="shared" ref="F70:F133" si="8">(C70*E70*G70)*$E$5</f>
        <v>224799.691559428</v>
      </c>
      <c r="G70" s="33">
        <f>+'A) Base RI'!U71</f>
        <v>68.5</v>
      </c>
      <c r="H70" s="274">
        <f t="shared" ref="H70:H133" si="9">G70/$G$314</f>
        <v>1.0140612614408284</v>
      </c>
      <c r="I70" s="55">
        <f t="shared" ref="I70:I133" si="10">F70*H70</f>
        <v>227960.65879426271</v>
      </c>
    </row>
    <row r="71" spans="1:9" x14ac:dyDescent="0.25">
      <c r="A71" s="49">
        <f>'A) Base RI'!A72</f>
        <v>5503</v>
      </c>
      <c r="B71" s="32" t="str">
        <f>'A) Base RI'!B72</f>
        <v>Vufflens-la-Ville</v>
      </c>
      <c r="C71" s="95">
        <f>'A) Base RI'!V72</f>
        <v>1346</v>
      </c>
      <c r="D71" s="110">
        <f>'D) Ecrêtage'!E71</f>
        <v>58.714498421710161</v>
      </c>
      <c r="E71" s="34">
        <f t="shared" si="7"/>
        <v>0</v>
      </c>
      <c r="F71" s="273">
        <f t="shared" si="8"/>
        <v>0</v>
      </c>
      <c r="G71" s="33">
        <f>+'A) Base RI'!U72</f>
        <v>67</v>
      </c>
      <c r="H71" s="274">
        <f t="shared" si="9"/>
        <v>0.99185554038737966</v>
      </c>
      <c r="I71" s="55">
        <f t="shared" si="10"/>
        <v>0</v>
      </c>
    </row>
    <row r="72" spans="1:9" x14ac:dyDescent="0.25">
      <c r="A72" s="49">
        <f>'A) Base RI'!A73</f>
        <v>5511</v>
      </c>
      <c r="B72" s="32" t="str">
        <f>'A) Base RI'!B73</f>
        <v>Assens</v>
      </c>
      <c r="C72" s="95">
        <f>'A) Base RI'!V73</f>
        <v>1151</v>
      </c>
      <c r="D72" s="110">
        <f>'D) Ecrêtage'!E72</f>
        <v>41.123766414298125</v>
      </c>
      <c r="E72" s="34">
        <f t="shared" si="7"/>
        <v>7.3016217653559252</v>
      </c>
      <c r="F72" s="273">
        <f t="shared" si="8"/>
        <v>158838.74972137625</v>
      </c>
      <c r="G72" s="33">
        <f>+'A) Base RI'!U73</f>
        <v>70</v>
      </c>
      <c r="H72" s="274">
        <f t="shared" si="9"/>
        <v>1.0362669824942772</v>
      </c>
      <c r="I72" s="55">
        <f t="shared" si="10"/>
        <v>164599.35187693429</v>
      </c>
    </row>
    <row r="73" spans="1:9" x14ac:dyDescent="0.25">
      <c r="A73" s="49">
        <f>'A) Base RI'!A74</f>
        <v>5512</v>
      </c>
      <c r="B73" s="32" t="str">
        <f>'A) Base RI'!B74</f>
        <v>Bercher</v>
      </c>
      <c r="C73" s="95">
        <f>'A) Base RI'!V74</f>
        <v>1320</v>
      </c>
      <c r="D73" s="110">
        <f>'D) Ecrêtage'!E73</f>
        <v>30.881913214422706</v>
      </c>
      <c r="E73" s="34">
        <f t="shared" si="7"/>
        <v>17.543474965231344</v>
      </c>
      <c r="F73" s="273">
        <f t="shared" si="8"/>
        <v>493947.06373106758</v>
      </c>
      <c r="G73" s="33">
        <f>+'A) Base RI'!U74</f>
        <v>79</v>
      </c>
      <c r="H73" s="274">
        <f t="shared" si="9"/>
        <v>1.1695013088149699</v>
      </c>
      <c r="I73" s="55">
        <f t="shared" si="10"/>
        <v>577671.73751879495</v>
      </c>
    </row>
    <row r="74" spans="1:9" x14ac:dyDescent="0.25">
      <c r="A74" s="49">
        <f>'A) Base RI'!A75</f>
        <v>5513</v>
      </c>
      <c r="B74" s="32" t="str">
        <f>'A) Base RI'!B75</f>
        <v>Bioley-Orjulaz</v>
      </c>
      <c r="C74" s="95">
        <f>'A) Base RI'!V75</f>
        <v>518</v>
      </c>
      <c r="D74" s="110">
        <f>'D) Ecrêtage'!E74</f>
        <v>43.897727117874176</v>
      </c>
      <c r="E74" s="34">
        <f t="shared" si="7"/>
        <v>4.5276610617798738</v>
      </c>
      <c r="F74" s="273">
        <f t="shared" si="8"/>
        <v>43060.229974836257</v>
      </c>
      <c r="G74" s="33">
        <f>+'A) Base RI'!U75</f>
        <v>68</v>
      </c>
      <c r="H74" s="274">
        <f t="shared" si="9"/>
        <v>1.0066593544230122</v>
      </c>
      <c r="I74" s="55">
        <f t="shared" si="10"/>
        <v>43346.98330777511</v>
      </c>
    </row>
    <row r="75" spans="1:9" x14ac:dyDescent="0.25">
      <c r="A75" s="49">
        <f>'A) Base RI'!A76</f>
        <v>5514</v>
      </c>
      <c r="B75" s="32" t="str">
        <f>'A) Base RI'!B76</f>
        <v>Bottens</v>
      </c>
      <c r="C75" s="95">
        <f>'A) Base RI'!V76</f>
        <v>1357</v>
      </c>
      <c r="D75" s="110">
        <f>'D) Ecrêtage'!E75</f>
        <v>32.589104972937257</v>
      </c>
      <c r="E75" s="34">
        <f t="shared" si="7"/>
        <v>15.836283206716793</v>
      </c>
      <c r="F75" s="273">
        <f t="shared" si="8"/>
        <v>420663.54579790006</v>
      </c>
      <c r="G75" s="33">
        <f>+'A) Base RI'!U76</f>
        <v>72.5</v>
      </c>
      <c r="H75" s="274">
        <f t="shared" si="9"/>
        <v>1.0732765175833585</v>
      </c>
      <c r="I75" s="55">
        <f t="shared" si="10"/>
        <v>451488.30550823786</v>
      </c>
    </row>
    <row r="76" spans="1:9" x14ac:dyDescent="0.25">
      <c r="A76" s="49">
        <f>'A) Base RI'!A77</f>
        <v>5515</v>
      </c>
      <c r="B76" s="32" t="str">
        <f>'A) Base RI'!B77</f>
        <v>Bretigny-sur-Morrens</v>
      </c>
      <c r="C76" s="95">
        <f>'A) Base RI'!V77</f>
        <v>882</v>
      </c>
      <c r="D76" s="110">
        <f>'D) Ecrêtage'!E76</f>
        <v>36.676615936973072</v>
      </c>
      <c r="E76" s="34">
        <f t="shared" si="7"/>
        <v>11.748772242680978</v>
      </c>
      <c r="F76" s="273">
        <f t="shared" si="8"/>
        <v>218232.50450601976</v>
      </c>
      <c r="G76" s="33">
        <f>+'A) Base RI'!U77</f>
        <v>78</v>
      </c>
      <c r="H76" s="274">
        <f t="shared" si="9"/>
        <v>1.1546974947793376</v>
      </c>
      <c r="I76" s="55">
        <f t="shared" si="10"/>
        <v>251992.52623252152</v>
      </c>
    </row>
    <row r="77" spans="1:9" x14ac:dyDescent="0.25">
      <c r="A77" s="49">
        <f>'A) Base RI'!A78</f>
        <v>5516</v>
      </c>
      <c r="B77" s="32" t="str">
        <f>'A) Base RI'!B78</f>
        <v>Cugy</v>
      </c>
      <c r="C77" s="95">
        <f>'A) Base RI'!V78</f>
        <v>2733</v>
      </c>
      <c r="D77" s="110">
        <f>'D) Ecrêtage'!E77</f>
        <v>40.836046914726936</v>
      </c>
      <c r="E77" s="34">
        <f t="shared" si="7"/>
        <v>7.5893412649271141</v>
      </c>
      <c r="F77" s="273">
        <f t="shared" si="8"/>
        <v>436819.56339858467</v>
      </c>
      <c r="G77" s="33">
        <f>+'A) Base RI'!U78</f>
        <v>78</v>
      </c>
      <c r="H77" s="274">
        <f t="shared" si="9"/>
        <v>1.1546974947793376</v>
      </c>
      <c r="I77" s="55">
        <f t="shared" si="10"/>
        <v>504394.45552694972</v>
      </c>
    </row>
    <row r="78" spans="1:9" x14ac:dyDescent="0.25">
      <c r="A78" s="49">
        <f>'A) Base RI'!A79</f>
        <v>5518</v>
      </c>
      <c r="B78" s="32" t="str">
        <f>'A) Base RI'!B79</f>
        <v>Echallens</v>
      </c>
      <c r="C78" s="95">
        <f>'A) Base RI'!V79</f>
        <v>5739</v>
      </c>
      <c r="D78" s="110">
        <f>'D) Ecrêtage'!E78</f>
        <v>31.892404876495362</v>
      </c>
      <c r="E78" s="34">
        <f t="shared" si="7"/>
        <v>16.532983303158687</v>
      </c>
      <c r="F78" s="273">
        <f t="shared" si="8"/>
        <v>1857330.6372864025</v>
      </c>
      <c r="G78" s="33">
        <f>+'A) Base RI'!U79</f>
        <v>72.5</v>
      </c>
      <c r="H78" s="274">
        <f t="shared" si="9"/>
        <v>1.0732765175833585</v>
      </c>
      <c r="I78" s="55">
        <f t="shared" si="10"/>
        <v>1993429.35838763</v>
      </c>
    </row>
    <row r="79" spans="1:9" x14ac:dyDescent="0.25">
      <c r="A79" s="49">
        <f>'A) Base RI'!A80</f>
        <v>5520</v>
      </c>
      <c r="B79" s="32" t="str">
        <f>'A) Base RI'!B80</f>
        <v>Essertines-sur-Yverdon</v>
      </c>
      <c r="C79" s="95">
        <f>'A) Base RI'!V80</f>
        <v>1059</v>
      </c>
      <c r="D79" s="110">
        <f>'D) Ecrêtage'!E79</f>
        <v>29.930782982136158</v>
      </c>
      <c r="E79" s="34">
        <f t="shared" si="7"/>
        <v>18.494605197517892</v>
      </c>
      <c r="F79" s="273">
        <f t="shared" si="8"/>
        <v>386035.85988121928</v>
      </c>
      <c r="G79" s="33">
        <f>+'A) Base RI'!U80</f>
        <v>73</v>
      </c>
      <c r="H79" s="274">
        <f t="shared" si="9"/>
        <v>1.0806784246011749</v>
      </c>
      <c r="I79" s="55">
        <f t="shared" si="10"/>
        <v>417180.62489599595</v>
      </c>
    </row>
    <row r="80" spans="1:9" x14ac:dyDescent="0.25">
      <c r="A80" s="49">
        <f>'A) Base RI'!A81</f>
        <v>5521</v>
      </c>
      <c r="B80" s="32" t="str">
        <f>'A) Base RI'!B81</f>
        <v>Etagnières</v>
      </c>
      <c r="C80" s="95">
        <f>'A) Base RI'!V81</f>
        <v>1148</v>
      </c>
      <c r="D80" s="110">
        <f>'D) Ecrêtage'!E80</f>
        <v>37.147521598014414</v>
      </c>
      <c r="E80" s="34">
        <f t="shared" si="7"/>
        <v>11.277866581639636</v>
      </c>
      <c r="F80" s="273">
        <f t="shared" si="8"/>
        <v>255185.18937208658</v>
      </c>
      <c r="G80" s="33">
        <f>+'A) Base RI'!U81</f>
        <v>73</v>
      </c>
      <c r="H80" s="274">
        <f t="shared" si="9"/>
        <v>1.0806784246011749</v>
      </c>
      <c r="I80" s="55">
        <f t="shared" si="10"/>
        <v>275773.12843217899</v>
      </c>
    </row>
    <row r="81" spans="1:9" x14ac:dyDescent="0.25">
      <c r="A81" s="49">
        <f>'A) Base RI'!A82</f>
        <v>5522</v>
      </c>
      <c r="B81" s="32" t="str">
        <f>'A) Base RI'!B82</f>
        <v>Fey</v>
      </c>
      <c r="C81" s="95">
        <f>'A) Base RI'!V82</f>
        <v>754</v>
      </c>
      <c r="D81" s="110">
        <f>'D) Ecrêtage'!E81</f>
        <v>31.729884350132625</v>
      </c>
      <c r="E81" s="34">
        <f t="shared" si="7"/>
        <v>16.695503829521424</v>
      </c>
      <c r="F81" s="273">
        <f t="shared" si="8"/>
        <v>254915.30022104789</v>
      </c>
      <c r="G81" s="33">
        <f>+'A) Base RI'!U82</f>
        <v>75</v>
      </c>
      <c r="H81" s="274">
        <f t="shared" si="9"/>
        <v>1.1102860526724398</v>
      </c>
      <c r="I81" s="55">
        <f t="shared" si="10"/>
        <v>283028.90244823718</v>
      </c>
    </row>
    <row r="82" spans="1:9" x14ac:dyDescent="0.25">
      <c r="A82" s="49">
        <f>'A) Base RI'!A83</f>
        <v>5523</v>
      </c>
      <c r="B82" s="32" t="str">
        <f>'A) Base RI'!B83</f>
        <v>Froideville</v>
      </c>
      <c r="C82" s="95">
        <f>'A) Base RI'!V83</f>
        <v>2673</v>
      </c>
      <c r="D82" s="110">
        <f>'D) Ecrêtage'!E82</f>
        <v>34.988351415388451</v>
      </c>
      <c r="E82" s="34">
        <f t="shared" si="7"/>
        <v>13.437036764265599</v>
      </c>
      <c r="F82" s="273">
        <f t="shared" si="8"/>
        <v>698230.35382594506</v>
      </c>
      <c r="G82" s="33">
        <f>+'A) Base RI'!U83</f>
        <v>72</v>
      </c>
      <c r="H82" s="274">
        <f t="shared" si="9"/>
        <v>1.0658746105655423</v>
      </c>
      <c r="I82" s="55">
        <f t="shared" si="10"/>
        <v>744226.00646926998</v>
      </c>
    </row>
    <row r="83" spans="1:9" x14ac:dyDescent="0.25">
      <c r="A83" s="49">
        <f>'A) Base RI'!A84</f>
        <v>5527</v>
      </c>
      <c r="B83" s="32" t="str">
        <f>'A) Base RI'!B84</f>
        <v>Morrens</v>
      </c>
      <c r="C83" s="95">
        <f>'A) Base RI'!V84</f>
        <v>1156</v>
      </c>
      <c r="D83" s="110">
        <f>'D) Ecrêtage'!E83</f>
        <v>34.005451580473206</v>
      </c>
      <c r="E83" s="34">
        <f t="shared" si="7"/>
        <v>14.419936599180843</v>
      </c>
      <c r="F83" s="273">
        <f t="shared" si="8"/>
        <v>333055.54523888807</v>
      </c>
      <c r="G83" s="33">
        <f>+'A) Base RI'!U84</f>
        <v>74</v>
      </c>
      <c r="H83" s="274">
        <f t="shared" si="9"/>
        <v>1.0954822386368073</v>
      </c>
      <c r="I83" s="55">
        <f t="shared" si="10"/>
        <v>364856.43428869953</v>
      </c>
    </row>
    <row r="84" spans="1:9" x14ac:dyDescent="0.25">
      <c r="A84" s="49">
        <f>'A) Base RI'!A85</f>
        <v>5529</v>
      </c>
      <c r="B84" s="32" t="str">
        <f>'A) Base RI'!B85</f>
        <v>Oulens-sous-Echallens</v>
      </c>
      <c r="C84" s="95">
        <f>'A) Base RI'!V85</f>
        <v>619</v>
      </c>
      <c r="D84" s="110">
        <f>'D) Ecrêtage'!E84</f>
        <v>34.187773597969077</v>
      </c>
      <c r="E84" s="34">
        <f t="shared" si="7"/>
        <v>14.237614581684973</v>
      </c>
      <c r="F84" s="273">
        <f t="shared" si="8"/>
        <v>166567.2767525907</v>
      </c>
      <c r="G84" s="33">
        <f>+'A) Base RI'!U85</f>
        <v>70</v>
      </c>
      <c r="H84" s="274">
        <f t="shared" si="9"/>
        <v>1.0362669824942772</v>
      </c>
      <c r="I84" s="55">
        <f t="shared" si="10"/>
        <v>172608.16926269632</v>
      </c>
    </row>
    <row r="85" spans="1:9" x14ac:dyDescent="0.25">
      <c r="A85" s="49">
        <f>'A) Base RI'!A86</f>
        <v>5530</v>
      </c>
      <c r="B85" s="32" t="str">
        <f>'A) Base RI'!B86</f>
        <v>Pailly</v>
      </c>
      <c r="C85" s="95">
        <f>'A) Base RI'!V86</f>
        <v>575</v>
      </c>
      <c r="D85" s="110">
        <f>'D) Ecrêtage'!E85</f>
        <v>33.152608924485115</v>
      </c>
      <c r="E85" s="34">
        <f t="shared" si="7"/>
        <v>15.272779255168935</v>
      </c>
      <c r="F85" s="273">
        <f t="shared" si="8"/>
        <v>180203.52243173827</v>
      </c>
      <c r="G85" s="33">
        <f>+'A) Base RI'!U86</f>
        <v>76</v>
      </c>
      <c r="H85" s="274">
        <f t="shared" si="9"/>
        <v>1.1250898667080724</v>
      </c>
      <c r="I85" s="55">
        <f t="shared" si="10"/>
        <v>202745.15703304956</v>
      </c>
    </row>
    <row r="86" spans="1:9" x14ac:dyDescent="0.25">
      <c r="A86" s="49">
        <f>'A) Base RI'!A87</f>
        <v>5531</v>
      </c>
      <c r="B86" s="32" t="str">
        <f>'A) Base RI'!B87</f>
        <v>Penthéréaz</v>
      </c>
      <c r="C86" s="95">
        <f>'A) Base RI'!V87</f>
        <v>417</v>
      </c>
      <c r="D86" s="110">
        <f>'D) Ecrêtage'!E86</f>
        <v>34.294526216864348</v>
      </c>
      <c r="E86" s="34">
        <f t="shared" si="7"/>
        <v>14.130861962789702</v>
      </c>
      <c r="F86" s="273">
        <f t="shared" si="8"/>
        <v>117733.53738089645</v>
      </c>
      <c r="G86" s="33">
        <f>+'A) Base RI'!U87</f>
        <v>74</v>
      </c>
      <c r="H86" s="274">
        <f t="shared" si="9"/>
        <v>1.0954822386368073</v>
      </c>
      <c r="I86" s="55">
        <f t="shared" si="10"/>
        <v>128974.99909265467</v>
      </c>
    </row>
    <row r="87" spans="1:9" x14ac:dyDescent="0.25">
      <c r="A87" s="49">
        <f>'A) Base RI'!A88</f>
        <v>5533</v>
      </c>
      <c r="B87" s="32" t="str">
        <f>'A) Base RI'!B88</f>
        <v>Poliez-Pittet</v>
      </c>
      <c r="C87" s="95">
        <f>'A) Base RI'!V88</f>
        <v>833</v>
      </c>
      <c r="D87" s="110">
        <f>'D) Ecrêtage'!E87</f>
        <v>33.015644559193532</v>
      </c>
      <c r="E87" s="34">
        <f t="shared" si="7"/>
        <v>15.409743620460517</v>
      </c>
      <c r="F87" s="273">
        <f t="shared" si="8"/>
        <v>253003.79695047761</v>
      </c>
      <c r="G87" s="33">
        <f>+'A) Base RI'!U88</f>
        <v>73</v>
      </c>
      <c r="H87" s="274">
        <f t="shared" si="9"/>
        <v>1.0806784246011749</v>
      </c>
      <c r="I87" s="55">
        <f t="shared" si="10"/>
        <v>273415.74470655771</v>
      </c>
    </row>
    <row r="88" spans="1:9" x14ac:dyDescent="0.25">
      <c r="A88" s="49">
        <f>'A) Base RI'!A89</f>
        <v>5534</v>
      </c>
      <c r="B88" s="32" t="str">
        <f>'A) Base RI'!B89</f>
        <v>Rueyres</v>
      </c>
      <c r="C88" s="95">
        <f>'A) Base RI'!V89</f>
        <v>304</v>
      </c>
      <c r="D88" s="110">
        <f>'D) Ecrêtage'!E88</f>
        <v>43.115104842585914</v>
      </c>
      <c r="E88" s="34">
        <f t="shared" si="7"/>
        <v>5.3102833370681353</v>
      </c>
      <c r="F88" s="273">
        <f t="shared" si="8"/>
        <v>31818.368110378335</v>
      </c>
      <c r="G88" s="33">
        <f>+'A) Base RI'!U89</f>
        <v>73</v>
      </c>
      <c r="H88" s="274">
        <f t="shared" si="9"/>
        <v>1.0806784246011749</v>
      </c>
      <c r="I88" s="55">
        <f t="shared" si="10"/>
        <v>34385.423922903923</v>
      </c>
    </row>
    <row r="89" spans="1:9" x14ac:dyDescent="0.25">
      <c r="A89" s="49">
        <f>'A) Base RI'!A90</f>
        <v>5535</v>
      </c>
      <c r="B89" s="32" t="str">
        <f>'A) Base RI'!B90</f>
        <v>Saint-Barthélemy</v>
      </c>
      <c r="C89" s="95">
        <f>'A) Base RI'!V90</f>
        <v>809</v>
      </c>
      <c r="D89" s="110">
        <f>'D) Ecrêtage'!E89</f>
        <v>31.001629831067152</v>
      </c>
      <c r="E89" s="34">
        <f t="shared" si="7"/>
        <v>17.423758348586897</v>
      </c>
      <c r="F89" s="273">
        <f t="shared" si="8"/>
        <v>285440.36520613771</v>
      </c>
      <c r="G89" s="33">
        <f>+'A) Base RI'!U90</f>
        <v>75</v>
      </c>
      <c r="H89" s="274">
        <f t="shared" si="9"/>
        <v>1.1102860526724398</v>
      </c>
      <c r="I89" s="55">
        <f t="shared" si="10"/>
        <v>316920.45635810227</v>
      </c>
    </row>
    <row r="90" spans="1:9" x14ac:dyDescent="0.25">
      <c r="A90" s="49">
        <f>'A) Base RI'!A91</f>
        <v>5537</v>
      </c>
      <c r="B90" s="32" t="str">
        <f>'A) Base RI'!B91</f>
        <v>Villars-le-Terroir</v>
      </c>
      <c r="C90" s="95">
        <f>'A) Base RI'!V91</f>
        <v>1316</v>
      </c>
      <c r="D90" s="110">
        <f>'D) Ecrêtage'!E90</f>
        <v>32.612322228443453</v>
      </c>
      <c r="E90" s="34">
        <f t="shared" si="7"/>
        <v>15.813065951210596</v>
      </c>
      <c r="F90" s="273">
        <f t="shared" si="8"/>
        <v>427021.09312759538</v>
      </c>
      <c r="G90" s="33">
        <f>+'A) Base RI'!U91</f>
        <v>76</v>
      </c>
      <c r="H90" s="274">
        <f t="shared" si="9"/>
        <v>1.1250898667080724</v>
      </c>
      <c r="I90" s="55">
        <f t="shared" si="10"/>
        <v>480437.10474846169</v>
      </c>
    </row>
    <row r="91" spans="1:9" x14ac:dyDescent="0.25">
      <c r="A91" s="49">
        <f>'A) Base RI'!A92</f>
        <v>5539</v>
      </c>
      <c r="B91" s="32" t="str">
        <f>'A) Base RI'!B92</f>
        <v>Vuarrens</v>
      </c>
      <c r="C91" s="95">
        <f>'A) Base RI'!V92</f>
        <v>1097</v>
      </c>
      <c r="D91" s="110">
        <f>'D) Ecrêtage'!E91</f>
        <v>31.502322226976467</v>
      </c>
      <c r="E91" s="34">
        <f t="shared" si="7"/>
        <v>16.923065952677582</v>
      </c>
      <c r="F91" s="273">
        <f t="shared" si="8"/>
        <v>368414.55348248268</v>
      </c>
      <c r="G91" s="33">
        <f>+'A) Base RI'!U92</f>
        <v>73.5</v>
      </c>
      <c r="H91" s="274">
        <f t="shared" si="9"/>
        <v>1.0880803316189911</v>
      </c>
      <c r="I91" s="55">
        <f t="shared" si="10"/>
        <v>400864.62952648225</v>
      </c>
    </row>
    <row r="92" spans="1:9" x14ac:dyDescent="0.25">
      <c r="A92" s="49">
        <f>'A) Base RI'!A93</f>
        <v>5540</v>
      </c>
      <c r="B92" s="32" t="str">
        <f>'A) Base RI'!B93</f>
        <v>Montilliez</v>
      </c>
      <c r="C92" s="95">
        <f>'A) Base RI'!V93</f>
        <v>1883</v>
      </c>
      <c r="D92" s="110">
        <f>'D) Ecrêtage'!E92</f>
        <v>33.62506142069698</v>
      </c>
      <c r="E92" s="34">
        <f t="shared" si="7"/>
        <v>14.80032675895707</v>
      </c>
      <c r="F92" s="273">
        <f t="shared" si="8"/>
        <v>545535.97424529889</v>
      </c>
      <c r="G92" s="33">
        <f>+'A) Base RI'!U93</f>
        <v>72.5</v>
      </c>
      <c r="H92" s="274">
        <f t="shared" si="9"/>
        <v>1.0732765175833585</v>
      </c>
      <c r="I92" s="55">
        <f t="shared" si="10"/>
        <v>585510.95065443916</v>
      </c>
    </row>
    <row r="93" spans="1:9" x14ac:dyDescent="0.25">
      <c r="A93" s="49">
        <f>'A) Base RI'!A94</f>
        <v>5541</v>
      </c>
      <c r="B93" s="32" t="str">
        <f>'A) Base RI'!B94</f>
        <v>Goumoëns</v>
      </c>
      <c r="C93" s="95">
        <f>'A) Base RI'!V94</f>
        <v>1166</v>
      </c>
      <c r="D93" s="110">
        <f>'D) Ecrêtage'!E93</f>
        <v>35.402257903286262</v>
      </c>
      <c r="E93" s="34">
        <f t="shared" si="7"/>
        <v>13.023130276367787</v>
      </c>
      <c r="F93" s="273">
        <f t="shared" si="8"/>
        <v>309545.61145726108</v>
      </c>
      <c r="G93" s="33">
        <f>+'A) Base RI'!U94</f>
        <v>75.5</v>
      </c>
      <c r="H93" s="274">
        <f t="shared" si="9"/>
        <v>1.1176879596902562</v>
      </c>
      <c r="I93" s="55">
        <f t="shared" si="10"/>
        <v>345975.40290073893</v>
      </c>
    </row>
    <row r="94" spans="1:9" x14ac:dyDescent="0.25">
      <c r="A94" s="49">
        <f>'A) Base RI'!A95</f>
        <v>5551</v>
      </c>
      <c r="B94" s="32" t="str">
        <f>'A) Base RI'!B95</f>
        <v>Bonvillars</v>
      </c>
      <c r="C94" s="95">
        <f>'A) Base RI'!V95</f>
        <v>481</v>
      </c>
      <c r="D94" s="110">
        <f>'D) Ecrêtage'!E94</f>
        <v>38.892748440748441</v>
      </c>
      <c r="E94" s="34">
        <f t="shared" si="7"/>
        <v>9.5326397389056083</v>
      </c>
      <c r="F94" s="273">
        <f t="shared" si="8"/>
        <v>68090.215759041923</v>
      </c>
      <c r="G94" s="33">
        <f>+'A) Base RI'!U95</f>
        <v>55</v>
      </c>
      <c r="H94" s="274">
        <f t="shared" si="9"/>
        <v>0.81420977195978927</v>
      </c>
      <c r="I94" s="55">
        <f t="shared" si="10"/>
        <v>55439.719045862374</v>
      </c>
    </row>
    <row r="95" spans="1:9" x14ac:dyDescent="0.25">
      <c r="A95" s="49">
        <f>'A) Base RI'!A96</f>
        <v>5552</v>
      </c>
      <c r="B95" s="32" t="str">
        <f>'A) Base RI'!B96</f>
        <v>Bullet</v>
      </c>
      <c r="C95" s="95">
        <f>'A) Base RI'!V96</f>
        <v>657</v>
      </c>
      <c r="D95" s="110">
        <f>'D) Ecrêtage'!E95</f>
        <v>29.831951762088753</v>
      </c>
      <c r="E95" s="34">
        <f t="shared" si="7"/>
        <v>18.593436417565297</v>
      </c>
      <c r="F95" s="273">
        <f t="shared" si="8"/>
        <v>235827.71255700142</v>
      </c>
      <c r="G95" s="33">
        <f>+'A) Base RI'!U96</f>
        <v>71.5</v>
      </c>
      <c r="H95" s="274">
        <f t="shared" si="9"/>
        <v>1.0584727035477262</v>
      </c>
      <c r="I95" s="55">
        <f t="shared" si="10"/>
        <v>249617.19648168533</v>
      </c>
    </row>
    <row r="96" spans="1:9" x14ac:dyDescent="0.25">
      <c r="A96" s="49">
        <f>'A) Base RI'!A97</f>
        <v>5553</v>
      </c>
      <c r="B96" s="32" t="str">
        <f>'A) Base RI'!B97</f>
        <v>Champagne</v>
      </c>
      <c r="C96" s="95">
        <f>'A) Base RI'!V97</f>
        <v>1085</v>
      </c>
      <c r="D96" s="110">
        <f>'D) Ecrêtage'!E96</f>
        <v>36.947028146047501</v>
      </c>
      <c r="E96" s="34">
        <f t="shared" si="7"/>
        <v>11.478360033606549</v>
      </c>
      <c r="F96" s="273">
        <f t="shared" si="8"/>
        <v>218568.06216992749</v>
      </c>
      <c r="G96" s="33">
        <f>+'A) Base RI'!U97</f>
        <v>65</v>
      </c>
      <c r="H96" s="274">
        <f t="shared" si="9"/>
        <v>0.96224791231611462</v>
      </c>
      <c r="I96" s="55">
        <f t="shared" si="10"/>
        <v>210316.66152199148</v>
      </c>
    </row>
    <row r="97" spans="1:9" x14ac:dyDescent="0.25">
      <c r="A97" s="49">
        <f>'A) Base RI'!A98</f>
        <v>5554</v>
      </c>
      <c r="B97" s="32" t="str">
        <f>'A) Base RI'!B98</f>
        <v>Concise</v>
      </c>
      <c r="C97" s="95">
        <f>'A) Base RI'!V98</f>
        <v>1004</v>
      </c>
      <c r="D97" s="110">
        <f>'D) Ecrêtage'!E97</f>
        <v>31.376278618857899</v>
      </c>
      <c r="E97" s="34">
        <f t="shared" si="7"/>
        <v>17.04910956079615</v>
      </c>
      <c r="F97" s="273">
        <f t="shared" si="8"/>
        <v>346625.44648054655</v>
      </c>
      <c r="G97" s="33">
        <f>+'A) Base RI'!U98</f>
        <v>75</v>
      </c>
      <c r="H97" s="274">
        <f t="shared" si="9"/>
        <v>1.1102860526724398</v>
      </c>
      <c r="I97" s="55">
        <f t="shared" si="10"/>
        <v>384853.3987287081</v>
      </c>
    </row>
    <row r="98" spans="1:9" x14ac:dyDescent="0.25">
      <c r="A98" s="49">
        <f>'A) Base RI'!A99</f>
        <v>5555</v>
      </c>
      <c r="B98" s="32" t="str">
        <f>'A) Base RI'!B99</f>
        <v>Corcelles-près-Concise</v>
      </c>
      <c r="C98" s="95">
        <f>'A) Base RI'!V99</f>
        <v>417</v>
      </c>
      <c r="D98" s="110">
        <f>'D) Ecrêtage'!E98</f>
        <v>33.281167761443015</v>
      </c>
      <c r="E98" s="34">
        <f t="shared" si="7"/>
        <v>15.144220418211034</v>
      </c>
      <c r="F98" s="273">
        <f t="shared" si="8"/>
        <v>117651.05660516027</v>
      </c>
      <c r="G98" s="33">
        <f>+'A) Base RI'!U99</f>
        <v>69</v>
      </c>
      <c r="H98" s="274">
        <f t="shared" si="9"/>
        <v>1.0214631684586448</v>
      </c>
      <c r="I98" s="55">
        <f t="shared" si="10"/>
        <v>120176.22105241437</v>
      </c>
    </row>
    <row r="99" spans="1:9" x14ac:dyDescent="0.25">
      <c r="A99" s="49">
        <f>'A) Base RI'!A100</f>
        <v>5556</v>
      </c>
      <c r="B99" s="32" t="str">
        <f>'A) Base RI'!B100</f>
        <v>Fiez</v>
      </c>
      <c r="C99" s="95">
        <f>'A) Base RI'!V100</f>
        <v>442</v>
      </c>
      <c r="D99" s="110">
        <f>'D) Ecrêtage'!E99</f>
        <v>32.981148873150161</v>
      </c>
      <c r="E99" s="34">
        <f t="shared" si="7"/>
        <v>15.444239306503889</v>
      </c>
      <c r="F99" s="273">
        <f t="shared" si="8"/>
        <v>127174.97079983402</v>
      </c>
      <c r="G99" s="33">
        <f>+'A) Base RI'!U100</f>
        <v>69</v>
      </c>
      <c r="H99" s="274">
        <f t="shared" si="9"/>
        <v>1.0214631684586448</v>
      </c>
      <c r="I99" s="55">
        <f t="shared" si="10"/>
        <v>129904.5486218341</v>
      </c>
    </row>
    <row r="100" spans="1:9" x14ac:dyDescent="0.25">
      <c r="A100" s="49">
        <f>'A) Base RI'!A101</f>
        <v>5557</v>
      </c>
      <c r="B100" s="32" t="str">
        <f>'A) Base RI'!B101</f>
        <v>Fontaines-sur-Grandson</v>
      </c>
      <c r="C100" s="95">
        <f>'A) Base RI'!V101</f>
        <v>220</v>
      </c>
      <c r="D100" s="110">
        <f>'D) Ecrêtage'!E100</f>
        <v>19.239750329380762</v>
      </c>
      <c r="E100" s="34">
        <f t="shared" si="7"/>
        <v>29.185637850273288</v>
      </c>
      <c r="F100" s="273">
        <f t="shared" si="8"/>
        <v>119620.25529313009</v>
      </c>
      <c r="G100" s="33">
        <f>+'A) Base RI'!U101</f>
        <v>69</v>
      </c>
      <c r="H100" s="274">
        <f t="shared" si="9"/>
        <v>1.0214631684586448</v>
      </c>
      <c r="I100" s="55">
        <f t="shared" si="10"/>
        <v>122187.68498355264</v>
      </c>
    </row>
    <row r="101" spans="1:9" x14ac:dyDescent="0.25">
      <c r="A101" s="49">
        <f>'A) Base RI'!A102</f>
        <v>5559</v>
      </c>
      <c r="B101" s="32" t="str">
        <f>'A) Base RI'!B102</f>
        <v>Giez</v>
      </c>
      <c r="C101" s="95">
        <f>'A) Base RI'!V102</f>
        <v>443</v>
      </c>
      <c r="D101" s="110">
        <f>'D) Ecrêtage'!E101</f>
        <v>52.905169984267047</v>
      </c>
      <c r="E101" s="34">
        <f t="shared" si="7"/>
        <v>0</v>
      </c>
      <c r="F101" s="273">
        <f t="shared" si="8"/>
        <v>0</v>
      </c>
      <c r="G101" s="33">
        <f>+'A) Base RI'!U102</f>
        <v>66</v>
      </c>
      <c r="H101" s="274">
        <f t="shared" si="9"/>
        <v>0.97705172635174709</v>
      </c>
      <c r="I101" s="55">
        <f t="shared" si="10"/>
        <v>0</v>
      </c>
    </row>
    <row r="102" spans="1:9" x14ac:dyDescent="0.25">
      <c r="A102" s="49">
        <f>'A) Base RI'!A103</f>
        <v>5560</v>
      </c>
      <c r="B102" s="32" t="str">
        <f>'A) Base RI'!B103</f>
        <v>Grandevent</v>
      </c>
      <c r="C102" s="95">
        <f>'A) Base RI'!V103</f>
        <v>238</v>
      </c>
      <c r="D102" s="110">
        <f>'D) Ecrêtage'!E102</f>
        <v>29.427506796836383</v>
      </c>
      <c r="E102" s="34">
        <f t="shared" si="7"/>
        <v>18.997881382817667</v>
      </c>
      <c r="F102" s="273">
        <f t="shared" si="8"/>
        <v>83014.662320870717</v>
      </c>
      <c r="G102" s="33">
        <f>+'A) Base RI'!U103</f>
        <v>68</v>
      </c>
      <c r="H102" s="274">
        <f t="shared" si="9"/>
        <v>1.0066593544230122</v>
      </c>
      <c r="I102" s="55">
        <f t="shared" si="10"/>
        <v>83567.486379572074</v>
      </c>
    </row>
    <row r="103" spans="1:9" x14ac:dyDescent="0.25">
      <c r="A103" s="49">
        <f>'A) Base RI'!A104</f>
        <v>5561</v>
      </c>
      <c r="B103" s="32" t="str">
        <f>'A) Base RI'!B104</f>
        <v>Grandson</v>
      </c>
      <c r="C103" s="95">
        <f>'A) Base RI'!V104</f>
        <v>3366</v>
      </c>
      <c r="D103" s="110">
        <f>'D) Ecrêtage'!E103</f>
        <v>34.018434472603268</v>
      </c>
      <c r="E103" s="34">
        <f t="shared" si="7"/>
        <v>14.406953707050782</v>
      </c>
      <c r="F103" s="273">
        <f t="shared" si="8"/>
        <v>903439.60909489053</v>
      </c>
      <c r="G103" s="33">
        <f>+'A) Base RI'!U104</f>
        <v>69</v>
      </c>
      <c r="H103" s="274">
        <f t="shared" si="9"/>
        <v>1.0214631684586448</v>
      </c>
      <c r="I103" s="55">
        <f t="shared" si="10"/>
        <v>922830.28561710636</v>
      </c>
    </row>
    <row r="104" spans="1:9" x14ac:dyDescent="0.25">
      <c r="A104" s="49">
        <f>'A) Base RI'!A105</f>
        <v>5562</v>
      </c>
      <c r="B104" s="32" t="str">
        <f>'A) Base RI'!B105</f>
        <v>Mauborget</v>
      </c>
      <c r="C104" s="95">
        <f>'A) Base RI'!V105</f>
        <v>137</v>
      </c>
      <c r="D104" s="110">
        <f>'D) Ecrêtage'!E104</f>
        <v>44.521837156760505</v>
      </c>
      <c r="E104" s="34">
        <f t="shared" si="7"/>
        <v>3.9035510228935451</v>
      </c>
      <c r="F104" s="273">
        <f t="shared" si="8"/>
        <v>10107.464663578256</v>
      </c>
      <c r="G104" s="33">
        <f>+'A) Base RI'!U105</f>
        <v>70</v>
      </c>
      <c r="H104" s="274">
        <f t="shared" si="9"/>
        <v>1.0362669824942772</v>
      </c>
      <c r="I104" s="55">
        <f t="shared" si="10"/>
        <v>10474.031907593773</v>
      </c>
    </row>
    <row r="105" spans="1:9" x14ac:dyDescent="0.25">
      <c r="A105" s="49">
        <f>'A) Base RI'!A106</f>
        <v>5563</v>
      </c>
      <c r="B105" s="32" t="str">
        <f>'A) Base RI'!B106</f>
        <v>Mutrux</v>
      </c>
      <c r="C105" s="95">
        <f>'A) Base RI'!V106</f>
        <v>151</v>
      </c>
      <c r="D105" s="110">
        <f>'D) Ecrêtage'!E105</f>
        <v>28.359149006622516</v>
      </c>
      <c r="E105" s="34">
        <f t="shared" si="7"/>
        <v>20.066239173031533</v>
      </c>
      <c r="F105" s="273">
        <f t="shared" si="8"/>
        <v>65448.045686759651</v>
      </c>
      <c r="G105" s="33">
        <f>+'A) Base RI'!U106</f>
        <v>80</v>
      </c>
      <c r="H105" s="274">
        <f t="shared" si="9"/>
        <v>1.1843051228506025</v>
      </c>
      <c r="I105" s="55">
        <f t="shared" si="10"/>
        <v>77510.455787389728</v>
      </c>
    </row>
    <row r="106" spans="1:9" x14ac:dyDescent="0.25">
      <c r="A106" s="49">
        <f>'A) Base RI'!A107</f>
        <v>5564</v>
      </c>
      <c r="B106" s="32" t="str">
        <f>'A) Base RI'!B107</f>
        <v>Novalles</v>
      </c>
      <c r="C106" s="95">
        <f>'A) Base RI'!V107</f>
        <v>103</v>
      </c>
      <c r="D106" s="110">
        <f>'D) Ecrêtage'!E106</f>
        <v>20.383961739908024</v>
      </c>
      <c r="E106" s="34">
        <f t="shared" si="7"/>
        <v>28.041426439746026</v>
      </c>
      <c r="F106" s="273">
        <f t="shared" si="8"/>
        <v>59267.237265989614</v>
      </c>
      <c r="G106" s="33">
        <f>+'A) Base RI'!U107</f>
        <v>76</v>
      </c>
      <c r="H106" s="274">
        <f t="shared" si="9"/>
        <v>1.1250898667080724</v>
      </c>
      <c r="I106" s="55">
        <f t="shared" si="10"/>
        <v>66680.968075747951</v>
      </c>
    </row>
    <row r="107" spans="1:9" x14ac:dyDescent="0.25">
      <c r="A107" s="49">
        <f>'A) Base RI'!A108</f>
        <v>5565</v>
      </c>
      <c r="B107" s="32" t="str">
        <f>'A) Base RI'!B108</f>
        <v>Onnens</v>
      </c>
      <c r="C107" s="95">
        <f>'A) Base RI'!V108</f>
        <v>495</v>
      </c>
      <c r="D107" s="110">
        <f>'D) Ecrêtage'!E107</f>
        <v>45.86551053845541</v>
      </c>
      <c r="E107" s="34">
        <f t="shared" si="7"/>
        <v>2.5598776411986393</v>
      </c>
      <c r="F107" s="273">
        <f t="shared" si="8"/>
        <v>21725.10556838358</v>
      </c>
      <c r="G107" s="33">
        <f>+'A) Base RI'!U108</f>
        <v>63.5</v>
      </c>
      <c r="H107" s="274">
        <f t="shared" si="9"/>
        <v>0.94004219126266575</v>
      </c>
      <c r="I107" s="55">
        <f t="shared" si="10"/>
        <v>20422.51584391604</v>
      </c>
    </row>
    <row r="108" spans="1:9" x14ac:dyDescent="0.25">
      <c r="A108" s="49">
        <f>'A) Base RI'!A109</f>
        <v>5566</v>
      </c>
      <c r="B108" s="32" t="str">
        <f>'A) Base RI'!B109</f>
        <v>Provence</v>
      </c>
      <c r="C108" s="95">
        <f>'A) Base RI'!V109</f>
        <v>403</v>
      </c>
      <c r="D108" s="110">
        <f>'D) Ecrêtage'!E108</f>
        <v>23.270077811475662</v>
      </c>
      <c r="E108" s="34">
        <f t="shared" si="7"/>
        <v>25.155310368178387</v>
      </c>
      <c r="F108" s="273">
        <f t="shared" si="8"/>
        <v>221709.09501408073</v>
      </c>
      <c r="G108" s="33">
        <f>+'A) Base RI'!U109</f>
        <v>81</v>
      </c>
      <c r="H108" s="274">
        <f t="shared" si="9"/>
        <v>1.1991089368862351</v>
      </c>
      <c r="I108" s="55">
        <f t="shared" si="10"/>
        <v>265853.35722034361</v>
      </c>
    </row>
    <row r="109" spans="1:9" x14ac:dyDescent="0.25">
      <c r="A109" s="49">
        <f>'A) Base RI'!A110</f>
        <v>5568</v>
      </c>
      <c r="B109" s="32" t="str">
        <f>'A) Base RI'!B110</f>
        <v>Sainte-Croix</v>
      </c>
      <c r="C109" s="95">
        <f>'A) Base RI'!V110</f>
        <v>4948</v>
      </c>
      <c r="D109" s="110">
        <f>'D) Ecrêtage'!E109</f>
        <v>22.063838318512527</v>
      </c>
      <c r="E109" s="34">
        <f t="shared" si="7"/>
        <v>26.361549861141523</v>
      </c>
      <c r="F109" s="273">
        <f t="shared" si="8"/>
        <v>2465258.3306743442</v>
      </c>
      <c r="G109" s="33">
        <f>+'A) Base RI'!U110</f>
        <v>70</v>
      </c>
      <c r="H109" s="274">
        <f t="shared" si="9"/>
        <v>1.0362669824942772</v>
      </c>
      <c r="I109" s="55">
        <f t="shared" si="10"/>
        <v>2554665.8113967818</v>
      </c>
    </row>
    <row r="110" spans="1:9" x14ac:dyDescent="0.25">
      <c r="A110" s="49">
        <f>'A) Base RI'!A111</f>
        <v>5571</v>
      </c>
      <c r="B110" s="32" t="str">
        <f>'A) Base RI'!B111</f>
        <v>Tévenon</v>
      </c>
      <c r="C110" s="95">
        <f>'A) Base RI'!V111</f>
        <v>883</v>
      </c>
      <c r="D110" s="110">
        <f>'D) Ecrêtage'!E110</f>
        <v>28.680905764677</v>
      </c>
      <c r="E110" s="34">
        <f t="shared" si="7"/>
        <v>19.74448241497705</v>
      </c>
      <c r="F110" s="273">
        <f t="shared" si="8"/>
        <v>336570.66675765958</v>
      </c>
      <c r="G110" s="33">
        <f>+'A) Base RI'!U111</f>
        <v>71.5</v>
      </c>
      <c r="H110" s="274">
        <f t="shared" si="9"/>
        <v>1.0584727035477262</v>
      </c>
      <c r="I110" s="55">
        <f t="shared" si="10"/>
        <v>356250.86357784073</v>
      </c>
    </row>
    <row r="111" spans="1:9" x14ac:dyDescent="0.25">
      <c r="A111" s="49">
        <f>'A) Base RI'!A112</f>
        <v>5581</v>
      </c>
      <c r="B111" s="32" t="str">
        <f>'A) Base RI'!B112</f>
        <v>Belmont-sur-Lausanne</v>
      </c>
      <c r="C111" s="95">
        <f>'A) Base RI'!V112</f>
        <v>3871</v>
      </c>
      <c r="D111" s="110">
        <f>'D) Ecrêtage'!E111</f>
        <v>55.653821483586405</v>
      </c>
      <c r="E111" s="34">
        <f t="shared" si="7"/>
        <v>0</v>
      </c>
      <c r="F111" s="273">
        <f t="shared" si="8"/>
        <v>0</v>
      </c>
      <c r="G111" s="33">
        <f>+'A) Base RI'!U112</f>
        <v>72</v>
      </c>
      <c r="H111" s="274">
        <f t="shared" si="9"/>
        <v>1.0658746105655423</v>
      </c>
      <c r="I111" s="55">
        <f t="shared" si="10"/>
        <v>0</v>
      </c>
    </row>
    <row r="112" spans="1:9" x14ac:dyDescent="0.25">
      <c r="A112" s="49">
        <f>'A) Base RI'!A113</f>
        <v>5582</v>
      </c>
      <c r="B112" s="32" t="str">
        <f>'A) Base RI'!B113</f>
        <v>Cheseaux-sur-Lausanne</v>
      </c>
      <c r="C112" s="95">
        <f>'A) Base RI'!V113</f>
        <v>4449</v>
      </c>
      <c r="D112" s="110">
        <f>'D) Ecrêtage'!E112</f>
        <v>37.650448861834427</v>
      </c>
      <c r="E112" s="34">
        <f t="shared" si="7"/>
        <v>10.774939317819623</v>
      </c>
      <c r="F112" s="273">
        <f t="shared" si="8"/>
        <v>944852.16604234593</v>
      </c>
      <c r="G112" s="33">
        <f>+'A) Base RI'!U113</f>
        <v>73</v>
      </c>
      <c r="H112" s="274">
        <f t="shared" si="9"/>
        <v>1.0806784246011749</v>
      </c>
      <c r="I112" s="55">
        <f t="shared" si="10"/>
        <v>1021081.3502796502</v>
      </c>
    </row>
    <row r="113" spans="1:9" x14ac:dyDescent="0.25">
      <c r="A113" s="49">
        <f>'A) Base RI'!A114</f>
        <v>5583</v>
      </c>
      <c r="B113" s="32" t="str">
        <f>'A) Base RI'!B114</f>
        <v>Crissier</v>
      </c>
      <c r="C113" s="95">
        <f>'A) Base RI'!V114</f>
        <v>8974</v>
      </c>
      <c r="D113" s="110">
        <f>'D) Ecrêtage'!E113</f>
        <v>37.614259163392404</v>
      </c>
      <c r="E113" s="34">
        <f t="shared" si="7"/>
        <v>10.811129016261646</v>
      </c>
      <c r="F113" s="273">
        <f t="shared" si="8"/>
        <v>1663391.9858726743</v>
      </c>
      <c r="G113" s="33">
        <f>+'A) Base RI'!U114</f>
        <v>63.5</v>
      </c>
      <c r="H113" s="274">
        <f t="shared" si="9"/>
        <v>0.94004219126266575</v>
      </c>
      <c r="I113" s="55">
        <f t="shared" si="10"/>
        <v>1563658.6473285058</v>
      </c>
    </row>
    <row r="114" spans="1:9" x14ac:dyDescent="0.25">
      <c r="A114" s="49">
        <f>'A) Base RI'!A115</f>
        <v>5584</v>
      </c>
      <c r="B114" s="32" t="str">
        <f>'A) Base RI'!B115</f>
        <v>Epalinges</v>
      </c>
      <c r="C114" s="95">
        <f>'A) Base RI'!V115</f>
        <v>9813</v>
      </c>
      <c r="D114" s="110">
        <f>'D) Ecrêtage'!E114</f>
        <v>52.661453379751741</v>
      </c>
      <c r="E114" s="34">
        <f t="shared" si="7"/>
        <v>0</v>
      </c>
      <c r="F114" s="273">
        <f t="shared" si="8"/>
        <v>0</v>
      </c>
      <c r="G114" s="33">
        <f>+'A) Base RI'!U115</f>
        <v>64.5</v>
      </c>
      <c r="H114" s="274">
        <f t="shared" si="9"/>
        <v>0.95484600529829833</v>
      </c>
      <c r="I114" s="55">
        <f t="shared" si="10"/>
        <v>0</v>
      </c>
    </row>
    <row r="115" spans="1:9" x14ac:dyDescent="0.25">
      <c r="A115" s="49">
        <f>'A) Base RI'!A116</f>
        <v>5585</v>
      </c>
      <c r="B115" s="32" t="str">
        <f>'A) Base RI'!B116</f>
        <v>Jouxtens-Mézery</v>
      </c>
      <c r="C115" s="95">
        <f>'A) Base RI'!V116</f>
        <v>1460</v>
      </c>
      <c r="D115" s="110">
        <f>'D) Ecrêtage'!E115</f>
        <v>131.33210308799627</v>
      </c>
      <c r="E115" s="34">
        <f t="shared" si="7"/>
        <v>0</v>
      </c>
      <c r="F115" s="273">
        <f t="shared" si="8"/>
        <v>0</v>
      </c>
      <c r="G115" s="33">
        <f>+'A) Base RI'!U116</f>
        <v>59</v>
      </c>
      <c r="H115" s="274">
        <f t="shared" si="9"/>
        <v>0.87342502810231937</v>
      </c>
      <c r="I115" s="55">
        <f t="shared" si="10"/>
        <v>0</v>
      </c>
    </row>
    <row r="116" spans="1:9" x14ac:dyDescent="0.25">
      <c r="A116" s="49">
        <f>'A) Base RI'!A117</f>
        <v>5586</v>
      </c>
      <c r="B116" s="32" t="str">
        <f>'A) Base RI'!B117</f>
        <v>Lausanne</v>
      </c>
      <c r="C116" s="95">
        <f>'A) Base RI'!V117</f>
        <v>140824</v>
      </c>
      <c r="D116" s="110">
        <f>'D) Ecrêtage'!E116</f>
        <v>45.883455332297757</v>
      </c>
      <c r="E116" s="34">
        <f t="shared" si="7"/>
        <v>2.5419328473562928</v>
      </c>
      <c r="F116" s="273">
        <f t="shared" si="8"/>
        <v>7587071.381720894</v>
      </c>
      <c r="G116" s="33">
        <f>+'A) Base RI'!U117</f>
        <v>78.5</v>
      </c>
      <c r="H116" s="274">
        <f t="shared" si="9"/>
        <v>1.1620994017971538</v>
      </c>
      <c r="I116" s="55">
        <f t="shared" si="10"/>
        <v>8816931.1140901558</v>
      </c>
    </row>
    <row r="117" spans="1:9" x14ac:dyDescent="0.25">
      <c r="A117" s="49">
        <f>'A) Base RI'!A118</f>
        <v>5587</v>
      </c>
      <c r="B117" s="32" t="str">
        <f>'A) Base RI'!B118</f>
        <v>Le Mont-sur-Lausanne</v>
      </c>
      <c r="C117" s="95">
        <f>'A) Base RI'!V118</f>
        <v>9217</v>
      </c>
      <c r="D117" s="110">
        <f>'D) Ecrêtage'!E117</f>
        <v>53.711408678186835</v>
      </c>
      <c r="E117" s="34">
        <f t="shared" si="7"/>
        <v>0</v>
      </c>
      <c r="F117" s="273">
        <f t="shared" si="8"/>
        <v>0</v>
      </c>
      <c r="G117" s="33">
        <f>+'A) Base RI'!U118</f>
        <v>73.5</v>
      </c>
      <c r="H117" s="274">
        <f t="shared" si="9"/>
        <v>1.0880803316189911</v>
      </c>
      <c r="I117" s="55">
        <f t="shared" si="10"/>
        <v>0</v>
      </c>
    </row>
    <row r="118" spans="1:9" x14ac:dyDescent="0.25">
      <c r="A118" s="49">
        <f>'A) Base RI'!A119</f>
        <v>5588</v>
      </c>
      <c r="B118" s="32" t="str">
        <f>'A) Base RI'!B119</f>
        <v>Paudex</v>
      </c>
      <c r="C118" s="95">
        <f>'A) Base RI'!V119</f>
        <v>1545</v>
      </c>
      <c r="D118" s="110">
        <f>'D) Ecrêtage'!E118</f>
        <v>139.64808922444811</v>
      </c>
      <c r="E118" s="34">
        <f t="shared" si="7"/>
        <v>0</v>
      </c>
      <c r="F118" s="273">
        <f t="shared" si="8"/>
        <v>0</v>
      </c>
      <c r="G118" s="33">
        <f>+'A) Base RI'!U119</f>
        <v>66.5</v>
      </c>
      <c r="H118" s="274">
        <f t="shared" si="9"/>
        <v>0.98445363336956337</v>
      </c>
      <c r="I118" s="55">
        <f t="shared" si="10"/>
        <v>0</v>
      </c>
    </row>
    <row r="119" spans="1:9" x14ac:dyDescent="0.25">
      <c r="A119" s="49">
        <f>'A) Base RI'!A120</f>
        <v>5589</v>
      </c>
      <c r="B119" s="32" t="str">
        <f>'A) Base RI'!B120</f>
        <v>Prilly</v>
      </c>
      <c r="C119" s="95">
        <f>'A) Base RI'!V120</f>
        <v>12341</v>
      </c>
      <c r="D119" s="110">
        <f>'D) Ecrêtage'!E119</f>
        <v>33.996419773470805</v>
      </c>
      <c r="E119" s="34">
        <f t="shared" si="7"/>
        <v>14.428968406183245</v>
      </c>
      <c r="F119" s="273">
        <f t="shared" si="8"/>
        <v>3485679.124896348</v>
      </c>
      <c r="G119" s="33">
        <f>+'A) Base RI'!U120</f>
        <v>72.5</v>
      </c>
      <c r="H119" s="274">
        <f t="shared" si="9"/>
        <v>1.0732765175833585</v>
      </c>
      <c r="I119" s="55">
        <f t="shared" si="10"/>
        <v>3741097.552581761</v>
      </c>
    </row>
    <row r="120" spans="1:9" x14ac:dyDescent="0.25">
      <c r="A120" s="49">
        <f>'A) Base RI'!A121</f>
        <v>5590</v>
      </c>
      <c r="B120" s="32" t="str">
        <f>'A) Base RI'!B121</f>
        <v>Pully</v>
      </c>
      <c r="C120" s="95">
        <f>'A) Base RI'!V121</f>
        <v>18946</v>
      </c>
      <c r="D120" s="110">
        <f>'D) Ecrêtage'!E120</f>
        <v>84.61052302723553</v>
      </c>
      <c r="E120" s="34">
        <f t="shared" si="7"/>
        <v>0</v>
      </c>
      <c r="F120" s="273">
        <f t="shared" si="8"/>
        <v>0</v>
      </c>
      <c r="G120" s="33">
        <f>+'A) Base RI'!U121</f>
        <v>61</v>
      </c>
      <c r="H120" s="274">
        <f t="shared" si="9"/>
        <v>0.90303265617358441</v>
      </c>
      <c r="I120" s="55">
        <f t="shared" si="10"/>
        <v>0</v>
      </c>
    </row>
    <row r="121" spans="1:9" x14ac:dyDescent="0.25">
      <c r="A121" s="49">
        <f>'A) Base RI'!A122</f>
        <v>5591</v>
      </c>
      <c r="B121" s="32" t="str">
        <f>'A) Base RI'!B122</f>
        <v>Renens</v>
      </c>
      <c r="C121" s="95">
        <f>'A) Base RI'!V122</f>
        <v>20917</v>
      </c>
      <c r="D121" s="110">
        <f>'D) Ecrêtage'!E121</f>
        <v>27.240257740128996</v>
      </c>
      <c r="E121" s="34">
        <f t="shared" si="7"/>
        <v>21.185130439525054</v>
      </c>
      <c r="F121" s="273">
        <f t="shared" si="8"/>
        <v>9212659.6730597112</v>
      </c>
      <c r="G121" s="33">
        <f>+'A) Base RI'!U122</f>
        <v>77</v>
      </c>
      <c r="H121" s="274">
        <f t="shared" si="9"/>
        <v>1.139893680743705</v>
      </c>
      <c r="I121" s="55">
        <f t="shared" si="10"/>
        <v>10501452.544163132</v>
      </c>
    </row>
    <row r="122" spans="1:9" x14ac:dyDescent="0.25">
      <c r="A122" s="49">
        <f>'A) Base RI'!A123</f>
        <v>5592</v>
      </c>
      <c r="B122" s="32" t="str">
        <f>'A) Base RI'!B123</f>
        <v>Romanel-sur-Lausanne</v>
      </c>
      <c r="C122" s="95">
        <f>'A) Base RI'!V123</f>
        <v>3482</v>
      </c>
      <c r="D122" s="110">
        <f>'D) Ecrêtage'!E122</f>
        <v>34.775003931057803</v>
      </c>
      <c r="E122" s="34">
        <f t="shared" si="7"/>
        <v>13.650384248596247</v>
      </c>
      <c r="F122" s="273">
        <f t="shared" si="8"/>
        <v>904745.69344700698</v>
      </c>
      <c r="G122" s="33">
        <f>+'A) Base RI'!U123</f>
        <v>70.5</v>
      </c>
      <c r="H122" s="274">
        <f t="shared" si="9"/>
        <v>1.0436688895120936</v>
      </c>
      <c r="I122" s="55">
        <f t="shared" si="10"/>
        <v>944254.93317068683</v>
      </c>
    </row>
    <row r="123" spans="1:9" x14ac:dyDescent="0.25">
      <c r="A123" s="49">
        <f>'A) Base RI'!A124</f>
        <v>5601</v>
      </c>
      <c r="B123" s="32" t="str">
        <f>'A) Base RI'!B124</f>
        <v>Chexbres</v>
      </c>
      <c r="C123" s="95">
        <f>'A) Base RI'!V124</f>
        <v>2229</v>
      </c>
      <c r="D123" s="110">
        <f>'D) Ecrêtage'!E123</f>
        <v>47.542871442101593</v>
      </c>
      <c r="E123" s="34">
        <f t="shared" si="7"/>
        <v>0.88251673755245719</v>
      </c>
      <c r="F123" s="273">
        <f t="shared" si="8"/>
        <v>35850.940750880691</v>
      </c>
      <c r="G123" s="33">
        <f>+'A) Base RI'!U124</f>
        <v>67.5</v>
      </c>
      <c r="H123" s="274">
        <f t="shared" si="9"/>
        <v>0.99925744740519595</v>
      </c>
      <c r="I123" s="55">
        <f t="shared" si="10"/>
        <v>35824.31954179996</v>
      </c>
    </row>
    <row r="124" spans="1:9" x14ac:dyDescent="0.25">
      <c r="A124" s="49">
        <f>'A) Base RI'!A125</f>
        <v>5604</v>
      </c>
      <c r="B124" s="32" t="str">
        <f>'A) Base RI'!B125</f>
        <v>Forel (Lavaux)</v>
      </c>
      <c r="C124" s="95">
        <f>'A) Base RI'!V125</f>
        <v>2110</v>
      </c>
      <c r="D124" s="110">
        <f>'D) Ecrêtage'!E124</f>
        <v>35.933137028642072</v>
      </c>
      <c r="E124" s="34">
        <f t="shared" si="7"/>
        <v>12.492251151011978</v>
      </c>
      <c r="F124" s="273">
        <f t="shared" si="8"/>
        <v>491061.64817047515</v>
      </c>
      <c r="G124" s="33">
        <f>+'A) Base RI'!U125</f>
        <v>69</v>
      </c>
      <c r="H124" s="274">
        <f t="shared" si="9"/>
        <v>1.0214631684586448</v>
      </c>
      <c r="I124" s="55">
        <f t="shared" si="10"/>
        <v>501601.38704873784</v>
      </c>
    </row>
    <row r="125" spans="1:9" x14ac:dyDescent="0.25">
      <c r="A125" s="49">
        <f>'A) Base RI'!A126</f>
        <v>5606</v>
      </c>
      <c r="B125" s="32" t="str">
        <f>'A) Base RI'!B126</f>
        <v>Lutry</v>
      </c>
      <c r="C125" s="95">
        <f>'A) Base RI'!V126</f>
        <v>10704</v>
      </c>
      <c r="D125" s="110">
        <f>'D) Ecrêtage'!E125</f>
        <v>87.923878483838308</v>
      </c>
      <c r="E125" s="34">
        <f t="shared" si="7"/>
        <v>0</v>
      </c>
      <c r="F125" s="273">
        <f t="shared" si="8"/>
        <v>0</v>
      </c>
      <c r="G125" s="33">
        <f>+'A) Base RI'!U126</f>
        <v>54</v>
      </c>
      <c r="H125" s="274">
        <f t="shared" si="9"/>
        <v>0.7994059579241567</v>
      </c>
      <c r="I125" s="55">
        <f t="shared" si="10"/>
        <v>0</v>
      </c>
    </row>
    <row r="126" spans="1:9" x14ac:dyDescent="0.25">
      <c r="A126" s="49">
        <f>'A) Base RI'!A127</f>
        <v>5607</v>
      </c>
      <c r="B126" s="32" t="str">
        <f>'A) Base RI'!B127</f>
        <v>Puidoux</v>
      </c>
      <c r="C126" s="95">
        <f>'A) Base RI'!V127</f>
        <v>2924</v>
      </c>
      <c r="D126" s="110">
        <f>'D) Ecrêtage'!E126</f>
        <v>38.160185145227828</v>
      </c>
      <c r="E126" s="34">
        <f t="shared" si="7"/>
        <v>10.265203034426222</v>
      </c>
      <c r="F126" s="273">
        <f t="shared" si="8"/>
        <v>555135.81567588879</v>
      </c>
      <c r="G126" s="33">
        <f>+'A) Base RI'!U127</f>
        <v>68.5</v>
      </c>
      <c r="H126" s="274">
        <f t="shared" si="9"/>
        <v>1.0140612614408284</v>
      </c>
      <c r="I126" s="55">
        <f t="shared" si="10"/>
        <v>562941.72551527503</v>
      </c>
    </row>
    <row r="127" spans="1:9" x14ac:dyDescent="0.25">
      <c r="A127" s="49">
        <f>'A) Base RI'!A128</f>
        <v>5609</v>
      </c>
      <c r="B127" s="32" t="str">
        <f>'A) Base RI'!B128</f>
        <v>Rivaz</v>
      </c>
      <c r="C127" s="95">
        <f>'A) Base RI'!V128</f>
        <v>331</v>
      </c>
      <c r="D127" s="110">
        <f>'D) Ecrêtage'!E127</f>
        <v>45.00456242081669</v>
      </c>
      <c r="E127" s="34">
        <f t="shared" si="7"/>
        <v>3.4208257588373598</v>
      </c>
      <c r="F127" s="273">
        <f t="shared" si="8"/>
        <v>18954.59028017228</v>
      </c>
      <c r="G127" s="33">
        <f>+'A) Base RI'!U128</f>
        <v>62</v>
      </c>
      <c r="H127" s="274">
        <f t="shared" si="9"/>
        <v>0.91783647020921699</v>
      </c>
      <c r="I127" s="55">
        <f t="shared" si="10"/>
        <v>17397.214237015258</v>
      </c>
    </row>
    <row r="128" spans="1:9" x14ac:dyDescent="0.25">
      <c r="A128" s="49">
        <f>'A) Base RI'!A129</f>
        <v>5610</v>
      </c>
      <c r="B128" s="32" t="str">
        <f>'A) Base RI'!B129</f>
        <v>St-Saphorin (Lavaux)</v>
      </c>
      <c r="C128" s="95">
        <f>'A) Base RI'!V129</f>
        <v>396</v>
      </c>
      <c r="D128" s="110">
        <f>'D) Ecrêtage'!E128</f>
        <v>59.213288264590346</v>
      </c>
      <c r="E128" s="34">
        <f t="shared" si="7"/>
        <v>0</v>
      </c>
      <c r="F128" s="273">
        <f t="shared" si="8"/>
        <v>0</v>
      </c>
      <c r="G128" s="33">
        <f>+'A) Base RI'!U129</f>
        <v>72</v>
      </c>
      <c r="H128" s="274">
        <f t="shared" si="9"/>
        <v>1.0658746105655423</v>
      </c>
      <c r="I128" s="55">
        <f t="shared" si="10"/>
        <v>0</v>
      </c>
    </row>
    <row r="129" spans="1:9" x14ac:dyDescent="0.25">
      <c r="A129" s="49">
        <f>'A) Base RI'!A130</f>
        <v>5611</v>
      </c>
      <c r="B129" s="32" t="str">
        <f>'A) Base RI'!B130</f>
        <v>Savigny</v>
      </c>
      <c r="C129" s="95">
        <f>'A) Base RI'!V130</f>
        <v>3370</v>
      </c>
      <c r="D129" s="110">
        <f>'D) Ecrêtage'!E129</f>
        <v>41.83475765851</v>
      </c>
      <c r="E129" s="34">
        <f t="shared" si="7"/>
        <v>6.5906305211440497</v>
      </c>
      <c r="F129" s="273">
        <f t="shared" si="8"/>
        <v>413780.21507203899</v>
      </c>
      <c r="G129" s="33">
        <f>+'A) Base RI'!U130</f>
        <v>69</v>
      </c>
      <c r="H129" s="274">
        <f t="shared" si="9"/>
        <v>1.0214631684586448</v>
      </c>
      <c r="I129" s="55">
        <f t="shared" si="10"/>
        <v>422661.24953298445</v>
      </c>
    </row>
    <row r="130" spans="1:9" x14ac:dyDescent="0.25">
      <c r="A130" s="49">
        <f>'A) Base RI'!A131</f>
        <v>5613</v>
      </c>
      <c r="B130" s="32" t="str">
        <f>'A) Base RI'!B131</f>
        <v>Bourg-en-Lavaux</v>
      </c>
      <c r="C130" s="95">
        <f>'A) Base RI'!V131</f>
        <v>5367</v>
      </c>
      <c r="D130" s="110">
        <f>'D) Ecrêtage'!E130</f>
        <v>66.556842074405324</v>
      </c>
      <c r="E130" s="34">
        <f t="shared" si="7"/>
        <v>0</v>
      </c>
      <c r="F130" s="273">
        <f t="shared" si="8"/>
        <v>0</v>
      </c>
      <c r="G130" s="33">
        <f>+'A) Base RI'!U131</f>
        <v>62.5</v>
      </c>
      <c r="H130" s="274">
        <f t="shared" si="9"/>
        <v>0.92523837722703328</v>
      </c>
      <c r="I130" s="55">
        <f t="shared" si="10"/>
        <v>0</v>
      </c>
    </row>
    <row r="131" spans="1:9" x14ac:dyDescent="0.25">
      <c r="A131" s="49">
        <f>'A) Base RI'!A132</f>
        <v>5621</v>
      </c>
      <c r="B131" s="32" t="str">
        <f>'A) Base RI'!B132</f>
        <v>Aclens</v>
      </c>
      <c r="C131" s="95">
        <f>'A) Base RI'!V132</f>
        <v>517</v>
      </c>
      <c r="D131" s="110">
        <f>'D) Ecrêtage'!E131</f>
        <v>62.420297452594205</v>
      </c>
      <c r="E131" s="34">
        <f t="shared" si="7"/>
        <v>0</v>
      </c>
      <c r="F131" s="273">
        <f t="shared" si="8"/>
        <v>0</v>
      </c>
      <c r="G131" s="33">
        <f>+'A) Base RI'!U132</f>
        <v>62</v>
      </c>
      <c r="H131" s="274">
        <f t="shared" si="9"/>
        <v>0.91783647020921699</v>
      </c>
      <c r="I131" s="55">
        <f t="shared" si="10"/>
        <v>0</v>
      </c>
    </row>
    <row r="132" spans="1:9" x14ac:dyDescent="0.25">
      <c r="A132" s="49">
        <f>'A) Base RI'!A133</f>
        <v>5622</v>
      </c>
      <c r="B132" s="32" t="str">
        <f>'A) Base RI'!B133</f>
        <v>Bremblens</v>
      </c>
      <c r="C132" s="95">
        <f>'A) Base RI'!V133</f>
        <v>607</v>
      </c>
      <c r="D132" s="110">
        <f>'D) Ecrêtage'!E132</f>
        <v>47.189355315437545</v>
      </c>
      <c r="E132" s="34">
        <f t="shared" si="7"/>
        <v>1.2360328642165044</v>
      </c>
      <c r="F132" s="273">
        <f t="shared" si="8"/>
        <v>13774.992975918118</v>
      </c>
      <c r="G132" s="33">
        <f>+'A) Base RI'!U133</f>
        <v>68</v>
      </c>
      <c r="H132" s="274">
        <f t="shared" si="9"/>
        <v>1.0066593544230122</v>
      </c>
      <c r="I132" s="55">
        <f t="shared" si="10"/>
        <v>13866.72553631926</v>
      </c>
    </row>
    <row r="133" spans="1:9" x14ac:dyDescent="0.25">
      <c r="A133" s="49">
        <f>'A) Base RI'!A134</f>
        <v>5623</v>
      </c>
      <c r="B133" s="32" t="str">
        <f>'A) Base RI'!B134</f>
        <v>Buchillon</v>
      </c>
      <c r="C133" s="95">
        <f>'A) Base RI'!V134</f>
        <v>669</v>
      </c>
      <c r="D133" s="110">
        <f>'D) Ecrêtage'!E133</f>
        <v>133.38109290559962</v>
      </c>
      <c r="E133" s="34">
        <f t="shared" si="7"/>
        <v>0</v>
      </c>
      <c r="F133" s="273">
        <f t="shared" si="8"/>
        <v>0</v>
      </c>
      <c r="G133" s="33">
        <f>+'A) Base RI'!U134</f>
        <v>52</v>
      </c>
      <c r="H133" s="274">
        <f t="shared" si="9"/>
        <v>0.76979832985289165</v>
      </c>
      <c r="I133" s="55">
        <f t="shared" si="10"/>
        <v>0</v>
      </c>
    </row>
    <row r="134" spans="1:9" x14ac:dyDescent="0.25">
      <c r="A134" s="49">
        <f>'A) Base RI'!A135</f>
        <v>5624</v>
      </c>
      <c r="B134" s="32" t="str">
        <f>'A) Base RI'!B135</f>
        <v>Bussigny</v>
      </c>
      <c r="C134" s="95">
        <f>'A) Base RI'!V135</f>
        <v>10253</v>
      </c>
      <c r="D134" s="110">
        <f>'D) Ecrêtage'!E134</f>
        <v>43.10348094021262</v>
      </c>
      <c r="E134" s="34">
        <f t="shared" ref="E134:E197" si="11">IF($D$314-D134&lt;0,0,$D$314-D134)</f>
        <v>5.3219072394414297</v>
      </c>
      <c r="F134" s="273">
        <f t="shared" ref="F134:F197" si="12">(C134*E134*G134)*$E$5</f>
        <v>920793.06437613163</v>
      </c>
      <c r="G134" s="33">
        <f>+'A) Base RI'!U135</f>
        <v>62.5</v>
      </c>
      <c r="H134" s="274">
        <f t="shared" ref="H134:H197" si="13">G134/$G$314</f>
        <v>0.92523837722703328</v>
      </c>
      <c r="I134" s="55">
        <f t="shared" ref="I134:I197" si="14">F134*H134</f>
        <v>851953.08064527926</v>
      </c>
    </row>
    <row r="135" spans="1:9" x14ac:dyDescent="0.25">
      <c r="A135" s="49">
        <f>'A) Base RI'!A136</f>
        <v>5625</v>
      </c>
      <c r="B135" s="32" t="str">
        <f>'A) Base RI'!B136</f>
        <v>Bussy-Chardonney</v>
      </c>
      <c r="C135" s="95">
        <f>'A) Base RI'!V136</f>
        <v>412</v>
      </c>
      <c r="D135" s="110">
        <f>'D) Ecrêtage'!E135</f>
        <v>51.234212962962957</v>
      </c>
      <c r="E135" s="34">
        <f t="shared" si="11"/>
        <v>0</v>
      </c>
      <c r="F135" s="273">
        <f t="shared" si="12"/>
        <v>0</v>
      </c>
      <c r="G135" s="33">
        <f>+'A) Base RI'!U136</f>
        <v>72</v>
      </c>
      <c r="H135" s="274">
        <f t="shared" si="13"/>
        <v>1.0658746105655423</v>
      </c>
      <c r="I135" s="55">
        <f t="shared" si="14"/>
        <v>0</v>
      </c>
    </row>
    <row r="136" spans="1:9" x14ac:dyDescent="0.25">
      <c r="A136" s="49">
        <f>'A) Base RI'!A137</f>
        <v>5627</v>
      </c>
      <c r="B136" s="32" t="str">
        <f>'A) Base RI'!B137</f>
        <v>Chavannes-près-Renens</v>
      </c>
      <c r="C136" s="95">
        <f>'A) Base RI'!V137</f>
        <v>8767</v>
      </c>
      <c r="D136" s="110">
        <f>'D) Ecrêtage'!E136</f>
        <v>22.136753117445551</v>
      </c>
      <c r="E136" s="34">
        <f t="shared" si="11"/>
        <v>26.288635062208499</v>
      </c>
      <c r="F136" s="273">
        <f t="shared" si="12"/>
        <v>4822636.3006287413</v>
      </c>
      <c r="G136" s="33">
        <f>+'A) Base RI'!U137</f>
        <v>77.5</v>
      </c>
      <c r="H136" s="274">
        <f t="shared" si="13"/>
        <v>1.1472955877615212</v>
      </c>
      <c r="I136" s="55">
        <f t="shared" si="14"/>
        <v>5532989.3490899</v>
      </c>
    </row>
    <row r="137" spans="1:9" x14ac:dyDescent="0.25">
      <c r="A137" s="49">
        <f>'A) Base RI'!A138</f>
        <v>5628</v>
      </c>
      <c r="B137" s="32" t="str">
        <f>'A) Base RI'!B138</f>
        <v>Chigny</v>
      </c>
      <c r="C137" s="95">
        <f>'A) Base RI'!V138</f>
        <v>405</v>
      </c>
      <c r="D137" s="110">
        <f>'D) Ecrêtage'!E137</f>
        <v>63.681237355635197</v>
      </c>
      <c r="E137" s="34">
        <f t="shared" si="11"/>
        <v>0</v>
      </c>
      <c r="F137" s="273">
        <f t="shared" si="12"/>
        <v>0</v>
      </c>
      <c r="G137" s="33">
        <f>+'A) Base RI'!U138</f>
        <v>62</v>
      </c>
      <c r="H137" s="274">
        <f t="shared" si="13"/>
        <v>0.91783647020921699</v>
      </c>
      <c r="I137" s="55">
        <f t="shared" si="14"/>
        <v>0</v>
      </c>
    </row>
    <row r="138" spans="1:9" x14ac:dyDescent="0.25">
      <c r="A138" s="49">
        <f>'A) Base RI'!A139</f>
        <v>5629</v>
      </c>
      <c r="B138" s="32" t="str">
        <f>'A) Base RI'!B139</f>
        <v>Clarmont</v>
      </c>
      <c r="C138" s="95">
        <f>'A) Base RI'!V139</f>
        <v>211</v>
      </c>
      <c r="D138" s="110">
        <f>'D) Ecrêtage'!E138</f>
        <v>47.147210884353747</v>
      </c>
      <c r="E138" s="34">
        <f t="shared" si="11"/>
        <v>1.2781772953003028</v>
      </c>
      <c r="F138" s="273">
        <f t="shared" si="12"/>
        <v>5352.105397724481</v>
      </c>
      <c r="G138" s="33">
        <f>+'A) Base RI'!U139</f>
        <v>73.5</v>
      </c>
      <c r="H138" s="274">
        <f t="shared" si="13"/>
        <v>1.0880803316189911</v>
      </c>
      <c r="I138" s="55">
        <f t="shared" si="14"/>
        <v>5823.5206160158459</v>
      </c>
    </row>
    <row r="139" spans="1:9" x14ac:dyDescent="0.25">
      <c r="A139" s="49">
        <f>'A) Base RI'!A140</f>
        <v>5631</v>
      </c>
      <c r="B139" s="32" t="str">
        <f>'A) Base RI'!B140</f>
        <v>Denens</v>
      </c>
      <c r="C139" s="95">
        <f>'A) Base RI'!V140</f>
        <v>733</v>
      </c>
      <c r="D139" s="110">
        <f>'D) Ecrêtage'!E139</f>
        <v>59.058975804510055</v>
      </c>
      <c r="E139" s="34">
        <f t="shared" si="11"/>
        <v>0</v>
      </c>
      <c r="F139" s="273">
        <f t="shared" si="12"/>
        <v>0</v>
      </c>
      <c r="G139" s="33">
        <f>+'A) Base RI'!U140</f>
        <v>68</v>
      </c>
      <c r="H139" s="274">
        <f t="shared" si="13"/>
        <v>1.0066593544230122</v>
      </c>
      <c r="I139" s="55">
        <f t="shared" si="14"/>
        <v>0</v>
      </c>
    </row>
    <row r="140" spans="1:9" x14ac:dyDescent="0.25">
      <c r="A140" s="49">
        <f>'A) Base RI'!A141</f>
        <v>5632</v>
      </c>
      <c r="B140" s="32" t="str">
        <f>'A) Base RI'!B141</f>
        <v>Denges</v>
      </c>
      <c r="C140" s="95">
        <f>'A) Base RI'!V141</f>
        <v>1744</v>
      </c>
      <c r="D140" s="110">
        <f>'D) Ecrêtage'!E140</f>
        <v>46.170421075022197</v>
      </c>
      <c r="E140" s="34">
        <f t="shared" si="11"/>
        <v>2.2549671046318522</v>
      </c>
      <c r="F140" s="273">
        <f t="shared" si="12"/>
        <v>65832.772434200888</v>
      </c>
      <c r="G140" s="33">
        <f>+'A) Base RI'!U141</f>
        <v>62</v>
      </c>
      <c r="H140" s="274">
        <f t="shared" si="13"/>
        <v>0.91783647020921699</v>
      </c>
      <c r="I140" s="55">
        <f t="shared" si="14"/>
        <v>60423.719475093581</v>
      </c>
    </row>
    <row r="141" spans="1:9" x14ac:dyDescent="0.25">
      <c r="A141" s="49">
        <f>'A) Base RI'!A142</f>
        <v>5633</v>
      </c>
      <c r="B141" s="32" t="str">
        <f>'A) Base RI'!B142</f>
        <v>Echandens</v>
      </c>
      <c r="C141" s="95">
        <f>'A) Base RI'!V142</f>
        <v>2775</v>
      </c>
      <c r="D141" s="110">
        <f>'D) Ecrêtage'!E141</f>
        <v>61.364745439654534</v>
      </c>
      <c r="E141" s="34">
        <f t="shared" si="11"/>
        <v>0</v>
      </c>
      <c r="F141" s="273">
        <f t="shared" si="12"/>
        <v>0</v>
      </c>
      <c r="G141" s="33">
        <f>+'A) Base RI'!U142</f>
        <v>60.5</v>
      </c>
      <c r="H141" s="274">
        <f t="shared" si="13"/>
        <v>0.89563074915576824</v>
      </c>
      <c r="I141" s="55">
        <f t="shared" si="14"/>
        <v>0</v>
      </c>
    </row>
    <row r="142" spans="1:9" x14ac:dyDescent="0.25">
      <c r="A142" s="49">
        <f>'A) Base RI'!A143</f>
        <v>5634</v>
      </c>
      <c r="B142" s="32" t="str">
        <f>'A) Base RI'!B143</f>
        <v>Echichens</v>
      </c>
      <c r="C142" s="95">
        <f>'A) Base RI'!V143</f>
        <v>3142</v>
      </c>
      <c r="D142" s="110">
        <f>'D) Ecrêtage'!E142</f>
        <v>48.557890602395695</v>
      </c>
      <c r="E142" s="34">
        <f t="shared" si="11"/>
        <v>0</v>
      </c>
      <c r="F142" s="273">
        <f t="shared" si="12"/>
        <v>0</v>
      </c>
      <c r="G142" s="33">
        <f>+'A) Base RI'!U143</f>
        <v>66</v>
      </c>
      <c r="H142" s="274">
        <f t="shared" si="13"/>
        <v>0.97705172635174709</v>
      </c>
      <c r="I142" s="55">
        <f t="shared" si="14"/>
        <v>0</v>
      </c>
    </row>
    <row r="143" spans="1:9" x14ac:dyDescent="0.25">
      <c r="A143" s="49">
        <f>'A) Base RI'!A144</f>
        <v>5635</v>
      </c>
      <c r="B143" s="32" t="str">
        <f>'A) Base RI'!B144</f>
        <v>Ecublens</v>
      </c>
      <c r="C143" s="95">
        <f>'A) Base RI'!V144</f>
        <v>13214</v>
      </c>
      <c r="D143" s="110">
        <f>'D) Ecrêtage'!E143</f>
        <v>66.018395638968784</v>
      </c>
      <c r="E143" s="34">
        <f t="shared" si="11"/>
        <v>0</v>
      </c>
      <c r="F143" s="273">
        <f t="shared" si="12"/>
        <v>0</v>
      </c>
      <c r="G143" s="33">
        <f>+'A) Base RI'!U144</f>
        <v>62.5</v>
      </c>
      <c r="H143" s="274">
        <f t="shared" si="13"/>
        <v>0.92523837722703328</v>
      </c>
      <c r="I143" s="55">
        <f t="shared" si="14"/>
        <v>0</v>
      </c>
    </row>
    <row r="144" spans="1:9" x14ac:dyDescent="0.25">
      <c r="A144" s="49">
        <f>'A) Base RI'!A145</f>
        <v>5636</v>
      </c>
      <c r="B144" s="32" t="str">
        <f>'A) Base RI'!B145</f>
        <v>Etoy</v>
      </c>
      <c r="C144" s="95">
        <f>'A) Base RI'!V145</f>
        <v>2918</v>
      </c>
      <c r="D144" s="110">
        <f>'D) Ecrêtage'!E144</f>
        <v>64.10676490747089</v>
      </c>
      <c r="E144" s="34">
        <f t="shared" si="11"/>
        <v>0</v>
      </c>
      <c r="F144" s="273">
        <f t="shared" si="12"/>
        <v>0</v>
      </c>
      <c r="G144" s="33">
        <f>+'A) Base RI'!U145</f>
        <v>60</v>
      </c>
      <c r="H144" s="274">
        <f t="shared" si="13"/>
        <v>0.88822884213795195</v>
      </c>
      <c r="I144" s="55">
        <f t="shared" si="14"/>
        <v>0</v>
      </c>
    </row>
    <row r="145" spans="1:9" x14ac:dyDescent="0.25">
      <c r="A145" s="49">
        <f>'A) Base RI'!A146</f>
        <v>5637</v>
      </c>
      <c r="B145" s="32" t="str">
        <f>'A) Base RI'!B146</f>
        <v>Lavigny</v>
      </c>
      <c r="C145" s="95">
        <f>'A) Base RI'!V146</f>
        <v>1026</v>
      </c>
      <c r="D145" s="110">
        <f>'D) Ecrêtage'!E145</f>
        <v>36.940543272183504</v>
      </c>
      <c r="E145" s="34">
        <f t="shared" si="11"/>
        <v>11.484844907470546</v>
      </c>
      <c r="F145" s="273">
        <f t="shared" si="12"/>
        <v>232251.81674752684</v>
      </c>
      <c r="G145" s="33">
        <f>+'A) Base RI'!U146</f>
        <v>73</v>
      </c>
      <c r="H145" s="274">
        <f t="shared" si="13"/>
        <v>1.0806784246011749</v>
      </c>
      <c r="I145" s="55">
        <f t="shared" si="14"/>
        <v>250989.52743347807</v>
      </c>
    </row>
    <row r="146" spans="1:9" x14ac:dyDescent="0.25">
      <c r="A146" s="49">
        <f>'A) Base RI'!A147</f>
        <v>5638</v>
      </c>
      <c r="B146" s="32" t="str">
        <f>'A) Base RI'!B147</f>
        <v>Lonay</v>
      </c>
      <c r="C146" s="95">
        <f>'A) Base RI'!V147</f>
        <v>2751</v>
      </c>
      <c r="D146" s="110">
        <f>'D) Ecrêtage'!E146</f>
        <v>63.306048246918458</v>
      </c>
      <c r="E146" s="34">
        <f t="shared" si="11"/>
        <v>0</v>
      </c>
      <c r="F146" s="273">
        <f t="shared" si="12"/>
        <v>0</v>
      </c>
      <c r="G146" s="33">
        <f>+'A) Base RI'!U147</f>
        <v>55</v>
      </c>
      <c r="H146" s="274">
        <f t="shared" si="13"/>
        <v>0.81420977195978927</v>
      </c>
      <c r="I146" s="55">
        <f t="shared" si="14"/>
        <v>0</v>
      </c>
    </row>
    <row r="147" spans="1:9" x14ac:dyDescent="0.25">
      <c r="A147" s="49">
        <f>'A) Base RI'!A148</f>
        <v>5639</v>
      </c>
      <c r="B147" s="32" t="str">
        <f>'A) Base RI'!B148</f>
        <v>Lully</v>
      </c>
      <c r="C147" s="95">
        <f>'A) Base RI'!V148</f>
        <v>828</v>
      </c>
      <c r="D147" s="110">
        <f>'D) Ecrêtage'!E147</f>
        <v>64.868682782925475</v>
      </c>
      <c r="E147" s="34">
        <f t="shared" si="11"/>
        <v>0</v>
      </c>
      <c r="F147" s="273">
        <f t="shared" si="12"/>
        <v>0</v>
      </c>
      <c r="G147" s="33">
        <f>+'A) Base RI'!U148</f>
        <v>61</v>
      </c>
      <c r="H147" s="274">
        <f t="shared" si="13"/>
        <v>0.90303265617358441</v>
      </c>
      <c r="I147" s="55">
        <f t="shared" si="14"/>
        <v>0</v>
      </c>
    </row>
    <row r="148" spans="1:9" x14ac:dyDescent="0.25">
      <c r="A148" s="49">
        <f>'A) Base RI'!A149</f>
        <v>5640</v>
      </c>
      <c r="B148" s="32" t="str">
        <f>'A) Base RI'!B149</f>
        <v>Lussy-sur-Morges</v>
      </c>
      <c r="C148" s="95">
        <f>'A) Base RI'!V149</f>
        <v>740</v>
      </c>
      <c r="D148" s="110">
        <f>'D) Ecrêtage'!E148</f>
        <v>95.307856903415072</v>
      </c>
      <c r="E148" s="34">
        <f t="shared" si="11"/>
        <v>0</v>
      </c>
      <c r="F148" s="273">
        <f t="shared" si="12"/>
        <v>0</v>
      </c>
      <c r="G148" s="33">
        <f>+'A) Base RI'!U149</f>
        <v>64.5</v>
      </c>
      <c r="H148" s="274">
        <f t="shared" si="13"/>
        <v>0.95484600529829833</v>
      </c>
      <c r="I148" s="55">
        <f t="shared" si="14"/>
        <v>0</v>
      </c>
    </row>
    <row r="149" spans="1:9" x14ac:dyDescent="0.25">
      <c r="A149" s="49">
        <f>'A) Base RI'!A150</f>
        <v>5642</v>
      </c>
      <c r="B149" s="32" t="str">
        <f>'A) Base RI'!B150</f>
        <v>Morges</v>
      </c>
      <c r="C149" s="95">
        <f>'A) Base RI'!V150</f>
        <v>16885</v>
      </c>
      <c r="D149" s="110">
        <f>'D) Ecrêtage'!E149</f>
        <v>59.207984672432922</v>
      </c>
      <c r="E149" s="34">
        <f t="shared" si="11"/>
        <v>0</v>
      </c>
      <c r="F149" s="273">
        <f t="shared" si="12"/>
        <v>0</v>
      </c>
      <c r="G149" s="33">
        <f>+'A) Base RI'!U150</f>
        <v>67</v>
      </c>
      <c r="H149" s="274">
        <f t="shared" si="13"/>
        <v>0.99185554038737966</v>
      </c>
      <c r="I149" s="55">
        <f t="shared" si="14"/>
        <v>0</v>
      </c>
    </row>
    <row r="150" spans="1:9" x14ac:dyDescent="0.25">
      <c r="A150" s="49">
        <f>'A) Base RI'!A151</f>
        <v>5643</v>
      </c>
      <c r="B150" s="32" t="str">
        <f>'A) Base RI'!B151</f>
        <v>Préverenges</v>
      </c>
      <c r="C150" s="95">
        <f>'A) Base RI'!V151</f>
        <v>5208</v>
      </c>
      <c r="D150" s="110">
        <f>'D) Ecrêtage'!E150</f>
        <v>49.491709124423963</v>
      </c>
      <c r="E150" s="34">
        <f t="shared" si="11"/>
        <v>0</v>
      </c>
      <c r="F150" s="273">
        <f t="shared" si="12"/>
        <v>0</v>
      </c>
      <c r="G150" s="33">
        <f>+'A) Base RI'!U151</f>
        <v>62.5</v>
      </c>
      <c r="H150" s="274">
        <f t="shared" si="13"/>
        <v>0.92523837722703328</v>
      </c>
      <c r="I150" s="55">
        <f t="shared" si="14"/>
        <v>0</v>
      </c>
    </row>
    <row r="151" spans="1:9" x14ac:dyDescent="0.25">
      <c r="A151" s="49">
        <f>'A) Base RI'!A152</f>
        <v>5644</v>
      </c>
      <c r="B151" s="32" t="str">
        <f>'A) Base RI'!B152</f>
        <v>Reverolle</v>
      </c>
      <c r="C151" s="95">
        <f>'A) Base RI'!V152</f>
        <v>403</v>
      </c>
      <c r="D151" s="110">
        <f>'D) Ecrêtage'!E151</f>
        <v>40.604114076856</v>
      </c>
      <c r="E151" s="34">
        <f t="shared" si="11"/>
        <v>7.8212741027980499</v>
      </c>
      <c r="F151" s="273">
        <f t="shared" si="12"/>
        <v>62976.429799283731</v>
      </c>
      <c r="G151" s="33">
        <f>+'A) Base RI'!U152</f>
        <v>74</v>
      </c>
      <c r="H151" s="274">
        <f t="shared" si="13"/>
        <v>1.0954822386368073</v>
      </c>
      <c r="I151" s="55">
        <f t="shared" si="14"/>
        <v>68989.560297873075</v>
      </c>
    </row>
    <row r="152" spans="1:9" x14ac:dyDescent="0.25">
      <c r="A152" s="49">
        <f>'A) Base RI'!A153</f>
        <v>5645</v>
      </c>
      <c r="B152" s="32" t="str">
        <f>'A) Base RI'!B153</f>
        <v>Romanel-sur-Morges</v>
      </c>
      <c r="C152" s="95">
        <f>'A) Base RI'!V153</f>
        <v>466</v>
      </c>
      <c r="D152" s="110">
        <f>'D) Ecrêtage'!E152</f>
        <v>57.051548896382585</v>
      </c>
      <c r="E152" s="34">
        <f t="shared" si="11"/>
        <v>0</v>
      </c>
      <c r="F152" s="273">
        <f t="shared" si="12"/>
        <v>0</v>
      </c>
      <c r="G152" s="33">
        <f>+'A) Base RI'!U153</f>
        <v>56</v>
      </c>
      <c r="H152" s="274">
        <f t="shared" si="13"/>
        <v>0.82901358599542185</v>
      </c>
      <c r="I152" s="55">
        <f t="shared" si="14"/>
        <v>0</v>
      </c>
    </row>
    <row r="153" spans="1:9" x14ac:dyDescent="0.25">
      <c r="A153" s="49">
        <f>'A) Base RI'!A154</f>
        <v>5646</v>
      </c>
      <c r="B153" s="32" t="str">
        <f>'A) Base RI'!B154</f>
        <v>Saint-Prex</v>
      </c>
      <c r="C153" s="95">
        <f>'A) Base RI'!V154</f>
        <v>5866</v>
      </c>
      <c r="D153" s="110">
        <f>'D) Ecrêtage'!E153</f>
        <v>90.007287731078847</v>
      </c>
      <c r="E153" s="34">
        <f t="shared" si="11"/>
        <v>0</v>
      </c>
      <c r="F153" s="273">
        <f t="shared" si="12"/>
        <v>0</v>
      </c>
      <c r="G153" s="33">
        <f>+'A) Base RI'!U154</f>
        <v>59</v>
      </c>
      <c r="H153" s="274">
        <f t="shared" si="13"/>
        <v>0.87342502810231937</v>
      </c>
      <c r="I153" s="55">
        <f t="shared" si="14"/>
        <v>0</v>
      </c>
    </row>
    <row r="154" spans="1:9" x14ac:dyDescent="0.25">
      <c r="A154" s="49">
        <f>'A) Base RI'!A155</f>
        <v>5648</v>
      </c>
      <c r="B154" s="32" t="str">
        <f>'A) Base RI'!B155</f>
        <v>Saint-Sulpice</v>
      </c>
      <c r="C154" s="95">
        <f>'A) Base RI'!V155</f>
        <v>4932</v>
      </c>
      <c r="D154" s="110">
        <f>'D) Ecrêtage'!E154</f>
        <v>79.972970166998437</v>
      </c>
      <c r="E154" s="34">
        <f t="shared" si="11"/>
        <v>0</v>
      </c>
      <c r="F154" s="273">
        <f t="shared" si="12"/>
        <v>0</v>
      </c>
      <c r="G154" s="33">
        <f>+'A) Base RI'!U155</f>
        <v>55</v>
      </c>
      <c r="H154" s="274">
        <f t="shared" si="13"/>
        <v>0.81420977195978927</v>
      </c>
      <c r="I154" s="55">
        <f t="shared" si="14"/>
        <v>0</v>
      </c>
    </row>
    <row r="155" spans="1:9" x14ac:dyDescent="0.25">
      <c r="A155" s="49">
        <f>'A) Base RI'!A156</f>
        <v>5649</v>
      </c>
      <c r="B155" s="32" t="str">
        <f>'A) Base RI'!B156</f>
        <v>Tolochenaz</v>
      </c>
      <c r="C155" s="95">
        <f>'A) Base RI'!V156</f>
        <v>1886</v>
      </c>
      <c r="D155" s="110">
        <f>'D) Ecrêtage'!E155</f>
        <v>82.597254357767753</v>
      </c>
      <c r="E155" s="34">
        <f t="shared" si="11"/>
        <v>0</v>
      </c>
      <c r="F155" s="273">
        <f t="shared" si="12"/>
        <v>0</v>
      </c>
      <c r="G155" s="33">
        <f>+'A) Base RI'!U156</f>
        <v>64</v>
      </c>
      <c r="H155" s="274">
        <f t="shared" si="13"/>
        <v>0.94744409828048204</v>
      </c>
      <c r="I155" s="55">
        <f t="shared" si="14"/>
        <v>0</v>
      </c>
    </row>
    <row r="156" spans="1:9" x14ac:dyDescent="0.25">
      <c r="A156" s="49">
        <f>'A) Base RI'!A157</f>
        <v>5650</v>
      </c>
      <c r="B156" s="32" t="str">
        <f>'A) Base RI'!B157</f>
        <v>Vaux-sur-Morges</v>
      </c>
      <c r="C156" s="95">
        <f>'A) Base RI'!V157</f>
        <v>196</v>
      </c>
      <c r="D156" s="110">
        <f>'D) Ecrêtage'!E156</f>
        <v>424.11079810495619</v>
      </c>
      <c r="E156" s="34">
        <f t="shared" si="11"/>
        <v>0</v>
      </c>
      <c r="F156" s="273">
        <f t="shared" si="12"/>
        <v>0</v>
      </c>
      <c r="G156" s="33">
        <f>+'A) Base RI'!U157</f>
        <v>56</v>
      </c>
      <c r="H156" s="274">
        <f t="shared" si="13"/>
        <v>0.82901358599542185</v>
      </c>
      <c r="I156" s="55">
        <f t="shared" si="14"/>
        <v>0</v>
      </c>
    </row>
    <row r="157" spans="1:9" x14ac:dyDescent="0.25">
      <c r="A157" s="49">
        <f>'A) Base RI'!A158</f>
        <v>5651</v>
      </c>
      <c r="B157" s="32" t="str">
        <f>'A) Base RI'!B158</f>
        <v>Villars-Sainte-Croix</v>
      </c>
      <c r="C157" s="95">
        <f>'A) Base RI'!V158</f>
        <v>958</v>
      </c>
      <c r="D157" s="110">
        <f>'D) Ecrêtage'!E157</f>
        <v>60.226546696802913</v>
      </c>
      <c r="E157" s="34">
        <f t="shared" si="11"/>
        <v>0</v>
      </c>
      <c r="F157" s="273">
        <f t="shared" si="12"/>
        <v>0</v>
      </c>
      <c r="G157" s="33">
        <f>+'A) Base RI'!U158</f>
        <v>60.5</v>
      </c>
      <c r="H157" s="274">
        <f t="shared" si="13"/>
        <v>0.89563074915576824</v>
      </c>
      <c r="I157" s="55">
        <f t="shared" si="14"/>
        <v>0</v>
      </c>
    </row>
    <row r="158" spans="1:9" x14ac:dyDescent="0.25">
      <c r="A158" s="49">
        <f>'A) Base RI'!A159</f>
        <v>5652</v>
      </c>
      <c r="B158" s="32" t="str">
        <f>'A) Base RI'!B159</f>
        <v>Villars-sous-Yens</v>
      </c>
      <c r="C158" s="95">
        <f>'A) Base RI'!V159</f>
        <v>626</v>
      </c>
      <c r="D158" s="110">
        <f>'D) Ecrêtage'!E158</f>
        <v>41.37800452609158</v>
      </c>
      <c r="E158" s="34">
        <f t="shared" si="11"/>
        <v>7.0473836535624699</v>
      </c>
      <c r="F158" s="273">
        <f t="shared" si="12"/>
        <v>90527.307669509784</v>
      </c>
      <c r="G158" s="33">
        <f>+'A) Base RI'!U159</f>
        <v>76</v>
      </c>
      <c r="H158" s="274">
        <f t="shared" si="13"/>
        <v>1.1250898667080724</v>
      </c>
      <c r="I158" s="55">
        <f t="shared" si="14"/>
        <v>101851.35651932942</v>
      </c>
    </row>
    <row r="159" spans="1:9" x14ac:dyDescent="0.25">
      <c r="A159" s="49">
        <f>'A) Base RI'!A160</f>
        <v>5653</v>
      </c>
      <c r="B159" s="32" t="str">
        <f>'A) Base RI'!B160</f>
        <v>Vufflens-le-Château</v>
      </c>
      <c r="C159" s="95">
        <f>'A) Base RI'!V160</f>
        <v>894</v>
      </c>
      <c r="D159" s="110">
        <f>'D) Ecrêtage'!E159</f>
        <v>75.49904854777337</v>
      </c>
      <c r="E159" s="34">
        <f t="shared" si="11"/>
        <v>0</v>
      </c>
      <c r="F159" s="273">
        <f t="shared" si="12"/>
        <v>0</v>
      </c>
      <c r="G159" s="33">
        <f>+'A) Base RI'!U160</f>
        <v>58.5</v>
      </c>
      <c r="H159" s="274">
        <f t="shared" si="13"/>
        <v>0.86602312108450308</v>
      </c>
      <c r="I159" s="55">
        <f t="shared" si="14"/>
        <v>0</v>
      </c>
    </row>
    <row r="160" spans="1:9" x14ac:dyDescent="0.25">
      <c r="A160" s="49">
        <f>'A) Base RI'!A161</f>
        <v>5654</v>
      </c>
      <c r="B160" s="32" t="str">
        <f>'A) Base RI'!B161</f>
        <v>Vullierens</v>
      </c>
      <c r="C160" s="95">
        <f>'A) Base RI'!V161</f>
        <v>560</v>
      </c>
      <c r="D160" s="110">
        <f>'D) Ecrêtage'!E160</f>
        <v>36.903022321428573</v>
      </c>
      <c r="E160" s="34">
        <f t="shared" si="11"/>
        <v>11.522365858225477</v>
      </c>
      <c r="F160" s="273">
        <f t="shared" si="12"/>
        <v>132405.81055004062</v>
      </c>
      <c r="G160" s="33">
        <f>+'A) Base RI'!U161</f>
        <v>76</v>
      </c>
      <c r="H160" s="274">
        <f t="shared" si="13"/>
        <v>1.1250898667080724</v>
      </c>
      <c r="I160" s="55">
        <f t="shared" si="14"/>
        <v>148968.43574311951</v>
      </c>
    </row>
    <row r="161" spans="1:9" x14ac:dyDescent="0.25">
      <c r="A161" s="49">
        <f>'A) Base RI'!A162</f>
        <v>5655</v>
      </c>
      <c r="B161" s="32" t="str">
        <f>'A) Base RI'!B162</f>
        <v>Yens</v>
      </c>
      <c r="C161" s="95">
        <f>'A) Base RI'!V162</f>
        <v>1499</v>
      </c>
      <c r="D161" s="110">
        <f>'D) Ecrêtage'!E161</f>
        <v>49.0025724375691</v>
      </c>
      <c r="E161" s="34">
        <f t="shared" si="11"/>
        <v>0</v>
      </c>
      <c r="F161" s="273">
        <f t="shared" si="12"/>
        <v>0</v>
      </c>
      <c r="G161" s="33">
        <f>+'A) Base RI'!U162</f>
        <v>71.5</v>
      </c>
      <c r="H161" s="274">
        <f t="shared" si="13"/>
        <v>1.0584727035477262</v>
      </c>
      <c r="I161" s="55">
        <f t="shared" si="14"/>
        <v>0</v>
      </c>
    </row>
    <row r="162" spans="1:9" x14ac:dyDescent="0.25">
      <c r="A162" s="49">
        <f>'A) Base RI'!A163</f>
        <v>5661</v>
      </c>
      <c r="B162" s="32" t="str">
        <f>'A) Base RI'!B163</f>
        <v>Boulens</v>
      </c>
      <c r="C162" s="95">
        <f>'A) Base RI'!V163</f>
        <v>371</v>
      </c>
      <c r="D162" s="110">
        <f>'D) Ecrêtage'!E162</f>
        <v>30.26034757695135</v>
      </c>
      <c r="E162" s="34">
        <f t="shared" si="11"/>
        <v>18.1650406027027</v>
      </c>
      <c r="F162" s="273">
        <f t="shared" si="12"/>
        <v>130100.83637785015</v>
      </c>
      <c r="G162" s="33">
        <f>+'A) Base RI'!U163</f>
        <v>71.5</v>
      </c>
      <c r="H162" s="274">
        <f t="shared" si="13"/>
        <v>1.0584727035477262</v>
      </c>
      <c r="I162" s="55">
        <f t="shared" si="14"/>
        <v>137708.18401468341</v>
      </c>
    </row>
    <row r="163" spans="1:9" x14ac:dyDescent="0.25">
      <c r="A163" s="49">
        <f>'A) Base RI'!A164</f>
        <v>5663</v>
      </c>
      <c r="B163" s="32" t="str">
        <f>'A) Base RI'!B164</f>
        <v>Bussy-sur-Moudon</v>
      </c>
      <c r="C163" s="95">
        <f>'A) Base RI'!V164</f>
        <v>236</v>
      </c>
      <c r="D163" s="110">
        <f>'D) Ecrêtage'!E163</f>
        <v>22.303709381409909</v>
      </c>
      <c r="E163" s="34">
        <f t="shared" si="11"/>
        <v>26.12167879824414</v>
      </c>
      <c r="F163" s="273">
        <f t="shared" si="12"/>
        <v>130661.15978239317</v>
      </c>
      <c r="G163" s="33">
        <f>+'A) Base RI'!U164</f>
        <v>78.5</v>
      </c>
      <c r="H163" s="274">
        <f t="shared" si="13"/>
        <v>1.1620994017971538</v>
      </c>
      <c r="I163" s="55">
        <f t="shared" si="14"/>
        <v>151841.25562124143</v>
      </c>
    </row>
    <row r="164" spans="1:9" x14ac:dyDescent="0.25">
      <c r="A164" s="49">
        <f>'A) Base RI'!A165</f>
        <v>5665</v>
      </c>
      <c r="B164" s="32" t="str">
        <f>'A) Base RI'!B165</f>
        <v>Chavannes-sur-Moudon</v>
      </c>
      <c r="C164" s="95">
        <f>'A) Base RI'!V165</f>
        <v>222</v>
      </c>
      <c r="D164" s="110">
        <f>'D) Ecrêtage'!E164</f>
        <v>22.166078507078513</v>
      </c>
      <c r="E164" s="34">
        <f t="shared" si="11"/>
        <v>26.259309672575537</v>
      </c>
      <c r="F164" s="273">
        <f t="shared" si="12"/>
        <v>110178.81152419244</v>
      </c>
      <c r="G164" s="33">
        <f>+'A) Base RI'!U165</f>
        <v>70</v>
      </c>
      <c r="H164" s="274">
        <f t="shared" si="13"/>
        <v>1.0362669824942772</v>
      </c>
      <c r="I164" s="55">
        <f t="shared" si="14"/>
        <v>114174.6645529806</v>
      </c>
    </row>
    <row r="165" spans="1:9" x14ac:dyDescent="0.25">
      <c r="A165" s="49">
        <f>'A) Base RI'!A166</f>
        <v>5669</v>
      </c>
      <c r="B165" s="32" t="str">
        <f>'A) Base RI'!B166</f>
        <v>Curtilles</v>
      </c>
      <c r="C165" s="95">
        <f>'A) Base RI'!V166</f>
        <v>296</v>
      </c>
      <c r="D165" s="110">
        <f>'D) Ecrêtage'!E165</f>
        <v>31.548572288041466</v>
      </c>
      <c r="E165" s="34">
        <f t="shared" si="11"/>
        <v>16.876815891612583</v>
      </c>
      <c r="F165" s="273">
        <f t="shared" si="12"/>
        <v>98462.044202210483</v>
      </c>
      <c r="G165" s="33">
        <f>+'A) Base RI'!U166</f>
        <v>73</v>
      </c>
      <c r="H165" s="274">
        <f t="shared" si="13"/>
        <v>1.0806784246011749</v>
      </c>
      <c r="I165" s="55">
        <f t="shared" si="14"/>
        <v>106405.80681145607</v>
      </c>
    </row>
    <row r="166" spans="1:9" x14ac:dyDescent="0.25">
      <c r="A166" s="49">
        <f>'A) Base RI'!A167</f>
        <v>5671</v>
      </c>
      <c r="B166" s="32" t="str">
        <f>'A) Base RI'!B167</f>
        <v>Dompierre</v>
      </c>
      <c r="C166" s="95">
        <f>'A) Base RI'!V167</f>
        <v>246</v>
      </c>
      <c r="D166" s="110">
        <f>'D) Ecrêtage'!E166</f>
        <v>26.276335209505937</v>
      </c>
      <c r="E166" s="34">
        <f t="shared" si="11"/>
        <v>22.149052970148112</v>
      </c>
      <c r="F166" s="273">
        <f t="shared" si="12"/>
        <v>114748.92766562455</v>
      </c>
      <c r="G166" s="33">
        <f>+'A) Base RI'!U167</f>
        <v>78</v>
      </c>
      <c r="H166" s="274">
        <f t="shared" si="13"/>
        <v>1.1546974947793376</v>
      </c>
      <c r="I166" s="55">
        <f t="shared" si="14"/>
        <v>132500.29930411209</v>
      </c>
    </row>
    <row r="167" spans="1:9" x14ac:dyDescent="0.25">
      <c r="A167" s="49">
        <f>'A) Base RI'!A168</f>
        <v>5673</v>
      </c>
      <c r="B167" s="32" t="str">
        <f>'A) Base RI'!B168</f>
        <v>Hermenches</v>
      </c>
      <c r="C167" s="95">
        <f>'A) Base RI'!V168</f>
        <v>371</v>
      </c>
      <c r="D167" s="110">
        <f>'D) Ecrêtage'!E167</f>
        <v>27.567200249371986</v>
      </c>
      <c r="E167" s="34">
        <f t="shared" si="11"/>
        <v>20.858187930282064</v>
      </c>
      <c r="F167" s="273">
        <f t="shared" si="12"/>
        <v>153568.30434576207</v>
      </c>
      <c r="G167" s="33">
        <f>+'A) Base RI'!U168</f>
        <v>73.5</v>
      </c>
      <c r="H167" s="274">
        <f t="shared" si="13"/>
        <v>1.0880803316189911</v>
      </c>
      <c r="I167" s="55">
        <f t="shared" si="14"/>
        <v>167094.65151870294</v>
      </c>
    </row>
    <row r="168" spans="1:9" x14ac:dyDescent="0.25">
      <c r="A168" s="49">
        <f>'A) Base RI'!A169</f>
        <v>5674</v>
      </c>
      <c r="B168" s="32" t="str">
        <f>'A) Base RI'!B169</f>
        <v>Lovatens</v>
      </c>
      <c r="C168" s="95">
        <f>'A) Base RI'!V169</f>
        <v>146</v>
      </c>
      <c r="D168" s="110">
        <f>'D) Ecrêtage'!E168</f>
        <v>28.885421004566208</v>
      </c>
      <c r="E168" s="34">
        <f t="shared" si="11"/>
        <v>19.539967175087842</v>
      </c>
      <c r="F168" s="273">
        <f t="shared" si="12"/>
        <v>57769.912953147206</v>
      </c>
      <c r="G168" s="33">
        <f>+'A) Base RI'!U169</f>
        <v>75</v>
      </c>
      <c r="H168" s="274">
        <f t="shared" si="13"/>
        <v>1.1102860526724398</v>
      </c>
      <c r="I168" s="55">
        <f t="shared" si="14"/>
        <v>64141.128615980262</v>
      </c>
    </row>
    <row r="169" spans="1:9" x14ac:dyDescent="0.25">
      <c r="A169" s="49">
        <f>'A) Base RI'!A170</f>
        <v>5675</v>
      </c>
      <c r="B169" s="32" t="str">
        <f>'A) Base RI'!B170</f>
        <v>Lucens</v>
      </c>
      <c r="C169" s="95">
        <f>'A) Base RI'!V170</f>
        <v>4373</v>
      </c>
      <c r="D169" s="110">
        <f>'D) Ecrêtage'!E169</f>
        <v>24.04998448853194</v>
      </c>
      <c r="E169" s="34">
        <f t="shared" si="11"/>
        <v>24.375403691122109</v>
      </c>
      <c r="F169" s="273">
        <f t="shared" si="12"/>
        <v>1942669.0952197732</v>
      </c>
      <c r="G169" s="33">
        <f>+'A) Base RI'!U170</f>
        <v>67.5</v>
      </c>
      <c r="H169" s="274">
        <f t="shared" si="13"/>
        <v>0.99925744740519595</v>
      </c>
      <c r="I169" s="55">
        <f t="shared" si="14"/>
        <v>1941226.5612422721</v>
      </c>
    </row>
    <row r="170" spans="1:9" x14ac:dyDescent="0.25">
      <c r="A170" s="49">
        <f>'A) Base RI'!A171</f>
        <v>5678</v>
      </c>
      <c r="B170" s="32" t="str">
        <f>'A) Base RI'!B171</f>
        <v>Moudon</v>
      </c>
      <c r="C170" s="95">
        <f>'A) Base RI'!V171</f>
        <v>6120</v>
      </c>
      <c r="D170" s="110">
        <f>'D) Ecrêtage'!E170</f>
        <v>20.39817843137255</v>
      </c>
      <c r="E170" s="34">
        <f t="shared" si="11"/>
        <v>28.0272097482815</v>
      </c>
      <c r="F170" s="273">
        <f t="shared" si="12"/>
        <v>3357631.7006343757</v>
      </c>
      <c r="G170" s="33">
        <f>+'A) Base RI'!U171</f>
        <v>72.5</v>
      </c>
      <c r="H170" s="274">
        <f t="shared" si="13"/>
        <v>1.0732765175833585</v>
      </c>
      <c r="I170" s="55">
        <f t="shared" si="14"/>
        <v>3603667.2589843525</v>
      </c>
    </row>
    <row r="171" spans="1:9" x14ac:dyDescent="0.25">
      <c r="A171" s="49">
        <f>'A) Base RI'!A172</f>
        <v>5680</v>
      </c>
      <c r="B171" s="32" t="str">
        <f>'A) Base RI'!B172</f>
        <v>Ogens</v>
      </c>
      <c r="C171" s="95">
        <f>'A) Base RI'!V172</f>
        <v>321</v>
      </c>
      <c r="D171" s="110">
        <f>'D) Ecrêtage'!E171</f>
        <v>26.484545757115853</v>
      </c>
      <c r="E171" s="34">
        <f t="shared" si="11"/>
        <v>21.940842422538196</v>
      </c>
      <c r="F171" s="273">
        <f t="shared" si="12"/>
        <v>148325.79939538808</v>
      </c>
      <c r="G171" s="33">
        <f>+'A) Base RI'!U172</f>
        <v>78</v>
      </c>
      <c r="H171" s="274">
        <f t="shared" si="13"/>
        <v>1.1546974947793376</v>
      </c>
      <c r="I171" s="55">
        <f t="shared" si="14"/>
        <v>171271.42897299721</v>
      </c>
    </row>
    <row r="172" spans="1:9" x14ac:dyDescent="0.25">
      <c r="A172" s="49">
        <f>'A) Base RI'!A173</f>
        <v>5683</v>
      </c>
      <c r="B172" s="32" t="str">
        <f>'A) Base RI'!B173</f>
        <v>Prévonloup</v>
      </c>
      <c r="C172" s="95">
        <f>'A) Base RI'!V173</f>
        <v>215</v>
      </c>
      <c r="D172" s="110">
        <f>'D) Ecrêtage'!E172</f>
        <v>25.05320930232558</v>
      </c>
      <c r="E172" s="34">
        <f t="shared" si="11"/>
        <v>23.372178877328469</v>
      </c>
      <c r="F172" s="273">
        <f t="shared" si="12"/>
        <v>98364.736327596547</v>
      </c>
      <c r="G172" s="33">
        <f>+'A) Base RI'!U173</f>
        <v>72.5</v>
      </c>
      <c r="H172" s="274">
        <f t="shared" si="13"/>
        <v>1.0732765175833585</v>
      </c>
      <c r="I172" s="55">
        <f t="shared" si="14"/>
        <v>105572.56165868809</v>
      </c>
    </row>
    <row r="173" spans="1:9" x14ac:dyDescent="0.25">
      <c r="A173" s="49">
        <f>'A) Base RI'!A174</f>
        <v>5684</v>
      </c>
      <c r="B173" s="32" t="str">
        <f>'A) Base RI'!B174</f>
        <v>Rossenges</v>
      </c>
      <c r="C173" s="95">
        <f>'A) Base RI'!V174</f>
        <v>93</v>
      </c>
      <c r="D173" s="110">
        <f>'D) Ecrêtage'!E173</f>
        <v>34.983673835125444</v>
      </c>
      <c r="E173" s="34">
        <f t="shared" si="11"/>
        <v>13.441714344528606</v>
      </c>
      <c r="F173" s="273">
        <f t="shared" si="12"/>
        <v>25314.108539333498</v>
      </c>
      <c r="G173" s="33">
        <f>+'A) Base RI'!U174</f>
        <v>75</v>
      </c>
      <c r="H173" s="274">
        <f t="shared" si="13"/>
        <v>1.1102860526724398</v>
      </c>
      <c r="I173" s="55">
        <f t="shared" si="14"/>
        <v>28105.90164705829</v>
      </c>
    </row>
    <row r="174" spans="1:9" x14ac:dyDescent="0.25">
      <c r="A174" s="49">
        <f>'A) Base RI'!A175</f>
        <v>5688</v>
      </c>
      <c r="B174" s="32" t="str">
        <f>'A) Base RI'!B175</f>
        <v>Syens</v>
      </c>
      <c r="C174" s="95">
        <f>'A) Base RI'!V175</f>
        <v>161</v>
      </c>
      <c r="D174" s="110">
        <f>'D) Ecrêtage'!E174</f>
        <v>38.792957477305308</v>
      </c>
      <c r="E174" s="34">
        <f t="shared" si="11"/>
        <v>9.6324307023487421</v>
      </c>
      <c r="F174" s="273">
        <f t="shared" si="12"/>
        <v>27216.914571021491</v>
      </c>
      <c r="G174" s="33">
        <f>+'A) Base RI'!U175</f>
        <v>65</v>
      </c>
      <c r="H174" s="274">
        <f t="shared" si="13"/>
        <v>0.96224791231611462</v>
      </c>
      <c r="I174" s="55">
        <f t="shared" si="14"/>
        <v>26189.419225651469</v>
      </c>
    </row>
    <row r="175" spans="1:9" x14ac:dyDescent="0.25">
      <c r="A175" s="49">
        <f>'A) Base RI'!A176</f>
        <v>5690</v>
      </c>
      <c r="B175" s="32" t="str">
        <f>'A) Base RI'!B176</f>
        <v>Villars-le-Comte</v>
      </c>
      <c r="C175" s="95">
        <f>'A) Base RI'!V176</f>
        <v>133</v>
      </c>
      <c r="D175" s="110">
        <f>'D) Ecrêtage'!E175</f>
        <v>26.391246688148943</v>
      </c>
      <c r="E175" s="34">
        <f t="shared" si="11"/>
        <v>22.034141491505107</v>
      </c>
      <c r="F175" s="273">
        <f t="shared" si="12"/>
        <v>55387.221467196396</v>
      </c>
      <c r="G175" s="33">
        <f>+'A) Base RI'!U176</f>
        <v>70</v>
      </c>
      <c r="H175" s="274">
        <f t="shared" si="13"/>
        <v>1.0362669824942772</v>
      </c>
      <c r="I175" s="55">
        <f t="shared" si="14"/>
        <v>57395.948858553864</v>
      </c>
    </row>
    <row r="176" spans="1:9" x14ac:dyDescent="0.25">
      <c r="A176" s="49">
        <f>'A) Base RI'!A177</f>
        <v>5692</v>
      </c>
      <c r="B176" s="32" t="str">
        <f>'A) Base RI'!B177</f>
        <v>Vucherens</v>
      </c>
      <c r="C176" s="95">
        <f>'A) Base RI'!V177</f>
        <v>623</v>
      </c>
      <c r="D176" s="110">
        <f>'D) Ecrêtage'!E176</f>
        <v>30.165632569677506</v>
      </c>
      <c r="E176" s="34">
        <f t="shared" si="11"/>
        <v>18.259755609976544</v>
      </c>
      <c r="F176" s="273">
        <f t="shared" si="12"/>
        <v>236503.4588188699</v>
      </c>
      <c r="G176" s="33">
        <f>+'A) Base RI'!U177</f>
        <v>77</v>
      </c>
      <c r="H176" s="274">
        <f t="shared" si="13"/>
        <v>1.139893680743705</v>
      </c>
      <c r="I176" s="55">
        <f t="shared" si="14"/>
        <v>269588.79818165884</v>
      </c>
    </row>
    <row r="177" spans="1:9" x14ac:dyDescent="0.25">
      <c r="A177" s="49">
        <f>'A) Base RI'!A178</f>
        <v>5693</v>
      </c>
      <c r="B177" s="32" t="str">
        <f>'A) Base RI'!B178</f>
        <v>Montanaire</v>
      </c>
      <c r="C177" s="95">
        <f>'A) Base RI'!V178</f>
        <v>2768</v>
      </c>
      <c r="D177" s="110">
        <f>'D) Ecrêtage'!E177</f>
        <v>27.344711756812554</v>
      </c>
      <c r="E177" s="34">
        <f t="shared" si="11"/>
        <v>21.080676422841496</v>
      </c>
      <c r="F177" s="273">
        <f t="shared" si="12"/>
        <v>1102839.8031962374</v>
      </c>
      <c r="G177" s="33">
        <f>+'A) Base RI'!U178</f>
        <v>70</v>
      </c>
      <c r="H177" s="274">
        <f t="shared" si="13"/>
        <v>1.0362669824942772</v>
      </c>
      <c r="I177" s="55">
        <f t="shared" si="14"/>
        <v>1142836.4750327475</v>
      </c>
    </row>
    <row r="178" spans="1:9" x14ac:dyDescent="0.25">
      <c r="A178" s="49">
        <f>'A) Base RI'!A179</f>
        <v>5701</v>
      </c>
      <c r="B178" s="32" t="str">
        <f>'A) Base RI'!B179</f>
        <v>Arnex-sur-Nyon</v>
      </c>
      <c r="C178" s="95">
        <f>'A) Base RI'!V179</f>
        <v>226</v>
      </c>
      <c r="D178" s="110">
        <f>'D) Ecrêtage'!E178</f>
        <v>64.109357774968387</v>
      </c>
      <c r="E178" s="34">
        <f t="shared" si="11"/>
        <v>0</v>
      </c>
      <c r="F178" s="273">
        <f t="shared" si="12"/>
        <v>0</v>
      </c>
      <c r="G178" s="33">
        <f>+'A) Base RI'!U179</f>
        <v>70</v>
      </c>
      <c r="H178" s="274">
        <f t="shared" si="13"/>
        <v>1.0362669824942772</v>
      </c>
      <c r="I178" s="55">
        <f t="shared" si="14"/>
        <v>0</v>
      </c>
    </row>
    <row r="179" spans="1:9" x14ac:dyDescent="0.25">
      <c r="A179" s="49">
        <f>'A) Base RI'!A180</f>
        <v>5702</v>
      </c>
      <c r="B179" s="32" t="str">
        <f>'A) Base RI'!B180</f>
        <v>Arzier-Le Muids</v>
      </c>
      <c r="C179" s="95">
        <f>'A) Base RI'!V180</f>
        <v>2947</v>
      </c>
      <c r="D179" s="110">
        <f>'D) Ecrêtage'!E179</f>
        <v>59.335922141867457</v>
      </c>
      <c r="E179" s="34">
        <f t="shared" si="11"/>
        <v>0</v>
      </c>
      <c r="F179" s="273">
        <f t="shared" si="12"/>
        <v>0</v>
      </c>
      <c r="G179" s="33">
        <f>+'A) Base RI'!U180</f>
        <v>64</v>
      </c>
      <c r="H179" s="274">
        <f t="shared" si="13"/>
        <v>0.94744409828048204</v>
      </c>
      <c r="I179" s="55">
        <f t="shared" si="14"/>
        <v>0</v>
      </c>
    </row>
    <row r="180" spans="1:9" x14ac:dyDescent="0.25">
      <c r="A180" s="49">
        <f>'A) Base RI'!A181</f>
        <v>5703</v>
      </c>
      <c r="B180" s="32" t="str">
        <f>'A) Base RI'!B181</f>
        <v>Bassins</v>
      </c>
      <c r="C180" s="95">
        <f>'A) Base RI'!V181</f>
        <v>1487</v>
      </c>
      <c r="D180" s="110">
        <f>'D) Ecrêtage'!E180</f>
        <v>44.922829739515869</v>
      </c>
      <c r="E180" s="34">
        <f t="shared" si="11"/>
        <v>3.5025584401381806</v>
      </c>
      <c r="F180" s="273">
        <f t="shared" si="12"/>
        <v>101952.55863950317</v>
      </c>
      <c r="G180" s="33">
        <f>+'A) Base RI'!U181</f>
        <v>72.5</v>
      </c>
      <c r="H180" s="274">
        <f t="shared" si="13"/>
        <v>1.0732765175833585</v>
      </c>
      <c r="I180" s="55">
        <f t="shared" si="14"/>
        <v>109423.28709531912</v>
      </c>
    </row>
    <row r="181" spans="1:9" x14ac:dyDescent="0.25">
      <c r="A181" s="49">
        <f>'A) Base RI'!A182</f>
        <v>5704</v>
      </c>
      <c r="B181" s="32" t="str">
        <f>'A) Base RI'!B182</f>
        <v>Begnins</v>
      </c>
      <c r="C181" s="95">
        <f>'A) Base RI'!V182</f>
        <v>1941</v>
      </c>
      <c r="D181" s="110">
        <f>'D) Ecrêtage'!E181</f>
        <v>104.24696218444103</v>
      </c>
      <c r="E181" s="34">
        <f t="shared" si="11"/>
        <v>0</v>
      </c>
      <c r="F181" s="273">
        <f t="shared" si="12"/>
        <v>0</v>
      </c>
      <c r="G181" s="33">
        <f>+'A) Base RI'!U182</f>
        <v>62.5</v>
      </c>
      <c r="H181" s="274">
        <f t="shared" si="13"/>
        <v>0.92523837722703328</v>
      </c>
      <c r="I181" s="55">
        <f t="shared" si="14"/>
        <v>0</v>
      </c>
    </row>
    <row r="182" spans="1:9" x14ac:dyDescent="0.25">
      <c r="A182" s="49">
        <f>'A) Base RI'!A183</f>
        <v>5705</v>
      </c>
      <c r="B182" s="32" t="str">
        <f>'A) Base RI'!B183</f>
        <v>Bogis-Bossey</v>
      </c>
      <c r="C182" s="95">
        <f>'A) Base RI'!V183</f>
        <v>888</v>
      </c>
      <c r="D182" s="110">
        <f>'D) Ecrêtage'!E182</f>
        <v>58.50601169961908</v>
      </c>
      <c r="E182" s="34">
        <f t="shared" si="11"/>
        <v>0</v>
      </c>
      <c r="F182" s="273">
        <f t="shared" si="12"/>
        <v>0</v>
      </c>
      <c r="G182" s="33">
        <f>+'A) Base RI'!U183</f>
        <v>74.5</v>
      </c>
      <c r="H182" s="274">
        <f t="shared" si="13"/>
        <v>1.1028841456546237</v>
      </c>
      <c r="I182" s="55">
        <f t="shared" si="14"/>
        <v>0</v>
      </c>
    </row>
    <row r="183" spans="1:9" x14ac:dyDescent="0.25">
      <c r="A183" s="49">
        <f>'A) Base RI'!A184</f>
        <v>5706</v>
      </c>
      <c r="B183" s="32" t="str">
        <f>'A) Base RI'!B184</f>
        <v>Borex</v>
      </c>
      <c r="C183" s="95">
        <f>'A) Base RI'!V184</f>
        <v>1165</v>
      </c>
      <c r="D183" s="110">
        <f>'D) Ecrêtage'!E183</f>
        <v>61.122743317521277</v>
      </c>
      <c r="E183" s="34">
        <f t="shared" si="11"/>
        <v>0</v>
      </c>
      <c r="F183" s="273">
        <f t="shared" si="12"/>
        <v>0</v>
      </c>
      <c r="G183" s="33">
        <f>+'A) Base RI'!U184</f>
        <v>57</v>
      </c>
      <c r="H183" s="274">
        <f t="shared" si="13"/>
        <v>0.84381740003105432</v>
      </c>
      <c r="I183" s="55">
        <f t="shared" si="14"/>
        <v>0</v>
      </c>
    </row>
    <row r="184" spans="1:9" x14ac:dyDescent="0.25">
      <c r="A184" s="49">
        <f>'A) Base RI'!A185</f>
        <v>5707</v>
      </c>
      <c r="B184" s="32" t="str">
        <f>'A) Base RI'!B185</f>
        <v>Chavannes-de-Bogis</v>
      </c>
      <c r="C184" s="95">
        <f>'A) Base RI'!V185</f>
        <v>1330</v>
      </c>
      <c r="D184" s="110">
        <f>'D) Ecrêtage'!E184</f>
        <v>66.181515469708771</v>
      </c>
      <c r="E184" s="34">
        <f t="shared" si="11"/>
        <v>0</v>
      </c>
      <c r="F184" s="273">
        <f t="shared" si="12"/>
        <v>0</v>
      </c>
      <c r="G184" s="33">
        <f>+'A) Base RI'!U185</f>
        <v>58</v>
      </c>
      <c r="H184" s="274">
        <f t="shared" si="13"/>
        <v>0.8586212140666869</v>
      </c>
      <c r="I184" s="55">
        <f t="shared" si="14"/>
        <v>0</v>
      </c>
    </row>
    <row r="185" spans="1:9" x14ac:dyDescent="0.25">
      <c r="A185" s="49">
        <f>'A) Base RI'!A186</f>
        <v>5708</v>
      </c>
      <c r="B185" s="32" t="str">
        <f>'A) Base RI'!B186</f>
        <v>Chavannes-des-Bois</v>
      </c>
      <c r="C185" s="95">
        <f>'A) Base RI'!V186</f>
        <v>1005</v>
      </c>
      <c r="D185" s="110">
        <f>'D) Ecrêtage'!E185</f>
        <v>66.668298507462694</v>
      </c>
      <c r="E185" s="34">
        <f t="shared" si="11"/>
        <v>0</v>
      </c>
      <c r="F185" s="273">
        <f t="shared" si="12"/>
        <v>0</v>
      </c>
      <c r="G185" s="33">
        <f>+'A) Base RI'!U186</f>
        <v>68</v>
      </c>
      <c r="H185" s="274">
        <f t="shared" si="13"/>
        <v>1.0066593544230122</v>
      </c>
      <c r="I185" s="55">
        <f t="shared" si="14"/>
        <v>0</v>
      </c>
    </row>
    <row r="186" spans="1:9" x14ac:dyDescent="0.25">
      <c r="A186" s="49">
        <f>'A) Base RI'!A187</f>
        <v>5709</v>
      </c>
      <c r="B186" s="32" t="str">
        <f>'A) Base RI'!B187</f>
        <v>Chéserex</v>
      </c>
      <c r="C186" s="95">
        <f>'A) Base RI'!V187</f>
        <v>1263</v>
      </c>
      <c r="D186" s="110">
        <f>'D) Ecrêtage'!E186</f>
        <v>69.946465252601016</v>
      </c>
      <c r="E186" s="34">
        <f t="shared" si="11"/>
        <v>0</v>
      </c>
      <c r="F186" s="273">
        <f t="shared" si="12"/>
        <v>0</v>
      </c>
      <c r="G186" s="33">
        <f>+'A) Base RI'!U187</f>
        <v>57</v>
      </c>
      <c r="H186" s="274">
        <f t="shared" si="13"/>
        <v>0.84381740003105432</v>
      </c>
      <c r="I186" s="55">
        <f t="shared" si="14"/>
        <v>0</v>
      </c>
    </row>
    <row r="187" spans="1:9" x14ac:dyDescent="0.25">
      <c r="A187" s="49">
        <f>'A) Base RI'!A188</f>
        <v>5710</v>
      </c>
      <c r="B187" s="32" t="str">
        <f>'A) Base RI'!B188</f>
        <v>Coinsins</v>
      </c>
      <c r="C187" s="95">
        <f>'A) Base RI'!V188</f>
        <v>508</v>
      </c>
      <c r="D187" s="110">
        <f>'D) Ecrêtage'!E187</f>
        <v>85.457214759919736</v>
      </c>
      <c r="E187" s="34">
        <f t="shared" si="11"/>
        <v>0</v>
      </c>
      <c r="F187" s="273">
        <f t="shared" si="12"/>
        <v>0</v>
      </c>
      <c r="G187" s="33">
        <f>+'A) Base RI'!U188</f>
        <v>51</v>
      </c>
      <c r="H187" s="274">
        <f t="shared" si="13"/>
        <v>0.75499451581725918</v>
      </c>
      <c r="I187" s="55">
        <f t="shared" si="14"/>
        <v>0</v>
      </c>
    </row>
    <row r="188" spans="1:9" x14ac:dyDescent="0.25">
      <c r="A188" s="49">
        <f>'A) Base RI'!A189</f>
        <v>5711</v>
      </c>
      <c r="B188" s="32" t="str">
        <f>'A) Base RI'!B189</f>
        <v>Commugny</v>
      </c>
      <c r="C188" s="95">
        <f>'A) Base RI'!V189</f>
        <v>3001</v>
      </c>
      <c r="D188" s="110">
        <f>'D) Ecrêtage'!E188</f>
        <v>95.392547386029548</v>
      </c>
      <c r="E188" s="34">
        <f t="shared" si="11"/>
        <v>0</v>
      </c>
      <c r="F188" s="273">
        <f t="shared" si="12"/>
        <v>0</v>
      </c>
      <c r="G188" s="33">
        <f>+'A) Base RI'!U189</f>
        <v>55.5</v>
      </c>
      <c r="H188" s="274">
        <f t="shared" si="13"/>
        <v>0.82161167897760556</v>
      </c>
      <c r="I188" s="55">
        <f t="shared" si="14"/>
        <v>0</v>
      </c>
    </row>
    <row r="189" spans="1:9" x14ac:dyDescent="0.25">
      <c r="A189" s="49">
        <f>'A) Base RI'!A190</f>
        <v>5712</v>
      </c>
      <c r="B189" s="32" t="str">
        <f>'A) Base RI'!B190</f>
        <v>Coppet</v>
      </c>
      <c r="C189" s="95">
        <f>'A) Base RI'!V190</f>
        <v>3211</v>
      </c>
      <c r="D189" s="110">
        <f>'D) Ecrêtage'!E189</f>
        <v>103.94095127010337</v>
      </c>
      <c r="E189" s="34">
        <f t="shared" si="11"/>
        <v>0</v>
      </c>
      <c r="F189" s="273">
        <f t="shared" si="12"/>
        <v>0</v>
      </c>
      <c r="G189" s="33">
        <f>+'A) Base RI'!U190</f>
        <v>53</v>
      </c>
      <c r="H189" s="274">
        <f t="shared" si="13"/>
        <v>0.78460214388852423</v>
      </c>
      <c r="I189" s="55">
        <f t="shared" si="14"/>
        <v>0</v>
      </c>
    </row>
    <row r="190" spans="1:9" x14ac:dyDescent="0.25">
      <c r="A190" s="49">
        <f>'A) Base RI'!A191</f>
        <v>5713</v>
      </c>
      <c r="B190" s="32" t="str">
        <f>'A) Base RI'!B191</f>
        <v>Crans</v>
      </c>
      <c r="C190" s="95">
        <f>'A) Base RI'!V191</f>
        <v>2373</v>
      </c>
      <c r="D190" s="110">
        <f>'D) Ecrêtage'!E190</f>
        <v>127.47779174944313</v>
      </c>
      <c r="E190" s="34">
        <f t="shared" si="11"/>
        <v>0</v>
      </c>
      <c r="F190" s="273">
        <f t="shared" si="12"/>
        <v>0</v>
      </c>
      <c r="G190" s="33">
        <f>+'A) Base RI'!U191</f>
        <v>56</v>
      </c>
      <c r="H190" s="274">
        <f t="shared" si="13"/>
        <v>0.82901358599542185</v>
      </c>
      <c r="I190" s="55">
        <f t="shared" si="14"/>
        <v>0</v>
      </c>
    </row>
    <row r="191" spans="1:9" x14ac:dyDescent="0.25">
      <c r="A191" s="49">
        <f>'A) Base RI'!A192</f>
        <v>5714</v>
      </c>
      <c r="B191" s="32" t="str">
        <f>'A) Base RI'!B192</f>
        <v>Crassier</v>
      </c>
      <c r="C191" s="95">
        <f>'A) Base RI'!V192</f>
        <v>1228</v>
      </c>
      <c r="D191" s="110">
        <f>'D) Ecrêtage'!E191</f>
        <v>50.599372844414631</v>
      </c>
      <c r="E191" s="34">
        <f t="shared" si="11"/>
        <v>0</v>
      </c>
      <c r="F191" s="273">
        <f t="shared" si="12"/>
        <v>0</v>
      </c>
      <c r="G191" s="33">
        <f>+'A) Base RI'!U192</f>
        <v>68</v>
      </c>
      <c r="H191" s="274">
        <f t="shared" si="13"/>
        <v>1.0066593544230122</v>
      </c>
      <c r="I191" s="55">
        <f t="shared" si="14"/>
        <v>0</v>
      </c>
    </row>
    <row r="192" spans="1:9" x14ac:dyDescent="0.25">
      <c r="A192" s="49">
        <f>'A) Base RI'!A193</f>
        <v>5715</v>
      </c>
      <c r="B192" s="32" t="str">
        <f>'A) Base RI'!B193</f>
        <v>Duillier</v>
      </c>
      <c r="C192" s="95">
        <f>'A) Base RI'!V193</f>
        <v>1146</v>
      </c>
      <c r="D192" s="110">
        <f>'D) Ecrêtage'!E192</f>
        <v>61.426814479877308</v>
      </c>
      <c r="E192" s="34">
        <f t="shared" si="11"/>
        <v>0</v>
      </c>
      <c r="F192" s="273">
        <f t="shared" si="12"/>
        <v>0</v>
      </c>
      <c r="G192" s="33">
        <f>+'A) Base RI'!U193</f>
        <v>66</v>
      </c>
      <c r="H192" s="274">
        <f t="shared" si="13"/>
        <v>0.97705172635174709</v>
      </c>
      <c r="I192" s="55">
        <f t="shared" si="14"/>
        <v>0</v>
      </c>
    </row>
    <row r="193" spans="1:9" x14ac:dyDescent="0.25">
      <c r="A193" s="49">
        <f>'A) Base RI'!A194</f>
        <v>5716</v>
      </c>
      <c r="B193" s="32" t="str">
        <f>'A) Base RI'!B194</f>
        <v>Eysins</v>
      </c>
      <c r="C193" s="95">
        <f>'A) Base RI'!V194</f>
        <v>1736</v>
      </c>
      <c r="D193" s="110">
        <f>'D) Ecrêtage'!E193</f>
        <v>117.42763021337568</v>
      </c>
      <c r="E193" s="34">
        <f t="shared" si="11"/>
        <v>0</v>
      </c>
      <c r="F193" s="273">
        <f t="shared" si="12"/>
        <v>0</v>
      </c>
      <c r="G193" s="33">
        <f>+'A) Base RI'!U194</f>
        <v>59.5</v>
      </c>
      <c r="H193" s="274">
        <f t="shared" si="13"/>
        <v>0.88082693512013566</v>
      </c>
      <c r="I193" s="55">
        <f t="shared" si="14"/>
        <v>0</v>
      </c>
    </row>
    <row r="194" spans="1:9" x14ac:dyDescent="0.25">
      <c r="A194" s="49">
        <f>'A) Base RI'!A195</f>
        <v>5717</v>
      </c>
      <c r="B194" s="32" t="str">
        <f>'A) Base RI'!B195</f>
        <v>Founex</v>
      </c>
      <c r="C194" s="95">
        <f>'A) Base RI'!V195</f>
        <v>3822</v>
      </c>
      <c r="D194" s="110">
        <f>'D) Ecrêtage'!E194</f>
        <v>102.23148090005232</v>
      </c>
      <c r="E194" s="34">
        <f t="shared" si="11"/>
        <v>0</v>
      </c>
      <c r="F194" s="273">
        <f t="shared" si="12"/>
        <v>0</v>
      </c>
      <c r="G194" s="33">
        <f>+'A) Base RI'!U195</f>
        <v>57</v>
      </c>
      <c r="H194" s="274">
        <f t="shared" si="13"/>
        <v>0.84381740003105432</v>
      </c>
      <c r="I194" s="55">
        <f t="shared" si="14"/>
        <v>0</v>
      </c>
    </row>
    <row r="195" spans="1:9" x14ac:dyDescent="0.25">
      <c r="A195" s="49">
        <f>'A) Base RI'!A196</f>
        <v>5718</v>
      </c>
      <c r="B195" s="32" t="str">
        <f>'A) Base RI'!B196</f>
        <v>Genolier</v>
      </c>
      <c r="C195" s="95">
        <f>'A) Base RI'!V196</f>
        <v>2022</v>
      </c>
      <c r="D195" s="110">
        <f>'D) Ecrêtage'!E195</f>
        <v>95.091282258789676</v>
      </c>
      <c r="E195" s="34">
        <f t="shared" si="11"/>
        <v>0</v>
      </c>
      <c r="F195" s="273">
        <f t="shared" si="12"/>
        <v>0</v>
      </c>
      <c r="G195" s="33">
        <f>+'A) Base RI'!U196</f>
        <v>55</v>
      </c>
      <c r="H195" s="274">
        <f t="shared" si="13"/>
        <v>0.81420977195978927</v>
      </c>
      <c r="I195" s="55">
        <f t="shared" si="14"/>
        <v>0</v>
      </c>
    </row>
    <row r="196" spans="1:9" x14ac:dyDescent="0.25">
      <c r="A196" s="49">
        <f>'A) Base RI'!A197</f>
        <v>5719</v>
      </c>
      <c r="B196" s="32" t="str">
        <f>'A) Base RI'!B197</f>
        <v>Gingins</v>
      </c>
      <c r="C196" s="95">
        <f>'A) Base RI'!V197</f>
        <v>1265</v>
      </c>
      <c r="D196" s="110">
        <f>'D) Ecrêtage'!E196</f>
        <v>119.60213017127803</v>
      </c>
      <c r="E196" s="34">
        <f t="shared" si="11"/>
        <v>0</v>
      </c>
      <c r="F196" s="273">
        <f t="shared" si="12"/>
        <v>0</v>
      </c>
      <c r="G196" s="33">
        <f>+'A) Base RI'!U197</f>
        <v>60</v>
      </c>
      <c r="H196" s="274">
        <f t="shared" si="13"/>
        <v>0.88822884213795195</v>
      </c>
      <c r="I196" s="55">
        <f t="shared" si="14"/>
        <v>0</v>
      </c>
    </row>
    <row r="197" spans="1:9" x14ac:dyDescent="0.25">
      <c r="A197" s="49">
        <f>'A) Base RI'!A198</f>
        <v>5720</v>
      </c>
      <c r="B197" s="32" t="str">
        <f>'A) Base RI'!B198</f>
        <v>Givrins</v>
      </c>
      <c r="C197" s="95">
        <f>'A) Base RI'!V198</f>
        <v>1010</v>
      </c>
      <c r="D197" s="110">
        <f>'D) Ecrêtage'!E197</f>
        <v>74.049336518726506</v>
      </c>
      <c r="E197" s="34">
        <f t="shared" si="11"/>
        <v>0</v>
      </c>
      <c r="F197" s="273">
        <f t="shared" si="12"/>
        <v>0</v>
      </c>
      <c r="G197" s="33">
        <f>+'A) Base RI'!U198</f>
        <v>67</v>
      </c>
      <c r="H197" s="274">
        <f t="shared" si="13"/>
        <v>0.99185554038737966</v>
      </c>
      <c r="I197" s="55">
        <f t="shared" si="14"/>
        <v>0</v>
      </c>
    </row>
    <row r="198" spans="1:9" x14ac:dyDescent="0.25">
      <c r="A198" s="49">
        <f>'A) Base RI'!A199</f>
        <v>5721</v>
      </c>
      <c r="B198" s="32" t="str">
        <f>'A) Base RI'!B199</f>
        <v>Gland</v>
      </c>
      <c r="C198" s="95">
        <f>'A) Base RI'!V199</f>
        <v>13306</v>
      </c>
      <c r="D198" s="110">
        <f>'D) Ecrêtage'!E198</f>
        <v>54.338179164828887</v>
      </c>
      <c r="E198" s="34">
        <f t="shared" ref="E198:E261" si="15">IF($D$314-D198&lt;0,0,$D$314-D198)</f>
        <v>0</v>
      </c>
      <c r="F198" s="273">
        <f t="shared" ref="F198:F261" si="16">(C198*E198*G198)*$E$5</f>
        <v>0</v>
      </c>
      <c r="G198" s="33">
        <f>+'A) Base RI'!U199</f>
        <v>61</v>
      </c>
      <c r="H198" s="274">
        <f t="shared" ref="H198:H261" si="17">G198/$G$314</f>
        <v>0.90303265617358441</v>
      </c>
      <c r="I198" s="55">
        <f t="shared" ref="I198:I261" si="18">F198*H198</f>
        <v>0</v>
      </c>
    </row>
    <row r="199" spans="1:9" x14ac:dyDescent="0.25">
      <c r="A199" s="49">
        <f>'A) Base RI'!A200</f>
        <v>5722</v>
      </c>
      <c r="B199" s="32" t="str">
        <f>'A) Base RI'!B200</f>
        <v>Grens</v>
      </c>
      <c r="C199" s="95">
        <f>'A) Base RI'!V200</f>
        <v>401</v>
      </c>
      <c r="D199" s="110">
        <f>'D) Ecrêtage'!E199</f>
        <v>55.652770895342307</v>
      </c>
      <c r="E199" s="34">
        <f t="shared" si="15"/>
        <v>0</v>
      </c>
      <c r="F199" s="273">
        <f t="shared" si="16"/>
        <v>0</v>
      </c>
      <c r="G199" s="33">
        <f>+'A) Base RI'!U200</f>
        <v>62</v>
      </c>
      <c r="H199" s="274">
        <f t="shared" si="17"/>
        <v>0.91783647020921699</v>
      </c>
      <c r="I199" s="55">
        <f t="shared" si="18"/>
        <v>0</v>
      </c>
    </row>
    <row r="200" spans="1:9" x14ac:dyDescent="0.25">
      <c r="A200" s="49">
        <f>'A) Base RI'!A201</f>
        <v>5723</v>
      </c>
      <c r="B200" s="32" t="str">
        <f>'A) Base RI'!B201</f>
        <v>Mies</v>
      </c>
      <c r="C200" s="95">
        <f>'A) Base RI'!V201</f>
        <v>2195</v>
      </c>
      <c r="D200" s="110">
        <f>'D) Ecrêtage'!E200</f>
        <v>112.06143297704573</v>
      </c>
      <c r="E200" s="34">
        <f t="shared" si="15"/>
        <v>0</v>
      </c>
      <c r="F200" s="273">
        <f t="shared" si="16"/>
        <v>0</v>
      </c>
      <c r="G200" s="33">
        <f>+'A) Base RI'!U201</f>
        <v>52</v>
      </c>
      <c r="H200" s="274">
        <f t="shared" si="17"/>
        <v>0.76979832985289165</v>
      </c>
      <c r="I200" s="55">
        <f t="shared" si="18"/>
        <v>0</v>
      </c>
    </row>
    <row r="201" spans="1:9" x14ac:dyDescent="0.25">
      <c r="A201" s="49">
        <f>'A) Base RI'!A202</f>
        <v>5724</v>
      </c>
      <c r="B201" s="32" t="str">
        <f>'A) Base RI'!B202</f>
        <v>Nyon</v>
      </c>
      <c r="C201" s="95">
        <f>'A) Base RI'!V202</f>
        <v>22124</v>
      </c>
      <c r="D201" s="110">
        <f>'D) Ecrêtage'!E201</f>
        <v>66.076343994554279</v>
      </c>
      <c r="E201" s="34">
        <f t="shared" si="15"/>
        <v>0</v>
      </c>
      <c r="F201" s="273">
        <f t="shared" si="16"/>
        <v>0</v>
      </c>
      <c r="G201" s="33">
        <f>+'A) Base RI'!U202</f>
        <v>61</v>
      </c>
      <c r="H201" s="274">
        <f t="shared" si="17"/>
        <v>0.90303265617358441</v>
      </c>
      <c r="I201" s="55">
        <f t="shared" si="18"/>
        <v>0</v>
      </c>
    </row>
    <row r="202" spans="1:9" x14ac:dyDescent="0.25">
      <c r="A202" s="49">
        <f>'A) Base RI'!A203</f>
        <v>5725</v>
      </c>
      <c r="B202" s="32" t="str">
        <f>'A) Base RI'!B203</f>
        <v>Prangins</v>
      </c>
      <c r="C202" s="95">
        <f>'A) Base RI'!V203</f>
        <v>4060</v>
      </c>
      <c r="D202" s="110">
        <f>'D) Ecrêtage'!E202</f>
        <v>87.458765568421754</v>
      </c>
      <c r="E202" s="34">
        <f t="shared" si="15"/>
        <v>0</v>
      </c>
      <c r="F202" s="273">
        <f t="shared" si="16"/>
        <v>0</v>
      </c>
      <c r="G202" s="33">
        <f>+'A) Base RI'!U203</f>
        <v>55</v>
      </c>
      <c r="H202" s="274">
        <f t="shared" si="17"/>
        <v>0.81420977195978927</v>
      </c>
      <c r="I202" s="55">
        <f t="shared" si="18"/>
        <v>0</v>
      </c>
    </row>
    <row r="203" spans="1:9" x14ac:dyDescent="0.25">
      <c r="A203" s="49">
        <f>'A) Base RI'!A204</f>
        <v>5726</v>
      </c>
      <c r="B203" s="32" t="str">
        <f>'A) Base RI'!B204</f>
        <v>La Rippe</v>
      </c>
      <c r="C203" s="95">
        <f>'A) Base RI'!V204</f>
        <v>1165</v>
      </c>
      <c r="D203" s="110">
        <f>'D) Ecrêtage'!E203</f>
        <v>60.400403165236057</v>
      </c>
      <c r="E203" s="34">
        <f t="shared" si="15"/>
        <v>0</v>
      </c>
      <c r="F203" s="273">
        <f t="shared" si="16"/>
        <v>0</v>
      </c>
      <c r="G203" s="33">
        <f>+'A) Base RI'!U204</f>
        <v>64</v>
      </c>
      <c r="H203" s="274">
        <f t="shared" si="17"/>
        <v>0.94744409828048204</v>
      </c>
      <c r="I203" s="55">
        <f t="shared" si="18"/>
        <v>0</v>
      </c>
    </row>
    <row r="204" spans="1:9" x14ac:dyDescent="0.25">
      <c r="A204" s="49">
        <f>'A) Base RI'!A205</f>
        <v>5727</v>
      </c>
      <c r="B204" s="32" t="str">
        <f>'A) Base RI'!B205</f>
        <v>Saint-Cergue</v>
      </c>
      <c r="C204" s="95">
        <f>'A) Base RI'!V205</f>
        <v>2755</v>
      </c>
      <c r="D204" s="110">
        <f>'D) Ecrêtage'!E204</f>
        <v>38.538404370382601</v>
      </c>
      <c r="E204" s="34">
        <f t="shared" si="15"/>
        <v>9.8869838092714488</v>
      </c>
      <c r="F204" s="273">
        <f t="shared" si="16"/>
        <v>485392.57183075347</v>
      </c>
      <c r="G204" s="33">
        <f>+'A) Base RI'!U205</f>
        <v>66</v>
      </c>
      <c r="H204" s="274">
        <f t="shared" si="17"/>
        <v>0.97705172635174709</v>
      </c>
      <c r="I204" s="55">
        <f t="shared" si="18"/>
        <v>474253.6502655521</v>
      </c>
    </row>
    <row r="205" spans="1:9" x14ac:dyDescent="0.25">
      <c r="A205" s="49">
        <f>'A) Base RI'!A206</f>
        <v>5728</v>
      </c>
      <c r="B205" s="32" t="str">
        <f>'A) Base RI'!B206</f>
        <v>Signy-Avenex</v>
      </c>
      <c r="C205" s="95">
        <f>'A) Base RI'!V206</f>
        <v>584</v>
      </c>
      <c r="D205" s="110">
        <f>'D) Ecrêtage'!E205</f>
        <v>96.707236655644792</v>
      </c>
      <c r="E205" s="34">
        <f t="shared" si="15"/>
        <v>0</v>
      </c>
      <c r="F205" s="273">
        <f t="shared" si="16"/>
        <v>0</v>
      </c>
      <c r="G205" s="33">
        <f>+'A) Base RI'!U206</f>
        <v>58</v>
      </c>
      <c r="H205" s="274">
        <f t="shared" si="17"/>
        <v>0.8586212140666869</v>
      </c>
      <c r="I205" s="55">
        <f t="shared" si="18"/>
        <v>0</v>
      </c>
    </row>
    <row r="206" spans="1:9" x14ac:dyDescent="0.25">
      <c r="A206" s="49">
        <f>'A) Base RI'!A207</f>
        <v>5729</v>
      </c>
      <c r="B206" s="32" t="str">
        <f>'A) Base RI'!B207</f>
        <v>Tannay</v>
      </c>
      <c r="C206" s="95">
        <f>'A) Base RI'!V207</f>
        <v>1644</v>
      </c>
      <c r="D206" s="110">
        <f>'D) Ecrêtage'!E206</f>
        <v>98.350389562512973</v>
      </c>
      <c r="E206" s="34">
        <f t="shared" si="15"/>
        <v>0</v>
      </c>
      <c r="F206" s="273">
        <f t="shared" si="16"/>
        <v>0</v>
      </c>
      <c r="G206" s="33">
        <f>+'A) Base RI'!U207</f>
        <v>60.5</v>
      </c>
      <c r="H206" s="274">
        <f t="shared" si="17"/>
        <v>0.89563074915576824</v>
      </c>
      <c r="I206" s="55">
        <f t="shared" si="18"/>
        <v>0</v>
      </c>
    </row>
    <row r="207" spans="1:9" x14ac:dyDescent="0.25">
      <c r="A207" s="49">
        <f>'A) Base RI'!A208</f>
        <v>5730</v>
      </c>
      <c r="B207" s="32" t="str">
        <f>'A) Base RI'!B208</f>
        <v>Trélex</v>
      </c>
      <c r="C207" s="95">
        <f>'A) Base RI'!V208</f>
        <v>1439</v>
      </c>
      <c r="D207" s="110">
        <f>'D) Ecrêtage'!E207</f>
        <v>86.925398741340388</v>
      </c>
      <c r="E207" s="34">
        <f t="shared" si="15"/>
        <v>0</v>
      </c>
      <c r="F207" s="273">
        <f t="shared" si="16"/>
        <v>0</v>
      </c>
      <c r="G207" s="33">
        <f>+'A) Base RI'!U208</f>
        <v>55.5</v>
      </c>
      <c r="H207" s="274">
        <f t="shared" si="17"/>
        <v>0.82161167897760556</v>
      </c>
      <c r="I207" s="55">
        <f t="shared" si="18"/>
        <v>0</v>
      </c>
    </row>
    <row r="208" spans="1:9" x14ac:dyDescent="0.25">
      <c r="A208" s="49">
        <f>'A) Base RI'!A209</f>
        <v>5731</v>
      </c>
      <c r="B208" s="32" t="str">
        <f>'A) Base RI'!B209</f>
        <v>Le Vaud</v>
      </c>
      <c r="C208" s="95">
        <f>'A) Base RI'!V209</f>
        <v>1387</v>
      </c>
      <c r="D208" s="110">
        <f>'D) Ecrêtage'!E208</f>
        <v>50.177803380164583</v>
      </c>
      <c r="E208" s="34">
        <f t="shared" si="15"/>
        <v>0</v>
      </c>
      <c r="F208" s="273">
        <f t="shared" si="16"/>
        <v>0</v>
      </c>
      <c r="G208" s="33">
        <f>+'A) Base RI'!U209</f>
        <v>74</v>
      </c>
      <c r="H208" s="274">
        <f t="shared" si="17"/>
        <v>1.0954822386368073</v>
      </c>
      <c r="I208" s="55">
        <f t="shared" si="18"/>
        <v>0</v>
      </c>
    </row>
    <row r="209" spans="1:9" x14ac:dyDescent="0.25">
      <c r="A209" s="49">
        <f>'A) Base RI'!A210</f>
        <v>5732</v>
      </c>
      <c r="B209" s="32" t="str">
        <f>'A) Base RI'!B210</f>
        <v>Vich</v>
      </c>
      <c r="C209" s="95">
        <f>'A) Base RI'!V210</f>
        <v>1157</v>
      </c>
      <c r="D209" s="110">
        <f>'D) Ecrêtage'!E209</f>
        <v>74.795187197322022</v>
      </c>
      <c r="E209" s="34">
        <f t="shared" si="15"/>
        <v>0</v>
      </c>
      <c r="F209" s="273">
        <f t="shared" si="16"/>
        <v>0</v>
      </c>
      <c r="G209" s="33">
        <f>+'A) Base RI'!U210</f>
        <v>63</v>
      </c>
      <c r="H209" s="274">
        <f t="shared" si="17"/>
        <v>0.93264028424484957</v>
      </c>
      <c r="I209" s="55">
        <f t="shared" si="18"/>
        <v>0</v>
      </c>
    </row>
    <row r="210" spans="1:9" x14ac:dyDescent="0.25">
      <c r="A210" s="49">
        <f>'A) Base RI'!A211</f>
        <v>5741</v>
      </c>
      <c r="B210" s="32" t="str">
        <f>'A) Base RI'!B211</f>
        <v>L'Abergement</v>
      </c>
      <c r="C210" s="95">
        <f>'A) Base RI'!V211</f>
        <v>256</v>
      </c>
      <c r="D210" s="110">
        <f>'D) Ecrêtage'!E210</f>
        <v>35.106946453832307</v>
      </c>
      <c r="E210" s="34">
        <f t="shared" si="15"/>
        <v>13.318441725821742</v>
      </c>
      <c r="F210" s="273">
        <f t="shared" si="16"/>
        <v>74566.226059192704</v>
      </c>
      <c r="G210" s="33">
        <f>+'A) Base RI'!U211</f>
        <v>81</v>
      </c>
      <c r="H210" s="274">
        <f t="shared" si="17"/>
        <v>1.1991089368862351</v>
      </c>
      <c r="I210" s="55">
        <f t="shared" si="18"/>
        <v>89413.028057457239</v>
      </c>
    </row>
    <row r="211" spans="1:9" x14ac:dyDescent="0.25">
      <c r="A211" s="49">
        <f>'A) Base RI'!A212</f>
        <v>5742</v>
      </c>
      <c r="B211" s="32" t="str">
        <f>'A) Base RI'!B212</f>
        <v>Agiez</v>
      </c>
      <c r="C211" s="95">
        <f>'A) Base RI'!V212</f>
        <v>375</v>
      </c>
      <c r="D211" s="110">
        <f>'D) Ecrêtage'!E211</f>
        <v>27.093518947368423</v>
      </c>
      <c r="E211" s="34">
        <f t="shared" si="15"/>
        <v>21.331869232285626</v>
      </c>
      <c r="F211" s="273">
        <f t="shared" si="16"/>
        <v>164148.73374243794</v>
      </c>
      <c r="G211" s="33">
        <f>+'A) Base RI'!U212</f>
        <v>76</v>
      </c>
      <c r="H211" s="274">
        <f t="shared" si="17"/>
        <v>1.1250898667080724</v>
      </c>
      <c r="I211" s="55">
        <f t="shared" si="18"/>
        <v>184682.07696657837</v>
      </c>
    </row>
    <row r="212" spans="1:9" x14ac:dyDescent="0.25">
      <c r="A212" s="49">
        <f>'A) Base RI'!A213</f>
        <v>5743</v>
      </c>
      <c r="B212" s="32" t="str">
        <f>'A) Base RI'!B213</f>
        <v>Arnex-sur-Orbe</v>
      </c>
      <c r="C212" s="95">
        <f>'A) Base RI'!V213</f>
        <v>665</v>
      </c>
      <c r="D212" s="110">
        <f>'D) Ecrêtage'!E212</f>
        <v>27.869350100603629</v>
      </c>
      <c r="E212" s="34">
        <f t="shared" si="15"/>
        <v>20.55603807905042</v>
      </c>
      <c r="F212" s="273">
        <f t="shared" si="16"/>
        <v>262049.40123363872</v>
      </c>
      <c r="G212" s="33">
        <f>+'A) Base RI'!U213</f>
        <v>71</v>
      </c>
      <c r="H212" s="274">
        <f t="shared" si="17"/>
        <v>1.0510707965299098</v>
      </c>
      <c r="I212" s="55">
        <f t="shared" si="18"/>
        <v>275432.47288482659</v>
      </c>
    </row>
    <row r="213" spans="1:9" x14ac:dyDescent="0.25">
      <c r="A213" s="49">
        <f>'A) Base RI'!A214</f>
        <v>5744</v>
      </c>
      <c r="B213" s="32" t="str">
        <f>'A) Base RI'!B214</f>
        <v>Ballaigues</v>
      </c>
      <c r="C213" s="95">
        <f>'A) Base RI'!V214</f>
        <v>1173</v>
      </c>
      <c r="D213" s="110">
        <f>'D) Ecrêtage'!E213</f>
        <v>41.982318578267432</v>
      </c>
      <c r="E213" s="34">
        <f t="shared" si="15"/>
        <v>6.4430696013866182</v>
      </c>
      <c r="F213" s="273">
        <f t="shared" si="16"/>
        <v>132637.99727458516</v>
      </c>
      <c r="G213" s="33">
        <f>+'A) Base RI'!U214</f>
        <v>65</v>
      </c>
      <c r="H213" s="274">
        <f t="shared" si="17"/>
        <v>0.96224791231611462</v>
      </c>
      <c r="I213" s="55">
        <f t="shared" si="18"/>
        <v>127630.63597126007</v>
      </c>
    </row>
    <row r="214" spans="1:9" x14ac:dyDescent="0.25">
      <c r="A214" s="49">
        <f>'A) Base RI'!A215</f>
        <v>5745</v>
      </c>
      <c r="B214" s="32" t="str">
        <f>'A) Base RI'!B215</f>
        <v>Baulmes</v>
      </c>
      <c r="C214" s="95">
        <f>'A) Base RI'!V215</f>
        <v>1126</v>
      </c>
      <c r="D214" s="110">
        <f>'D) Ecrêtage'!E214</f>
        <v>25.285588061156968</v>
      </c>
      <c r="E214" s="34">
        <f t="shared" si="15"/>
        <v>23.139800118497082</v>
      </c>
      <c r="F214" s="273">
        <f t="shared" si="16"/>
        <v>538174.5954499495</v>
      </c>
      <c r="G214" s="33">
        <f>+'A) Base RI'!U215</f>
        <v>76.5</v>
      </c>
      <c r="H214" s="274">
        <f t="shared" si="17"/>
        <v>1.1324917737258886</v>
      </c>
      <c r="I214" s="55">
        <f t="shared" si="18"/>
        <v>609478.30217532581</v>
      </c>
    </row>
    <row r="215" spans="1:9" x14ac:dyDescent="0.25">
      <c r="A215" s="49">
        <f>'A) Base RI'!A216</f>
        <v>5746</v>
      </c>
      <c r="B215" s="32" t="str">
        <f>'A) Base RI'!B216</f>
        <v>Bavois</v>
      </c>
      <c r="C215" s="95">
        <f>'A) Base RI'!V216</f>
        <v>978</v>
      </c>
      <c r="D215" s="110">
        <f>'D) Ecrêtage'!E215</f>
        <v>28.024667595783022</v>
      </c>
      <c r="E215" s="34">
        <f t="shared" si="15"/>
        <v>20.400720583871028</v>
      </c>
      <c r="F215" s="273">
        <f t="shared" si="16"/>
        <v>393252.04224851984</v>
      </c>
      <c r="G215" s="33">
        <f>+'A) Base RI'!U216</f>
        <v>73</v>
      </c>
      <c r="H215" s="274">
        <f t="shared" si="17"/>
        <v>1.0806784246011749</v>
      </c>
      <c r="I215" s="55">
        <f t="shared" si="18"/>
        <v>424978.99748832511</v>
      </c>
    </row>
    <row r="216" spans="1:9" x14ac:dyDescent="0.25">
      <c r="A216" s="49">
        <f>'A) Base RI'!A217</f>
        <v>5747</v>
      </c>
      <c r="B216" s="32" t="str">
        <f>'A) Base RI'!B217</f>
        <v>Bofflens</v>
      </c>
      <c r="C216" s="95">
        <f>'A) Base RI'!V217</f>
        <v>206</v>
      </c>
      <c r="D216" s="110">
        <f>'D) Ecrêtage'!E216</f>
        <v>28.195028844800895</v>
      </c>
      <c r="E216" s="34">
        <f t="shared" si="15"/>
        <v>20.230359334853155</v>
      </c>
      <c r="F216" s="273">
        <f t="shared" si="16"/>
        <v>77639.668448112745</v>
      </c>
      <c r="G216" s="33">
        <f>+'A) Base RI'!U217</f>
        <v>69</v>
      </c>
      <c r="H216" s="274">
        <f t="shared" si="17"/>
        <v>1.0214631684586448</v>
      </c>
      <c r="I216" s="55">
        <f t="shared" si="18"/>
        <v>79306.061731087917</v>
      </c>
    </row>
    <row r="217" spans="1:9" x14ac:dyDescent="0.25">
      <c r="A217" s="49">
        <f>'A) Base RI'!A218</f>
        <v>5748</v>
      </c>
      <c r="B217" s="32" t="str">
        <f>'A) Base RI'!B218</f>
        <v>Bretonnières</v>
      </c>
      <c r="C217" s="95">
        <f>'A) Base RI'!V218</f>
        <v>266</v>
      </c>
      <c r="D217" s="110">
        <f>'D) Ecrêtage'!E217</f>
        <v>24.975997618158871</v>
      </c>
      <c r="E217" s="34">
        <f t="shared" si="15"/>
        <v>23.449390561495179</v>
      </c>
      <c r="F217" s="273">
        <f t="shared" si="16"/>
        <v>118731.53372392416</v>
      </c>
      <c r="G217" s="33">
        <f>+'A) Base RI'!U218</f>
        <v>70.5</v>
      </c>
      <c r="H217" s="274">
        <f t="shared" si="17"/>
        <v>1.0436688895120936</v>
      </c>
      <c r="I217" s="55">
        <f t="shared" si="18"/>
        <v>123916.40795171562</v>
      </c>
    </row>
    <row r="218" spans="1:9" x14ac:dyDescent="0.25">
      <c r="A218" s="49">
        <f>'A) Base RI'!A219</f>
        <v>5749</v>
      </c>
      <c r="B218" s="32" t="str">
        <f>'A) Base RI'!B219</f>
        <v>Chavornay</v>
      </c>
      <c r="C218" s="95">
        <f>'A) Base RI'!V219</f>
        <v>5366</v>
      </c>
      <c r="D218" s="110">
        <f>'D) Ecrêtage'!E218</f>
        <v>28.575962892179025</v>
      </c>
      <c r="E218" s="34">
        <f t="shared" si="15"/>
        <v>19.849425287475025</v>
      </c>
      <c r="F218" s="273">
        <f t="shared" si="16"/>
        <v>2027456.2263224695</v>
      </c>
      <c r="G218" s="33">
        <f>+'A) Base RI'!U219</f>
        <v>70.5</v>
      </c>
      <c r="H218" s="274">
        <f t="shared" si="17"/>
        <v>1.0436688895120936</v>
      </c>
      <c r="I218" s="55">
        <f t="shared" si="18"/>
        <v>2115992.9882603516</v>
      </c>
    </row>
    <row r="219" spans="1:9" x14ac:dyDescent="0.25">
      <c r="A219" s="49">
        <f>'A) Base RI'!A220</f>
        <v>5750</v>
      </c>
      <c r="B219" s="32" t="str">
        <f>'A) Base RI'!B220</f>
        <v>Les Clées</v>
      </c>
      <c r="C219" s="95">
        <f>'A) Base RI'!V220</f>
        <v>182</v>
      </c>
      <c r="D219" s="110">
        <f>'D) Ecrêtage'!E219</f>
        <v>26.482275641025645</v>
      </c>
      <c r="E219" s="34">
        <f t="shared" si="15"/>
        <v>21.943112538628405</v>
      </c>
      <c r="F219" s="273">
        <f t="shared" si="16"/>
        <v>86262.764011855994</v>
      </c>
      <c r="G219" s="33">
        <f>+'A) Base RI'!U220</f>
        <v>80</v>
      </c>
      <c r="H219" s="274">
        <f t="shared" si="17"/>
        <v>1.1843051228506025</v>
      </c>
      <c r="I219" s="55">
        <f t="shared" si="18"/>
        <v>102161.43333049364</v>
      </c>
    </row>
    <row r="220" spans="1:9" x14ac:dyDescent="0.25">
      <c r="A220" s="49">
        <f>'A) Base RI'!A221</f>
        <v>5752</v>
      </c>
      <c r="B220" s="32" t="str">
        <f>'A) Base RI'!B221</f>
        <v>Croy</v>
      </c>
      <c r="C220" s="95">
        <f>'A) Base RI'!V221</f>
        <v>390</v>
      </c>
      <c r="D220" s="110">
        <f>'D) Ecrêtage'!E220</f>
        <v>24.797423670923671</v>
      </c>
      <c r="E220" s="34">
        <f t="shared" si="15"/>
        <v>23.627964508730379</v>
      </c>
      <c r="F220" s="273">
        <f t="shared" si="16"/>
        <v>184113.82504492888</v>
      </c>
      <c r="G220" s="33">
        <f>+'A) Base RI'!U221</f>
        <v>74</v>
      </c>
      <c r="H220" s="274">
        <f t="shared" si="17"/>
        <v>1.0954822386368073</v>
      </c>
      <c r="I220" s="55">
        <f t="shared" si="18"/>
        <v>201693.42522420417</v>
      </c>
    </row>
    <row r="221" spans="1:9" x14ac:dyDescent="0.25">
      <c r="A221" s="49">
        <f>'A) Base RI'!A222</f>
        <v>5754</v>
      </c>
      <c r="B221" s="32" t="str">
        <f>'A) Base RI'!B222</f>
        <v>Juriens</v>
      </c>
      <c r="C221" s="95">
        <f>'A) Base RI'!V222</f>
        <v>348</v>
      </c>
      <c r="D221" s="110">
        <f>'D) Ecrêtage'!E221</f>
        <v>26.073832023861485</v>
      </c>
      <c r="E221" s="34">
        <f t="shared" si="15"/>
        <v>22.351556155792565</v>
      </c>
      <c r="F221" s="273">
        <f t="shared" si="16"/>
        <v>165912.02509546329</v>
      </c>
      <c r="G221" s="33">
        <f>+'A) Base RI'!U222</f>
        <v>79</v>
      </c>
      <c r="H221" s="274">
        <f t="shared" si="17"/>
        <v>1.1695013088149699</v>
      </c>
      <c r="I221" s="55">
        <f t="shared" si="18"/>
        <v>194034.33049728646</v>
      </c>
    </row>
    <row r="222" spans="1:9" x14ac:dyDescent="0.25">
      <c r="A222" s="49">
        <f>'A) Base RI'!A223</f>
        <v>5755</v>
      </c>
      <c r="B222" s="32" t="str">
        <f>'A) Base RI'!B223</f>
        <v>Lignerolle</v>
      </c>
      <c r="C222" s="95">
        <f>'A) Base RI'!V223</f>
        <v>409</v>
      </c>
      <c r="D222" s="110">
        <f>'D) Ecrêtage'!E222</f>
        <v>26.275594216569409</v>
      </c>
      <c r="E222" s="34">
        <f t="shared" si="15"/>
        <v>22.14979396308464</v>
      </c>
      <c r="F222" s="273">
        <f t="shared" si="16"/>
        <v>192011.13716645981</v>
      </c>
      <c r="G222" s="33">
        <f>+'A) Base RI'!U223</f>
        <v>78.5</v>
      </c>
      <c r="H222" s="274">
        <f t="shared" si="17"/>
        <v>1.1620994017971538</v>
      </c>
      <c r="I222" s="55">
        <f t="shared" si="18"/>
        <v>223136.02763953418</v>
      </c>
    </row>
    <row r="223" spans="1:9" x14ac:dyDescent="0.25">
      <c r="A223" s="49">
        <f>'A) Base RI'!A224</f>
        <v>5756</v>
      </c>
      <c r="B223" s="32" t="str">
        <f>'A) Base RI'!B224</f>
        <v>Montcherand</v>
      </c>
      <c r="C223" s="95">
        <f>'A) Base RI'!V224</f>
        <v>502</v>
      </c>
      <c r="D223" s="110">
        <f>'D) Ecrêtage'!E223</f>
        <v>35.337698096502869</v>
      </c>
      <c r="E223" s="34">
        <f t="shared" si="15"/>
        <v>13.08769008315118</v>
      </c>
      <c r="F223" s="273">
        <f t="shared" si="16"/>
        <v>127721.1969986624</v>
      </c>
      <c r="G223" s="33">
        <f>+'A) Base RI'!U224</f>
        <v>72</v>
      </c>
      <c r="H223" s="274">
        <f t="shared" si="17"/>
        <v>1.0658746105655423</v>
      </c>
      <c r="I223" s="55">
        <f t="shared" si="18"/>
        <v>136134.7811119142</v>
      </c>
    </row>
    <row r="224" spans="1:9" x14ac:dyDescent="0.25">
      <c r="A224" s="49">
        <f>'A) Base RI'!A225</f>
        <v>5757</v>
      </c>
      <c r="B224" s="32" t="str">
        <f>'A) Base RI'!B225</f>
        <v>Orbe</v>
      </c>
      <c r="C224" s="95">
        <f>'A) Base RI'!V225</f>
        <v>7570</v>
      </c>
      <c r="D224" s="110">
        <f>'D) Ecrêtage'!E224</f>
        <v>28.558100816222979</v>
      </c>
      <c r="E224" s="34">
        <f t="shared" si="15"/>
        <v>19.867287363431071</v>
      </c>
      <c r="F224" s="273">
        <f t="shared" si="16"/>
        <v>3065809.5224798163</v>
      </c>
      <c r="G224" s="33">
        <f>+'A) Base RI'!U225</f>
        <v>75.5</v>
      </c>
      <c r="H224" s="274">
        <f t="shared" si="17"/>
        <v>1.1176879596902562</v>
      </c>
      <c r="I224" s="55">
        <f t="shared" si="18"/>
        <v>3426618.3899794249</v>
      </c>
    </row>
    <row r="225" spans="1:9" x14ac:dyDescent="0.25">
      <c r="A225" s="49">
        <f>'A) Base RI'!A226</f>
        <v>5758</v>
      </c>
      <c r="B225" s="32" t="str">
        <f>'A) Base RI'!B226</f>
        <v>La Praz</v>
      </c>
      <c r="C225" s="95">
        <f>'A) Base RI'!V226</f>
        <v>182</v>
      </c>
      <c r="D225" s="110">
        <f>'D) Ecrêtage'!E225</f>
        <v>26.219044750430299</v>
      </c>
      <c r="E225" s="34">
        <f t="shared" si="15"/>
        <v>22.20634342922375</v>
      </c>
      <c r="F225" s="273">
        <f t="shared" si="16"/>
        <v>90571.236437300569</v>
      </c>
      <c r="G225" s="33">
        <f>+'A) Base RI'!U226</f>
        <v>83</v>
      </c>
      <c r="H225" s="274">
        <f t="shared" si="17"/>
        <v>1.2287165649575003</v>
      </c>
      <c r="I225" s="55">
        <f t="shared" si="18"/>
        <v>111286.37851919355</v>
      </c>
    </row>
    <row r="226" spans="1:9" x14ac:dyDescent="0.25">
      <c r="A226" s="49">
        <f>'A) Base RI'!A227</f>
        <v>5759</v>
      </c>
      <c r="B226" s="32" t="str">
        <f>'A) Base RI'!B227</f>
        <v>Premier</v>
      </c>
      <c r="C226" s="95">
        <f>'A) Base RI'!V227</f>
        <v>232</v>
      </c>
      <c r="D226" s="110">
        <f>'D) Ecrêtage'!E226</f>
        <v>25.431281175450007</v>
      </c>
      <c r="E226" s="34">
        <f t="shared" si="15"/>
        <v>22.994107004204043</v>
      </c>
      <c r="F226" s="273">
        <f t="shared" si="16"/>
        <v>114507.89358809563</v>
      </c>
      <c r="G226" s="33">
        <f>+'A) Base RI'!U227</f>
        <v>79.5</v>
      </c>
      <c r="H226" s="274">
        <f t="shared" si="17"/>
        <v>1.1769032158327863</v>
      </c>
      <c r="I226" s="55">
        <f t="shared" si="18"/>
        <v>134764.70820206823</v>
      </c>
    </row>
    <row r="227" spans="1:9" x14ac:dyDescent="0.25">
      <c r="A227" s="49">
        <f>'A) Base RI'!A228</f>
        <v>5760</v>
      </c>
      <c r="B227" s="32" t="str">
        <f>'A) Base RI'!B228</f>
        <v>Rances</v>
      </c>
      <c r="C227" s="95">
        <f>'A) Base RI'!V228</f>
        <v>512</v>
      </c>
      <c r="D227" s="110">
        <f>'D) Ecrêtage'!E227</f>
        <v>28.284946214596946</v>
      </c>
      <c r="E227" s="34">
        <f t="shared" si="15"/>
        <v>20.140441965057104</v>
      </c>
      <c r="F227" s="273">
        <f t="shared" si="16"/>
        <v>212992.42433958632</v>
      </c>
      <c r="G227" s="33">
        <f>+'A) Base RI'!U228</f>
        <v>76.5</v>
      </c>
      <c r="H227" s="274">
        <f t="shared" si="17"/>
        <v>1.1324917737258886</v>
      </c>
      <c r="I227" s="55">
        <f t="shared" si="18"/>
        <v>241212.16843051524</v>
      </c>
    </row>
    <row r="228" spans="1:9" x14ac:dyDescent="0.25">
      <c r="A228" s="49">
        <f>'A) Base RI'!A229</f>
        <v>5761</v>
      </c>
      <c r="B228" s="32" t="str">
        <f>'A) Base RI'!B229</f>
        <v>Romainmôtier-Envy</v>
      </c>
      <c r="C228" s="95">
        <f>'A) Base RI'!V229</f>
        <v>551</v>
      </c>
      <c r="D228" s="110">
        <f>'D) Ecrêtage'!E228</f>
        <v>23.437358969815111</v>
      </c>
      <c r="E228" s="34">
        <f t="shared" si="15"/>
        <v>24.988029209838938</v>
      </c>
      <c r="F228" s="273">
        <f t="shared" si="16"/>
        <v>301114.99754936685</v>
      </c>
      <c r="G228" s="33">
        <f>+'A) Base RI'!U229</f>
        <v>81</v>
      </c>
      <c r="H228" s="274">
        <f t="shared" si="17"/>
        <v>1.1991089368862351</v>
      </c>
      <c r="I228" s="55">
        <f t="shared" si="18"/>
        <v>361069.68459192256</v>
      </c>
    </row>
    <row r="229" spans="1:9" x14ac:dyDescent="0.25">
      <c r="A229" s="49">
        <f>'A) Base RI'!A230</f>
        <v>5762</v>
      </c>
      <c r="B229" s="32" t="str">
        <f>'A) Base RI'!B230</f>
        <v>Sergey</v>
      </c>
      <c r="C229" s="95">
        <f>'A) Base RI'!V230</f>
        <v>141</v>
      </c>
      <c r="D229" s="110">
        <f>'D) Ecrêtage'!E229</f>
        <v>27.302328605200948</v>
      </c>
      <c r="E229" s="34">
        <f t="shared" si="15"/>
        <v>21.123059574453102</v>
      </c>
      <c r="F229" s="273">
        <f t="shared" si="16"/>
        <v>62724.080483955513</v>
      </c>
      <c r="G229" s="33">
        <f>+'A) Base RI'!U230</f>
        <v>78</v>
      </c>
      <c r="H229" s="274">
        <f t="shared" si="17"/>
        <v>1.1546974947793376</v>
      </c>
      <c r="I229" s="55">
        <f t="shared" si="18"/>
        <v>72427.338597160968</v>
      </c>
    </row>
    <row r="230" spans="1:9" x14ac:dyDescent="0.25">
      <c r="A230" s="49">
        <f>'A) Base RI'!A231</f>
        <v>5763</v>
      </c>
      <c r="B230" s="32" t="str">
        <f>'A) Base RI'!B231</f>
        <v>Valeyres-sous-Rances</v>
      </c>
      <c r="C230" s="95">
        <f>'A) Base RI'!V231</f>
        <v>614</v>
      </c>
      <c r="D230" s="110">
        <f>'D) Ecrêtage'!E230</f>
        <v>36.912009005556612</v>
      </c>
      <c r="E230" s="34">
        <f t="shared" si="15"/>
        <v>11.513379174097437</v>
      </c>
      <c r="F230" s="273">
        <f t="shared" si="16"/>
        <v>129790.78396476738</v>
      </c>
      <c r="G230" s="33">
        <f>+'A) Base RI'!U231</f>
        <v>68</v>
      </c>
      <c r="H230" s="274">
        <f t="shared" si="17"/>
        <v>1.0066593544230122</v>
      </c>
      <c r="I230" s="55">
        <f t="shared" si="18"/>
        <v>130655.10679602939</v>
      </c>
    </row>
    <row r="231" spans="1:9" x14ac:dyDescent="0.25">
      <c r="A231" s="49">
        <f>'A) Base RI'!A232</f>
        <v>5764</v>
      </c>
      <c r="B231" s="32" t="str">
        <f>'A) Base RI'!B232</f>
        <v>Vallorbe</v>
      </c>
      <c r="C231" s="95">
        <f>'A) Base RI'!V232</f>
        <v>3924</v>
      </c>
      <c r="D231" s="110">
        <f>'D) Ecrêtage'!E231</f>
        <v>21.325785626198467</v>
      </c>
      <c r="E231" s="34">
        <f t="shared" si="15"/>
        <v>27.099602553455583</v>
      </c>
      <c r="F231" s="273">
        <f t="shared" si="16"/>
        <v>2052871.3143034615</v>
      </c>
      <c r="G231" s="33">
        <f>+'A) Base RI'!U232</f>
        <v>71.5</v>
      </c>
      <c r="H231" s="274">
        <f t="shared" si="17"/>
        <v>1.0584727035477262</v>
      </c>
      <c r="I231" s="55">
        <f t="shared" si="18"/>
        <v>2172908.2500863587</v>
      </c>
    </row>
    <row r="232" spans="1:9" x14ac:dyDescent="0.25">
      <c r="A232" s="49">
        <f>'A) Base RI'!A233</f>
        <v>5765</v>
      </c>
      <c r="B232" s="32" t="str">
        <f>'A) Base RI'!B233</f>
        <v>Vaulion</v>
      </c>
      <c r="C232" s="95">
        <f>'A) Base RI'!V233</f>
        <v>492</v>
      </c>
      <c r="D232" s="110">
        <f>'D) Ecrêtage'!E232</f>
        <v>20.893250025092843</v>
      </c>
      <c r="E232" s="34">
        <f t="shared" si="15"/>
        <v>27.532138154561206</v>
      </c>
      <c r="F232" s="273">
        <f t="shared" si="16"/>
        <v>296246.90782860474</v>
      </c>
      <c r="G232" s="33">
        <f>+'A) Base RI'!U233</f>
        <v>81</v>
      </c>
      <c r="H232" s="274">
        <f t="shared" si="17"/>
        <v>1.1991089368862351</v>
      </c>
      <c r="I232" s="55">
        <f t="shared" si="18"/>
        <v>355232.31470219273</v>
      </c>
    </row>
    <row r="233" spans="1:9" x14ac:dyDescent="0.25">
      <c r="A233" s="49">
        <f>'A) Base RI'!A234</f>
        <v>5766</v>
      </c>
      <c r="B233" s="32" t="str">
        <f>'A) Base RI'!B234</f>
        <v>Vuiteboeuf</v>
      </c>
      <c r="C233" s="95">
        <f>'A) Base RI'!V234</f>
        <v>591</v>
      </c>
      <c r="D233" s="110">
        <f>'D) Ecrêtage'!E233</f>
        <v>26.318277334622508</v>
      </c>
      <c r="E233" s="34">
        <f t="shared" si="15"/>
        <v>22.107110845031542</v>
      </c>
      <c r="F233" s="273">
        <f t="shared" si="16"/>
        <v>264572.37581562623</v>
      </c>
      <c r="G233" s="33">
        <f>+'A) Base RI'!U234</f>
        <v>75</v>
      </c>
      <c r="H233" s="274">
        <f t="shared" si="17"/>
        <v>1.1102860526724398</v>
      </c>
      <c r="I233" s="55">
        <f t="shared" si="18"/>
        <v>293751.01879050094</v>
      </c>
    </row>
    <row r="234" spans="1:9" x14ac:dyDescent="0.25">
      <c r="A234" s="49">
        <f>'A) Base RI'!A235</f>
        <v>5785</v>
      </c>
      <c r="B234" s="32" t="str">
        <f>'A) Base RI'!B235</f>
        <v>Corcelles-le-Jorat</v>
      </c>
      <c r="C234" s="95">
        <f>'A) Base RI'!V235</f>
        <v>489</v>
      </c>
      <c r="D234" s="110">
        <f>'D) Ecrêtage'!E234</f>
        <v>29.815830079940508</v>
      </c>
      <c r="E234" s="34">
        <f t="shared" si="15"/>
        <v>18.609558099713542</v>
      </c>
      <c r="F234" s="273">
        <f t="shared" si="16"/>
        <v>189190.53660469881</v>
      </c>
      <c r="G234" s="33">
        <f>+'A) Base RI'!U235</f>
        <v>77</v>
      </c>
      <c r="H234" s="274">
        <f t="shared" si="17"/>
        <v>1.139893680743705</v>
      </c>
      <c r="I234" s="55">
        <f t="shared" si="18"/>
        <v>215657.09713220678</v>
      </c>
    </row>
    <row r="235" spans="1:9" x14ac:dyDescent="0.25">
      <c r="A235" s="49">
        <f>'A) Base RI'!A236</f>
        <v>5788</v>
      </c>
      <c r="B235" s="32" t="str">
        <f>'A) Base RI'!B236</f>
        <v>Essertes</v>
      </c>
      <c r="C235" s="95">
        <f>'A) Base RI'!V236</f>
        <v>397</v>
      </c>
      <c r="D235" s="110">
        <f>'D) Ecrêtage'!E235</f>
        <v>33.538919518768381</v>
      </c>
      <c r="E235" s="34">
        <f t="shared" si="15"/>
        <v>14.886468660885669</v>
      </c>
      <c r="F235" s="273">
        <f t="shared" si="16"/>
        <v>114091.16116686395</v>
      </c>
      <c r="G235" s="33">
        <f>+'A) Base RI'!U236</f>
        <v>71.5</v>
      </c>
      <c r="H235" s="274">
        <f t="shared" si="17"/>
        <v>1.0584727035477262</v>
      </c>
      <c r="I235" s="55">
        <f t="shared" si="18"/>
        <v>120762.37981118984</v>
      </c>
    </row>
    <row r="236" spans="1:9" x14ac:dyDescent="0.25">
      <c r="A236" s="49">
        <f>'A) Base RI'!A237</f>
        <v>5790</v>
      </c>
      <c r="B236" s="32" t="str">
        <f>'A) Base RI'!B237</f>
        <v>Maracon</v>
      </c>
      <c r="C236" s="95">
        <f>'A) Base RI'!V237</f>
        <v>547</v>
      </c>
      <c r="D236" s="110">
        <f>'D) Ecrêtage'!E236</f>
        <v>27.736838398586556</v>
      </c>
      <c r="E236" s="34">
        <f t="shared" si="15"/>
        <v>20.688549781067493</v>
      </c>
      <c r="F236" s="273">
        <f t="shared" si="16"/>
        <v>227634.14782885645</v>
      </c>
      <c r="G236" s="33">
        <f>+'A) Base RI'!U237</f>
        <v>74.5</v>
      </c>
      <c r="H236" s="274">
        <f t="shared" si="17"/>
        <v>1.1028841456546237</v>
      </c>
      <c r="I236" s="55">
        <f t="shared" si="18"/>
        <v>251054.09265004666</v>
      </c>
    </row>
    <row r="237" spans="1:9" x14ac:dyDescent="0.25">
      <c r="A237" s="49">
        <f>'A) Base RI'!A238</f>
        <v>5792</v>
      </c>
      <c r="B237" s="32" t="str">
        <f>'A) Base RI'!B238</f>
        <v>Montpreveyres</v>
      </c>
      <c r="C237" s="95">
        <f>'A) Base RI'!V238</f>
        <v>662</v>
      </c>
      <c r="D237" s="110">
        <f>'D) Ecrêtage'!E237</f>
        <v>30.431776875212581</v>
      </c>
      <c r="E237" s="34">
        <f t="shared" si="15"/>
        <v>17.993611304441469</v>
      </c>
      <c r="F237" s="273">
        <f t="shared" si="16"/>
        <v>242821.44538396809</v>
      </c>
      <c r="G237" s="33">
        <f>+'A) Base RI'!U238</f>
        <v>75.5</v>
      </c>
      <c r="H237" s="274">
        <f t="shared" si="17"/>
        <v>1.1176879596902562</v>
      </c>
      <c r="I237" s="55">
        <f t="shared" si="18"/>
        <v>271398.60586024629</v>
      </c>
    </row>
    <row r="238" spans="1:9" x14ac:dyDescent="0.25">
      <c r="A238" s="49">
        <f>'A) Base RI'!A239</f>
        <v>5798</v>
      </c>
      <c r="B238" s="32" t="str">
        <f>'A) Base RI'!B239</f>
        <v>Ropraz</v>
      </c>
      <c r="C238" s="95">
        <f>'A) Base RI'!V239</f>
        <v>534</v>
      </c>
      <c r="D238" s="110">
        <f>'D) Ecrêtage'!E238</f>
        <v>32.668174459345181</v>
      </c>
      <c r="E238" s="34">
        <f t="shared" si="15"/>
        <v>15.757213720308869</v>
      </c>
      <c r="F238" s="273">
        <f t="shared" si="16"/>
        <v>176070.31825004527</v>
      </c>
      <c r="G238" s="33">
        <f>+'A) Base RI'!U239</f>
        <v>77.5</v>
      </c>
      <c r="H238" s="274">
        <f t="shared" si="17"/>
        <v>1.1472955877615212</v>
      </c>
      <c r="I238" s="55">
        <f t="shared" si="18"/>
        <v>202004.69926404377</v>
      </c>
    </row>
    <row r="239" spans="1:9" x14ac:dyDescent="0.25">
      <c r="A239" s="49">
        <f>'A) Base RI'!A240</f>
        <v>5799</v>
      </c>
      <c r="B239" s="32" t="str">
        <f>'A) Base RI'!B240</f>
        <v>Servion</v>
      </c>
      <c r="C239" s="95">
        <f>'A) Base RI'!V240</f>
        <v>2107</v>
      </c>
      <c r="D239" s="110">
        <f>'D) Ecrêtage'!E239</f>
        <v>34.050433544499711</v>
      </c>
      <c r="E239" s="34">
        <f t="shared" si="15"/>
        <v>14.374954635154339</v>
      </c>
      <c r="F239" s="273">
        <f t="shared" si="16"/>
        <v>564265.98802511371</v>
      </c>
      <c r="G239" s="33">
        <f>+'A) Base RI'!U240</f>
        <v>69</v>
      </c>
      <c r="H239" s="274">
        <f t="shared" si="17"/>
        <v>1.0214631684586448</v>
      </c>
      <c r="I239" s="55">
        <f t="shared" si="18"/>
        <v>576376.92398158042</v>
      </c>
    </row>
    <row r="240" spans="1:9" x14ac:dyDescent="0.25">
      <c r="A240" s="49">
        <f>'A) Base RI'!A241</f>
        <v>5803</v>
      </c>
      <c r="B240" s="32" t="str">
        <f>'A) Base RI'!B241</f>
        <v>Vulliens</v>
      </c>
      <c r="C240" s="95">
        <f>'A) Base RI'!V241</f>
        <v>631</v>
      </c>
      <c r="D240" s="110">
        <f>'D) Ecrêtage'!E240</f>
        <v>28.520107807156567</v>
      </c>
      <c r="E240" s="34">
        <f t="shared" si="15"/>
        <v>19.905280372497483</v>
      </c>
      <c r="F240" s="273">
        <f t="shared" si="16"/>
        <v>257735.95889674212</v>
      </c>
      <c r="G240" s="33">
        <f>+'A) Base RI'!U241</f>
        <v>76</v>
      </c>
      <c r="H240" s="274">
        <f t="shared" si="17"/>
        <v>1.1250898667080724</v>
      </c>
      <c r="I240" s="55">
        <f t="shared" si="18"/>
        <v>289976.11564101285</v>
      </c>
    </row>
    <row r="241" spans="1:9" x14ac:dyDescent="0.25">
      <c r="A241" s="49">
        <f>'A) Base RI'!A242</f>
        <v>5804</v>
      </c>
      <c r="B241" s="32" t="str">
        <f>'A) Base RI'!B242</f>
        <v>Jorat-Menthue</v>
      </c>
      <c r="C241" s="95">
        <f>'A) Base RI'!V242</f>
        <v>1603</v>
      </c>
      <c r="D241" s="110">
        <f>'D) Ecrêtage'!E241</f>
        <v>29.229210567066179</v>
      </c>
      <c r="E241" s="34">
        <f t="shared" si="15"/>
        <v>19.196177612587871</v>
      </c>
      <c r="F241" s="273">
        <f t="shared" si="16"/>
        <v>585734.98309154308</v>
      </c>
      <c r="G241" s="33">
        <f>+'A) Base RI'!U242</f>
        <v>70.5</v>
      </c>
      <c r="H241" s="274">
        <f t="shared" si="17"/>
        <v>1.0436688895120936</v>
      </c>
      <c r="I241" s="55">
        <f t="shared" si="18"/>
        <v>611313.3793515357</v>
      </c>
    </row>
    <row r="242" spans="1:9" x14ac:dyDescent="0.25">
      <c r="A242" s="49">
        <f>'A) Base RI'!A243</f>
        <v>5805</v>
      </c>
      <c r="B242" s="32" t="str">
        <f>'A) Base RI'!B243</f>
        <v>Oron</v>
      </c>
      <c r="C242" s="95">
        <f>'A) Base RI'!V243</f>
        <v>5703</v>
      </c>
      <c r="D242" s="110">
        <f>'D) Ecrêtage'!E242</f>
        <v>28.426369462758775</v>
      </c>
      <c r="E242" s="34">
        <f t="shared" si="15"/>
        <v>19.999018716895275</v>
      </c>
      <c r="F242" s="273">
        <f t="shared" si="16"/>
        <v>2124833.5417219135</v>
      </c>
      <c r="G242" s="33">
        <f>+'A) Base RI'!U243</f>
        <v>69</v>
      </c>
      <c r="H242" s="274">
        <f t="shared" si="17"/>
        <v>1.0214631684586448</v>
      </c>
      <c r="I242" s="55">
        <f t="shared" si="18"/>
        <v>2170439.2019744697</v>
      </c>
    </row>
    <row r="243" spans="1:9" x14ac:dyDescent="0.25">
      <c r="A243" s="49">
        <f>'A) Base RI'!A244</f>
        <v>5806</v>
      </c>
      <c r="B243" s="32" t="str">
        <f>'A) Base RI'!B244</f>
        <v>Jorat-Mézières</v>
      </c>
      <c r="C243" s="95">
        <f>'A) Base RI'!V244</f>
        <v>3095</v>
      </c>
      <c r="D243" s="110">
        <f>'D) Ecrêtage'!E243</f>
        <v>32.981500697103144</v>
      </c>
      <c r="E243" s="34">
        <f t="shared" si="15"/>
        <v>15.443887482550906</v>
      </c>
      <c r="F243" s="273">
        <f t="shared" si="16"/>
        <v>942114.97395993758</v>
      </c>
      <c r="G243" s="33">
        <f>+'A) Base RI'!U244</f>
        <v>73</v>
      </c>
      <c r="H243" s="274">
        <f t="shared" si="17"/>
        <v>1.0806784246011749</v>
      </c>
      <c r="I243" s="55">
        <f t="shared" si="18"/>
        <v>1018123.3258522023</v>
      </c>
    </row>
    <row r="244" spans="1:9" x14ac:dyDescent="0.25">
      <c r="A244" s="49">
        <f>'A) Base RI'!A245</f>
        <v>5812</v>
      </c>
      <c r="B244" s="32" t="str">
        <f>'A) Base RI'!B245</f>
        <v>Champtauroz</v>
      </c>
      <c r="C244" s="95">
        <f>'A) Base RI'!V245</f>
        <v>169</v>
      </c>
      <c r="D244" s="110">
        <f>'D) Ecrêtage'!E244</f>
        <v>19.817458695151</v>
      </c>
      <c r="E244" s="34">
        <f t="shared" si="15"/>
        <v>28.60792948450305</v>
      </c>
      <c r="F244" s="273">
        <f t="shared" si="16"/>
        <v>100514.2463230963</v>
      </c>
      <c r="G244" s="33">
        <f>+'A) Base RI'!U245</f>
        <v>77</v>
      </c>
      <c r="H244" s="274">
        <f t="shared" si="17"/>
        <v>1.139893680743705</v>
      </c>
      <c r="I244" s="55">
        <f t="shared" si="18"/>
        <v>114575.55420841367</v>
      </c>
    </row>
    <row r="245" spans="1:9" x14ac:dyDescent="0.25">
      <c r="A245" s="49">
        <f>'A) Base RI'!A246</f>
        <v>5813</v>
      </c>
      <c r="B245" s="32" t="str">
        <f>'A) Base RI'!B246</f>
        <v>Chevroux</v>
      </c>
      <c r="C245" s="95">
        <f>'A) Base RI'!V246</f>
        <v>506</v>
      </c>
      <c r="D245" s="110">
        <f>'D) Ecrêtage'!E245</f>
        <v>30.191512506852085</v>
      </c>
      <c r="E245" s="34">
        <f t="shared" si="15"/>
        <v>18.233875672801965</v>
      </c>
      <c r="F245" s="273">
        <f t="shared" si="16"/>
        <v>170641.17846764703</v>
      </c>
      <c r="G245" s="33">
        <f>+'A) Base RI'!U246</f>
        <v>68.5</v>
      </c>
      <c r="H245" s="274">
        <f t="shared" si="17"/>
        <v>1.0140612614408284</v>
      </c>
      <c r="I245" s="55">
        <f t="shared" si="18"/>
        <v>173040.60869065169</v>
      </c>
    </row>
    <row r="246" spans="1:9" x14ac:dyDescent="0.25">
      <c r="A246" s="49">
        <f>'A) Base RI'!A247</f>
        <v>5816</v>
      </c>
      <c r="B246" s="32" t="str">
        <f>'A) Base RI'!B247</f>
        <v>Corcelles-près-Payerne</v>
      </c>
      <c r="C246" s="95">
        <f>'A) Base RI'!V247</f>
        <v>2722</v>
      </c>
      <c r="D246" s="110">
        <f>'D) Ecrêtage'!E246</f>
        <v>24.118756488474169</v>
      </c>
      <c r="E246" s="34">
        <f t="shared" si="15"/>
        <v>24.306631691179881</v>
      </c>
      <c r="F246" s="273">
        <f t="shared" si="16"/>
        <v>1223678.2388154285</v>
      </c>
      <c r="G246" s="33">
        <f>+'A) Base RI'!U247</f>
        <v>68.5</v>
      </c>
      <c r="H246" s="274">
        <f t="shared" si="17"/>
        <v>1.0140612614408284</v>
      </c>
      <c r="I246" s="55">
        <f t="shared" si="18"/>
        <v>1240884.6984508648</v>
      </c>
    </row>
    <row r="247" spans="1:9" x14ac:dyDescent="0.25">
      <c r="A247" s="49">
        <f>'A) Base RI'!A248</f>
        <v>5817</v>
      </c>
      <c r="B247" s="32" t="str">
        <f>'A) Base RI'!B248</f>
        <v>Grandcour</v>
      </c>
      <c r="C247" s="95">
        <f>'A) Base RI'!V248</f>
        <v>987</v>
      </c>
      <c r="D247" s="110">
        <f>'D) Ecrêtage'!E247</f>
        <v>24.947420273073767</v>
      </c>
      <c r="E247" s="34">
        <f t="shared" si="15"/>
        <v>23.477967906580282</v>
      </c>
      <c r="F247" s="273">
        <f t="shared" si="16"/>
        <v>459863.30955570668</v>
      </c>
      <c r="G247" s="33">
        <f>+'A) Base RI'!U248</f>
        <v>73.5</v>
      </c>
      <c r="H247" s="274">
        <f t="shared" si="17"/>
        <v>1.0880803316189911</v>
      </c>
      <c r="I247" s="55">
        <f t="shared" si="18"/>
        <v>500368.22236078011</v>
      </c>
    </row>
    <row r="248" spans="1:9" x14ac:dyDescent="0.25">
      <c r="A248" s="49">
        <f>'A) Base RI'!A249</f>
        <v>5819</v>
      </c>
      <c r="B248" s="32" t="str">
        <f>'A) Base RI'!B249</f>
        <v>Henniez</v>
      </c>
      <c r="C248" s="95">
        <f>'A) Base RI'!V249</f>
        <v>407</v>
      </c>
      <c r="D248" s="110">
        <f>'D) Ecrêtage'!E248</f>
        <v>24.750975679236547</v>
      </c>
      <c r="E248" s="34">
        <f t="shared" si="15"/>
        <v>23.674412500417503</v>
      </c>
      <c r="F248" s="273">
        <f t="shared" si="16"/>
        <v>179509.1020872907</v>
      </c>
      <c r="G248" s="33">
        <f>+'A) Base RI'!U249</f>
        <v>69</v>
      </c>
      <c r="H248" s="274">
        <f t="shared" si="17"/>
        <v>1.0214631684586448</v>
      </c>
      <c r="I248" s="55">
        <f t="shared" si="18"/>
        <v>183361.93618525029</v>
      </c>
    </row>
    <row r="249" spans="1:9" x14ac:dyDescent="0.25">
      <c r="A249" s="49">
        <f>'A) Base RI'!A250</f>
        <v>5821</v>
      </c>
      <c r="B249" s="32" t="str">
        <f>'A) Base RI'!B250</f>
        <v>Missy</v>
      </c>
      <c r="C249" s="95">
        <f>'A) Base RI'!V250</f>
        <v>366</v>
      </c>
      <c r="D249" s="110">
        <f>'D) Ecrêtage'!E249</f>
        <v>21.98001517911354</v>
      </c>
      <c r="E249" s="34">
        <f t="shared" si="15"/>
        <v>26.44537300054051</v>
      </c>
      <c r="F249" s="273">
        <f t="shared" si="16"/>
        <v>188159.88671376577</v>
      </c>
      <c r="G249" s="33">
        <f>+'A) Base RI'!U250</f>
        <v>72</v>
      </c>
      <c r="H249" s="274">
        <f t="shared" si="17"/>
        <v>1.0658746105655423</v>
      </c>
      <c r="I249" s="55">
        <f t="shared" si="18"/>
        <v>200554.84597509165</v>
      </c>
    </row>
    <row r="250" spans="1:9" x14ac:dyDescent="0.25">
      <c r="A250" s="49">
        <f>'A) Base RI'!A251</f>
        <v>5822</v>
      </c>
      <c r="B250" s="32" t="str">
        <f>'A) Base RI'!B251</f>
        <v>Payerne</v>
      </c>
      <c r="C250" s="95">
        <f>'A) Base RI'!V251</f>
        <v>10258</v>
      </c>
      <c r="D250" s="110">
        <f>'D) Ecrêtage'!E250</f>
        <v>23.394857111188866</v>
      </c>
      <c r="E250" s="34">
        <f t="shared" si="15"/>
        <v>25.030531068465184</v>
      </c>
      <c r="F250" s="273">
        <f t="shared" si="16"/>
        <v>5060802.4295732258</v>
      </c>
      <c r="G250" s="33">
        <f>+'A) Base RI'!U251</f>
        <v>73</v>
      </c>
      <c r="H250" s="274">
        <f t="shared" si="17"/>
        <v>1.0806784246011749</v>
      </c>
      <c r="I250" s="55">
        <f t="shared" si="18"/>
        <v>5469099.9968089918</v>
      </c>
    </row>
    <row r="251" spans="1:9" x14ac:dyDescent="0.25">
      <c r="A251" s="49">
        <f>'A) Base RI'!A252</f>
        <v>5827</v>
      </c>
      <c r="B251" s="32" t="str">
        <f>'A) Base RI'!B252</f>
        <v>Trey</v>
      </c>
      <c r="C251" s="95">
        <f>'A) Base RI'!V252</f>
        <v>321</v>
      </c>
      <c r="D251" s="110">
        <f>'D) Ecrêtage'!E251</f>
        <v>24.135339084591418</v>
      </c>
      <c r="E251" s="34">
        <f t="shared" si="15"/>
        <v>24.290049095062631</v>
      </c>
      <c r="F251" s="273">
        <f t="shared" si="16"/>
        <v>164207.04729538813</v>
      </c>
      <c r="G251" s="33">
        <f>+'A) Base RI'!U252</f>
        <v>78</v>
      </c>
      <c r="H251" s="274">
        <f t="shared" si="17"/>
        <v>1.1546974947793376</v>
      </c>
      <c r="I251" s="55">
        <f t="shared" si="18"/>
        <v>189609.46613709687</v>
      </c>
    </row>
    <row r="252" spans="1:9" x14ac:dyDescent="0.25">
      <c r="A252" s="49">
        <f>'A) Base RI'!A253</f>
        <v>5828</v>
      </c>
      <c r="B252" s="32" t="str">
        <f>'A) Base RI'!B253</f>
        <v>Treytorrens (Payerne)</v>
      </c>
      <c r="C252" s="95">
        <f>'A) Base RI'!V253</f>
        <v>110</v>
      </c>
      <c r="D252" s="110">
        <f>'D) Ecrêtage'!E252</f>
        <v>26.356548393021125</v>
      </c>
      <c r="E252" s="34">
        <f t="shared" si="15"/>
        <v>22.068839786632925</v>
      </c>
      <c r="F252" s="273">
        <f t="shared" si="16"/>
        <v>54074.174687197323</v>
      </c>
      <c r="G252" s="33">
        <f>+'A) Base RI'!U253</f>
        <v>82.5</v>
      </c>
      <c r="H252" s="274">
        <f t="shared" si="17"/>
        <v>1.2213146579396839</v>
      </c>
      <c r="I252" s="55">
        <f t="shared" si="18"/>
        <v>66041.582161465107</v>
      </c>
    </row>
    <row r="253" spans="1:9" x14ac:dyDescent="0.25">
      <c r="A253" s="49">
        <f>'A) Base RI'!A254</f>
        <v>5830</v>
      </c>
      <c r="B253" s="32" t="str">
        <f>'A) Base RI'!B254</f>
        <v>Villarzel</v>
      </c>
      <c r="C253" s="95">
        <f>'A) Base RI'!V254</f>
        <v>500</v>
      </c>
      <c r="D253" s="110">
        <f>'D) Ecrêtage'!E253</f>
        <v>24.819973866666668</v>
      </c>
      <c r="E253" s="34">
        <f t="shared" si="15"/>
        <v>23.605414312987381</v>
      </c>
      <c r="F253" s="273">
        <f t="shared" si="16"/>
        <v>239004.81991899724</v>
      </c>
      <c r="G253" s="33">
        <f>+'A) Base RI'!U254</f>
        <v>75</v>
      </c>
      <c r="H253" s="274">
        <f t="shared" si="17"/>
        <v>1.1102860526724398</v>
      </c>
      <c r="I253" s="55">
        <f t="shared" si="18"/>
        <v>265363.71807755076</v>
      </c>
    </row>
    <row r="254" spans="1:9" x14ac:dyDescent="0.25">
      <c r="A254" s="49">
        <f>'A) Base RI'!A255</f>
        <v>5831</v>
      </c>
      <c r="B254" s="32" t="str">
        <f>'A) Base RI'!B255</f>
        <v>Valbroye</v>
      </c>
      <c r="C254" s="95">
        <f>'A) Base RI'!V255</f>
        <v>3349</v>
      </c>
      <c r="D254" s="110">
        <f>'D) Ecrêtage'!E254</f>
        <v>24.201076147779197</v>
      </c>
      <c r="E254" s="34">
        <f t="shared" si="15"/>
        <v>24.224312031874852</v>
      </c>
      <c r="F254" s="273">
        <f t="shared" si="16"/>
        <v>1544256.651635045</v>
      </c>
      <c r="G254" s="33">
        <f>+'A) Base RI'!U255</f>
        <v>70.5</v>
      </c>
      <c r="H254" s="274">
        <f t="shared" si="17"/>
        <v>1.0436688895120936</v>
      </c>
      <c r="I254" s="55">
        <f t="shared" si="18"/>
        <v>1611692.6247336112</v>
      </c>
    </row>
    <row r="255" spans="1:9" x14ac:dyDescent="0.25">
      <c r="A255" s="49">
        <f>'A) Base RI'!A256</f>
        <v>5841</v>
      </c>
      <c r="B255" s="32" t="str">
        <f>'A) Base RI'!B256</f>
        <v>Château-d'Oex</v>
      </c>
      <c r="C255" s="95">
        <f>'A) Base RI'!V256</f>
        <v>3549</v>
      </c>
      <c r="D255" s="110">
        <f>'D) Ecrêtage'!E255</f>
        <v>31.236302561682461</v>
      </c>
      <c r="E255" s="34">
        <f t="shared" si="15"/>
        <v>17.189085617971589</v>
      </c>
      <c r="F255" s="273">
        <f t="shared" si="16"/>
        <v>1342394.4472042769</v>
      </c>
      <c r="G255" s="33">
        <f>+'A) Base RI'!U256</f>
        <v>81.5</v>
      </c>
      <c r="H255" s="274">
        <f t="shared" si="17"/>
        <v>1.2065108439040513</v>
      </c>
      <c r="I255" s="55">
        <f t="shared" si="18"/>
        <v>1619613.4573485446</v>
      </c>
    </row>
    <row r="256" spans="1:9" x14ac:dyDescent="0.25">
      <c r="A256" s="49">
        <f>'A) Base RI'!A257</f>
        <v>5842</v>
      </c>
      <c r="B256" s="32" t="str">
        <f>'A) Base RI'!B257</f>
        <v>Rossinière</v>
      </c>
      <c r="C256" s="95">
        <f>'A) Base RI'!V257</f>
        <v>534</v>
      </c>
      <c r="D256" s="110">
        <f>'D) Ecrêtage'!E256</f>
        <v>27.986292905473096</v>
      </c>
      <c r="E256" s="34">
        <f t="shared" si="15"/>
        <v>20.439095274180954</v>
      </c>
      <c r="F256" s="273">
        <f t="shared" si="16"/>
        <v>238699.60928714421</v>
      </c>
      <c r="G256" s="33">
        <f>+'A) Base RI'!U257</f>
        <v>81</v>
      </c>
      <c r="H256" s="274">
        <f t="shared" si="17"/>
        <v>1.1991089368862351</v>
      </c>
      <c r="I256" s="55">
        <f t="shared" si="18"/>
        <v>286226.83472746715</v>
      </c>
    </row>
    <row r="257" spans="1:9" x14ac:dyDescent="0.25">
      <c r="A257" s="49">
        <f>'A) Base RI'!A258</f>
        <v>5843</v>
      </c>
      <c r="B257" s="32" t="str">
        <f>'A) Base RI'!B258</f>
        <v>Rougemont</v>
      </c>
      <c r="C257" s="95">
        <f>'A) Base RI'!V258</f>
        <v>862</v>
      </c>
      <c r="D257" s="110">
        <f>'D) Ecrêtage'!E257</f>
        <v>112.6312174703706</v>
      </c>
      <c r="E257" s="34">
        <f t="shared" si="15"/>
        <v>0</v>
      </c>
      <c r="F257" s="273">
        <f t="shared" si="16"/>
        <v>0</v>
      </c>
      <c r="G257" s="33">
        <f>+'A) Base RI'!U258</f>
        <v>74</v>
      </c>
      <c r="H257" s="274">
        <f t="shared" si="17"/>
        <v>1.0954822386368073</v>
      </c>
      <c r="I257" s="55">
        <f t="shared" si="18"/>
        <v>0</v>
      </c>
    </row>
    <row r="258" spans="1:9" x14ac:dyDescent="0.25">
      <c r="A258" s="49">
        <f>'A) Base RI'!A259</f>
        <v>5851</v>
      </c>
      <c r="B258" s="32" t="str">
        <f>'A) Base RI'!B259</f>
        <v>Allaman</v>
      </c>
      <c r="C258" s="95">
        <f>'A) Base RI'!V259</f>
        <v>430</v>
      </c>
      <c r="D258" s="110">
        <f>'D) Ecrêtage'!E258</f>
        <v>57.851013530655393</v>
      </c>
      <c r="E258" s="34">
        <f t="shared" si="15"/>
        <v>0</v>
      </c>
      <c r="F258" s="273">
        <f t="shared" si="16"/>
        <v>0</v>
      </c>
      <c r="G258" s="33">
        <f>+'A) Base RI'!U259</f>
        <v>60</v>
      </c>
      <c r="H258" s="274">
        <f t="shared" si="17"/>
        <v>0.88822884213795195</v>
      </c>
      <c r="I258" s="55">
        <f t="shared" si="18"/>
        <v>0</v>
      </c>
    </row>
    <row r="259" spans="1:9" x14ac:dyDescent="0.25">
      <c r="A259" s="49">
        <f>'A) Base RI'!A260</f>
        <v>5852</v>
      </c>
      <c r="B259" s="32" t="str">
        <f>'A) Base RI'!B260</f>
        <v>Bursinel</v>
      </c>
      <c r="C259" s="95">
        <f>'A) Base RI'!V260</f>
        <v>515</v>
      </c>
      <c r="D259" s="110">
        <f>'D) Ecrêtage'!E259</f>
        <v>67.255645996450568</v>
      </c>
      <c r="E259" s="34">
        <f t="shared" si="15"/>
        <v>0</v>
      </c>
      <c r="F259" s="273">
        <f t="shared" si="16"/>
        <v>0</v>
      </c>
      <c r="G259" s="33">
        <f>+'A) Base RI'!U260</f>
        <v>62</v>
      </c>
      <c r="H259" s="274">
        <f t="shared" si="17"/>
        <v>0.91783647020921699</v>
      </c>
      <c r="I259" s="55">
        <f t="shared" si="18"/>
        <v>0</v>
      </c>
    </row>
    <row r="260" spans="1:9" x14ac:dyDescent="0.25">
      <c r="A260" s="49">
        <f>'A) Base RI'!A261</f>
        <v>5853</v>
      </c>
      <c r="B260" s="32" t="str">
        <f>'A) Base RI'!B261</f>
        <v>Bursins</v>
      </c>
      <c r="C260" s="95">
        <f>'A) Base RI'!V261</f>
        <v>773</v>
      </c>
      <c r="D260" s="110">
        <f>'D) Ecrêtage'!E260</f>
        <v>57.550209172239121</v>
      </c>
      <c r="E260" s="34">
        <f t="shared" si="15"/>
        <v>0</v>
      </c>
      <c r="F260" s="273">
        <f t="shared" si="16"/>
        <v>0</v>
      </c>
      <c r="G260" s="33">
        <f>+'A) Base RI'!U261</f>
        <v>71</v>
      </c>
      <c r="H260" s="274">
        <f t="shared" si="17"/>
        <v>1.0510707965299098</v>
      </c>
      <c r="I260" s="55">
        <f t="shared" si="18"/>
        <v>0</v>
      </c>
    </row>
    <row r="261" spans="1:9" x14ac:dyDescent="0.25">
      <c r="A261" s="49">
        <f>'A) Base RI'!A262</f>
        <v>5854</v>
      </c>
      <c r="B261" s="32" t="str">
        <f>'A) Base RI'!B262</f>
        <v>Burtigny</v>
      </c>
      <c r="C261" s="95">
        <f>'A) Base RI'!V262</f>
        <v>416</v>
      </c>
      <c r="D261" s="110">
        <f>'D) Ecrêtage'!E261</f>
        <v>36.672998096955126</v>
      </c>
      <c r="E261" s="34">
        <f t="shared" si="15"/>
        <v>11.752390082698923</v>
      </c>
      <c r="F261" s="273">
        <f t="shared" si="16"/>
        <v>105602.27632709945</v>
      </c>
      <c r="G261" s="33">
        <f>+'A) Base RI'!U262</f>
        <v>80</v>
      </c>
      <c r="H261" s="274">
        <f t="shared" si="17"/>
        <v>1.1843051228506025</v>
      </c>
      <c r="I261" s="55">
        <f t="shared" si="18"/>
        <v>125065.31683886879</v>
      </c>
    </row>
    <row r="262" spans="1:9" x14ac:dyDescent="0.25">
      <c r="A262" s="49">
        <f>'A) Base RI'!A263</f>
        <v>5855</v>
      </c>
      <c r="B262" s="32" t="str">
        <f>'A) Base RI'!B263</f>
        <v>Dully</v>
      </c>
      <c r="C262" s="95">
        <f>'A) Base RI'!V263</f>
        <v>634</v>
      </c>
      <c r="D262" s="110">
        <f>'D) Ecrêtage'!E262</f>
        <v>147.76680261379002</v>
      </c>
      <c r="E262" s="34">
        <f t="shared" ref="E262:E313" si="19">IF($D$314-D262&lt;0,0,$D$314-D262)</f>
        <v>0</v>
      </c>
      <c r="F262" s="273">
        <f t="shared" ref="F262:F313" si="20">(C262*E262*G262)*$E$5</f>
        <v>0</v>
      </c>
      <c r="G262" s="33">
        <f>+'A) Base RI'!U263</f>
        <v>49</v>
      </c>
      <c r="H262" s="274">
        <f t="shared" ref="H262:H313" si="21">G262/$G$314</f>
        <v>0.72538688774599402</v>
      </c>
      <c r="I262" s="55">
        <f t="shared" ref="I262:I313" si="22">F262*H262</f>
        <v>0</v>
      </c>
    </row>
    <row r="263" spans="1:9" x14ac:dyDescent="0.25">
      <c r="A263" s="49">
        <f>'A) Base RI'!A264</f>
        <v>5856</v>
      </c>
      <c r="B263" s="32" t="str">
        <f>'A) Base RI'!B264</f>
        <v>Essertines-sur-Rolle</v>
      </c>
      <c r="C263" s="95">
        <f>'A) Base RI'!V264</f>
        <v>753</v>
      </c>
      <c r="D263" s="110">
        <f>'D) Ecrêtage'!E263</f>
        <v>56.069209063111344</v>
      </c>
      <c r="E263" s="34">
        <f t="shared" si="19"/>
        <v>0</v>
      </c>
      <c r="F263" s="273">
        <f t="shared" si="20"/>
        <v>0</v>
      </c>
      <c r="G263" s="33">
        <f>+'A) Base RI'!U264</f>
        <v>66.5</v>
      </c>
      <c r="H263" s="274">
        <f t="shared" si="21"/>
        <v>0.98445363336956337</v>
      </c>
      <c r="I263" s="55">
        <f t="shared" si="22"/>
        <v>0</v>
      </c>
    </row>
    <row r="264" spans="1:9" x14ac:dyDescent="0.25">
      <c r="A264" s="49">
        <f>'A) Base RI'!A265</f>
        <v>5857</v>
      </c>
      <c r="B264" s="32" t="str">
        <f>'A) Base RI'!B265</f>
        <v>Gilly</v>
      </c>
      <c r="C264" s="95">
        <f>'A) Base RI'!V265</f>
        <v>1438</v>
      </c>
      <c r="D264" s="110">
        <f>'D) Ecrêtage'!E264</f>
        <v>61.798716240256169</v>
      </c>
      <c r="E264" s="34">
        <f t="shared" si="19"/>
        <v>0</v>
      </c>
      <c r="F264" s="273">
        <f t="shared" si="20"/>
        <v>0</v>
      </c>
      <c r="G264" s="33">
        <f>+'A) Base RI'!U265</f>
        <v>64.5</v>
      </c>
      <c r="H264" s="274">
        <f t="shared" si="21"/>
        <v>0.95484600529829833</v>
      </c>
      <c r="I264" s="55">
        <f t="shared" si="22"/>
        <v>0</v>
      </c>
    </row>
    <row r="265" spans="1:9" x14ac:dyDescent="0.25">
      <c r="A265" s="49">
        <f>'A) Base RI'!A266</f>
        <v>5858</v>
      </c>
      <c r="B265" s="32" t="str">
        <f>'A) Base RI'!B266</f>
        <v>Luins</v>
      </c>
      <c r="C265" s="95">
        <f>'A) Base RI'!V266</f>
        <v>630</v>
      </c>
      <c r="D265" s="110">
        <f>'D) Ecrêtage'!E265</f>
        <v>60.719678107900315</v>
      </c>
      <c r="E265" s="34">
        <f t="shared" si="19"/>
        <v>0</v>
      </c>
      <c r="F265" s="273">
        <f t="shared" si="20"/>
        <v>0</v>
      </c>
      <c r="G265" s="33">
        <f>+'A) Base RI'!U266</f>
        <v>58.5</v>
      </c>
      <c r="H265" s="274">
        <f t="shared" si="21"/>
        <v>0.86602312108450308</v>
      </c>
      <c r="I265" s="55">
        <f t="shared" si="22"/>
        <v>0</v>
      </c>
    </row>
    <row r="266" spans="1:9" x14ac:dyDescent="0.25">
      <c r="A266" s="49">
        <f>'A) Base RI'!A267</f>
        <v>5859</v>
      </c>
      <c r="B266" s="32" t="str">
        <f>'A) Base RI'!B267</f>
        <v>Mont-sur-Rolle</v>
      </c>
      <c r="C266" s="95">
        <f>'A) Base RI'!V267</f>
        <v>2739</v>
      </c>
      <c r="D266" s="110">
        <f>'D) Ecrêtage'!E266</f>
        <v>58.748060531316391</v>
      </c>
      <c r="E266" s="34">
        <f t="shared" si="19"/>
        <v>0</v>
      </c>
      <c r="F266" s="273">
        <f t="shared" si="20"/>
        <v>0</v>
      </c>
      <c r="G266" s="33">
        <f>+'A) Base RI'!U267</f>
        <v>63.5</v>
      </c>
      <c r="H266" s="274">
        <f t="shared" si="21"/>
        <v>0.94004219126266575</v>
      </c>
      <c r="I266" s="55">
        <f t="shared" si="22"/>
        <v>0</v>
      </c>
    </row>
    <row r="267" spans="1:9" x14ac:dyDescent="0.25">
      <c r="A267" s="49">
        <f>'A) Base RI'!A268</f>
        <v>5860</v>
      </c>
      <c r="B267" s="32" t="str">
        <f>'A) Base RI'!B268</f>
        <v>Perroy</v>
      </c>
      <c r="C267" s="95">
        <f>'A) Base RI'!V268</f>
        <v>1514</v>
      </c>
      <c r="D267" s="110">
        <f>'D) Ecrêtage'!E267</f>
        <v>82.062154035489073</v>
      </c>
      <c r="E267" s="34">
        <f t="shared" si="19"/>
        <v>0</v>
      </c>
      <c r="F267" s="273">
        <f t="shared" si="20"/>
        <v>0</v>
      </c>
      <c r="G267" s="33">
        <f>+'A) Base RI'!U268</f>
        <v>58.5</v>
      </c>
      <c r="H267" s="274">
        <f t="shared" si="21"/>
        <v>0.86602312108450308</v>
      </c>
      <c r="I267" s="55">
        <f t="shared" si="22"/>
        <v>0</v>
      </c>
    </row>
    <row r="268" spans="1:9" x14ac:dyDescent="0.25">
      <c r="A268" s="49">
        <f>'A) Base RI'!A269</f>
        <v>5861</v>
      </c>
      <c r="B268" s="32" t="str">
        <f>'A) Base RI'!B269</f>
        <v>Rolle</v>
      </c>
      <c r="C268" s="95">
        <f>'A) Base RI'!V269</f>
        <v>6291</v>
      </c>
      <c r="D268" s="110">
        <f>'D) Ecrêtage'!E268</f>
        <v>101.43515880362638</v>
      </c>
      <c r="E268" s="34">
        <f t="shared" si="19"/>
        <v>0</v>
      </c>
      <c r="F268" s="273">
        <f t="shared" si="20"/>
        <v>0</v>
      </c>
      <c r="G268" s="33">
        <f>+'A) Base RI'!U269</f>
        <v>59.5</v>
      </c>
      <c r="H268" s="274">
        <f t="shared" si="21"/>
        <v>0.88082693512013566</v>
      </c>
      <c r="I268" s="55">
        <f t="shared" si="22"/>
        <v>0</v>
      </c>
    </row>
    <row r="269" spans="1:9" x14ac:dyDescent="0.25">
      <c r="A269" s="49">
        <f>'A) Base RI'!A270</f>
        <v>5862</v>
      </c>
      <c r="B269" s="32" t="str">
        <f>'A) Base RI'!B270</f>
        <v>Tartegnin</v>
      </c>
      <c r="C269" s="95">
        <f>'A) Base RI'!V270</f>
        <v>241</v>
      </c>
      <c r="D269" s="110">
        <f>'D) Ecrêtage'!E269</f>
        <v>32.742831031041547</v>
      </c>
      <c r="E269" s="34">
        <f t="shared" si="19"/>
        <v>15.682557148612503</v>
      </c>
      <c r="F269" s="273">
        <f t="shared" si="20"/>
        <v>80616.65549915703</v>
      </c>
      <c r="G269" s="33">
        <f>+'A) Base RI'!U270</f>
        <v>79</v>
      </c>
      <c r="H269" s="274">
        <f t="shared" si="21"/>
        <v>1.1695013088149699</v>
      </c>
      <c r="I269" s="55">
        <f t="shared" si="22"/>
        <v>94281.284118549695</v>
      </c>
    </row>
    <row r="270" spans="1:9" x14ac:dyDescent="0.25">
      <c r="A270" s="49">
        <f>'A) Base RI'!A271</f>
        <v>5863</v>
      </c>
      <c r="B270" s="32" t="str">
        <f>'A) Base RI'!B271</f>
        <v>Vinzel</v>
      </c>
      <c r="C270" s="95">
        <f>'A) Base RI'!V271</f>
        <v>369</v>
      </c>
      <c r="D270" s="110">
        <f>'D) Ecrêtage'!E270</f>
        <v>58.05996885491242</v>
      </c>
      <c r="E270" s="34">
        <f t="shared" si="19"/>
        <v>0</v>
      </c>
      <c r="F270" s="273">
        <f t="shared" si="20"/>
        <v>0</v>
      </c>
      <c r="G270" s="33">
        <f>+'A) Base RI'!U271</f>
        <v>67</v>
      </c>
      <c r="H270" s="274">
        <f t="shared" si="21"/>
        <v>0.99185554038737966</v>
      </c>
      <c r="I270" s="55">
        <f t="shared" si="22"/>
        <v>0</v>
      </c>
    </row>
    <row r="271" spans="1:9" x14ac:dyDescent="0.25">
      <c r="A271" s="49">
        <f>'A) Base RI'!A272</f>
        <v>5871</v>
      </c>
      <c r="B271" s="32" t="str">
        <f>'A) Base RI'!B272</f>
        <v>L'Abbaye</v>
      </c>
      <c r="C271" s="95">
        <f>'A) Base RI'!V272</f>
        <v>1521</v>
      </c>
      <c r="D271" s="110">
        <f>'D) Ecrêtage'!E271</f>
        <v>35.022664452057164</v>
      </c>
      <c r="E271" s="34">
        <f t="shared" si="19"/>
        <v>13.402723727596886</v>
      </c>
      <c r="F271" s="273">
        <f t="shared" si="20"/>
        <v>418311.33804412821</v>
      </c>
      <c r="G271" s="33">
        <f>+'A) Base RI'!U272</f>
        <v>76</v>
      </c>
      <c r="H271" s="274">
        <f t="shared" si="21"/>
        <v>1.1250898667080724</v>
      </c>
      <c r="I271" s="55">
        <f t="shared" si="22"/>
        <v>470637.84756254364</v>
      </c>
    </row>
    <row r="272" spans="1:9" x14ac:dyDescent="0.25">
      <c r="A272" s="49">
        <f>'A) Base RI'!A273</f>
        <v>5872</v>
      </c>
      <c r="B272" s="32" t="str">
        <f>'A) Base RI'!B273</f>
        <v>Le Chenit</v>
      </c>
      <c r="C272" s="95">
        <f>'A) Base RI'!V273</f>
        <v>4569</v>
      </c>
      <c r="D272" s="110">
        <f>'D) Ecrêtage'!E272</f>
        <v>49.912089723947908</v>
      </c>
      <c r="E272" s="34">
        <f t="shared" si="19"/>
        <v>0</v>
      </c>
      <c r="F272" s="273">
        <f t="shared" si="20"/>
        <v>0</v>
      </c>
      <c r="G272" s="33">
        <f>+'A) Base RI'!U273</f>
        <v>58.5</v>
      </c>
      <c r="H272" s="274">
        <f t="shared" si="21"/>
        <v>0.86602312108450308</v>
      </c>
      <c r="I272" s="55">
        <f t="shared" si="22"/>
        <v>0</v>
      </c>
    </row>
    <row r="273" spans="1:9" x14ac:dyDescent="0.25">
      <c r="A273" s="49">
        <f>'A) Base RI'!A274</f>
        <v>5873</v>
      </c>
      <c r="B273" s="32" t="str">
        <f>'A) Base RI'!B274</f>
        <v>Le Lieu</v>
      </c>
      <c r="C273" s="95">
        <f>'A) Base RI'!V274</f>
        <v>881</v>
      </c>
      <c r="D273" s="110">
        <f>'D) Ecrêtage'!E273</f>
        <v>35.726594089508673</v>
      </c>
      <c r="E273" s="34">
        <f t="shared" si="19"/>
        <v>12.698794090145377</v>
      </c>
      <c r="F273" s="273">
        <f t="shared" si="20"/>
        <v>211446.35051560166</v>
      </c>
      <c r="G273" s="33">
        <f>+'A) Base RI'!U274</f>
        <v>70</v>
      </c>
      <c r="H273" s="274">
        <f t="shared" si="21"/>
        <v>1.0362669824942772</v>
      </c>
      <c r="I273" s="55">
        <f t="shared" si="22"/>
        <v>219114.87160822979</v>
      </c>
    </row>
    <row r="274" spans="1:9" x14ac:dyDescent="0.25">
      <c r="A274" s="49">
        <f>'A) Base RI'!A275</f>
        <v>5881</v>
      </c>
      <c r="B274" s="32" t="str">
        <f>'A) Base RI'!B275</f>
        <v>Blonay</v>
      </c>
      <c r="C274" s="95">
        <f>'A) Base RI'!V275</f>
        <v>6291</v>
      </c>
      <c r="D274" s="110">
        <f>'D) Ecrêtage'!E274</f>
        <v>59.037027221137372</v>
      </c>
      <c r="E274" s="34">
        <f t="shared" si="19"/>
        <v>0</v>
      </c>
      <c r="F274" s="273">
        <f t="shared" si="20"/>
        <v>0</v>
      </c>
      <c r="G274" s="33">
        <f>+'A) Base RI'!U275</f>
        <v>68.5</v>
      </c>
      <c r="H274" s="274">
        <f t="shared" si="21"/>
        <v>1.0140612614408284</v>
      </c>
      <c r="I274" s="55">
        <f t="shared" si="22"/>
        <v>0</v>
      </c>
    </row>
    <row r="275" spans="1:9" x14ac:dyDescent="0.25">
      <c r="A275" s="49">
        <f>'A) Base RI'!A276</f>
        <v>5882</v>
      </c>
      <c r="B275" s="32" t="str">
        <f>'A) Base RI'!B276</f>
        <v>Chardonne</v>
      </c>
      <c r="C275" s="95">
        <f>'A) Base RI'!V276</f>
        <v>3078</v>
      </c>
      <c r="D275" s="110">
        <f>'D) Ecrêtage'!E275</f>
        <v>60.738364484195245</v>
      </c>
      <c r="E275" s="34">
        <f t="shared" si="19"/>
        <v>0</v>
      </c>
      <c r="F275" s="273">
        <f t="shared" si="20"/>
        <v>0</v>
      </c>
      <c r="G275" s="33">
        <f>+'A) Base RI'!U276</f>
        <v>68</v>
      </c>
      <c r="H275" s="274">
        <f t="shared" si="21"/>
        <v>1.0066593544230122</v>
      </c>
      <c r="I275" s="55">
        <f t="shared" si="22"/>
        <v>0</v>
      </c>
    </row>
    <row r="276" spans="1:9" x14ac:dyDescent="0.25">
      <c r="A276" s="49">
        <f>'A) Base RI'!A277</f>
        <v>5883</v>
      </c>
      <c r="B276" s="32" t="str">
        <f>'A) Base RI'!B277</f>
        <v>Corseaux</v>
      </c>
      <c r="C276" s="95">
        <f>'A) Base RI'!V277</f>
        <v>2330</v>
      </c>
      <c r="D276" s="110">
        <f>'D) Ecrêtage'!E276</f>
        <v>82.873519821967889</v>
      </c>
      <c r="E276" s="34">
        <f t="shared" si="19"/>
        <v>0</v>
      </c>
      <c r="F276" s="273">
        <f t="shared" si="20"/>
        <v>0</v>
      </c>
      <c r="G276" s="33">
        <f>+'A) Base RI'!U277</f>
        <v>67.5</v>
      </c>
      <c r="H276" s="274">
        <f t="shared" si="21"/>
        <v>0.99925744740519595</v>
      </c>
      <c r="I276" s="55">
        <f t="shared" si="22"/>
        <v>0</v>
      </c>
    </row>
    <row r="277" spans="1:9" x14ac:dyDescent="0.25">
      <c r="A277" s="49">
        <f>'A) Base RI'!A278</f>
        <v>5884</v>
      </c>
      <c r="B277" s="32" t="str">
        <f>'A) Base RI'!B278</f>
        <v>Corsier-sur-Vevey</v>
      </c>
      <c r="C277" s="95">
        <f>'A) Base RI'!V278</f>
        <v>3390</v>
      </c>
      <c r="D277" s="110">
        <f>'D) Ecrêtage'!E277</f>
        <v>43.922356970265199</v>
      </c>
      <c r="E277" s="34">
        <f t="shared" si="19"/>
        <v>4.5030312093888512</v>
      </c>
      <c r="F277" s="273">
        <f t="shared" si="20"/>
        <v>265844.7780540082</v>
      </c>
      <c r="G277" s="33">
        <f>+'A) Base RI'!U278</f>
        <v>64.5</v>
      </c>
      <c r="H277" s="274">
        <f t="shared" si="21"/>
        <v>0.95484600529829833</v>
      </c>
      <c r="I277" s="55">
        <f t="shared" si="22"/>
        <v>253840.82435428246</v>
      </c>
    </row>
    <row r="278" spans="1:9" x14ac:dyDescent="0.25">
      <c r="A278" s="49">
        <f>'A) Base RI'!A279</f>
        <v>5885</v>
      </c>
      <c r="B278" s="32" t="str">
        <f>'A) Base RI'!B279</f>
        <v>Jongny</v>
      </c>
      <c r="C278" s="95">
        <f>'A) Base RI'!V279</f>
        <v>1805</v>
      </c>
      <c r="D278" s="110">
        <f>'D) Ecrêtage'!E278</f>
        <v>53.782238519433754</v>
      </c>
      <c r="E278" s="34">
        <f t="shared" si="19"/>
        <v>0</v>
      </c>
      <c r="F278" s="273">
        <f t="shared" si="20"/>
        <v>0</v>
      </c>
      <c r="G278" s="33">
        <f>+'A) Base RI'!U279</f>
        <v>69.5</v>
      </c>
      <c r="H278" s="274">
        <f t="shared" si="21"/>
        <v>1.028865075476461</v>
      </c>
      <c r="I278" s="55">
        <f t="shared" si="22"/>
        <v>0</v>
      </c>
    </row>
    <row r="279" spans="1:9" x14ac:dyDescent="0.25">
      <c r="A279" s="49">
        <f>'A) Base RI'!A280</f>
        <v>5886</v>
      </c>
      <c r="B279" s="32" t="str">
        <f>'A) Base RI'!B280</f>
        <v>Montreux</v>
      </c>
      <c r="C279" s="95">
        <f>'A) Base RI'!V280</f>
        <v>26012</v>
      </c>
      <c r="D279" s="110">
        <f>'D) Ecrêtage'!E279</f>
        <v>47.032332887779596</v>
      </c>
      <c r="E279" s="34">
        <f t="shared" si="19"/>
        <v>1.3930552918744539</v>
      </c>
      <c r="F279" s="273">
        <f t="shared" si="20"/>
        <v>635944.50712678209</v>
      </c>
      <c r="G279" s="33">
        <f>+'A) Base RI'!U280</f>
        <v>65</v>
      </c>
      <c r="H279" s="274">
        <f t="shared" si="21"/>
        <v>0.96224791231611462</v>
      </c>
      <c r="I279" s="55">
        <f t="shared" si="22"/>
        <v>611936.27433164651</v>
      </c>
    </row>
    <row r="280" spans="1:9" x14ac:dyDescent="0.25">
      <c r="A280" s="49">
        <f>'A) Base RI'!A281</f>
        <v>5888</v>
      </c>
      <c r="B280" s="32" t="str">
        <f>'A) Base RI'!B281</f>
        <v>Saint-Légier-La Chiésaz</v>
      </c>
      <c r="C280" s="95">
        <f>'A) Base RI'!V281</f>
        <v>5634</v>
      </c>
      <c r="D280" s="110">
        <f>'D) Ecrêtage'!E280</f>
        <v>59.28597613377935</v>
      </c>
      <c r="E280" s="34">
        <f t="shared" si="19"/>
        <v>0</v>
      </c>
      <c r="F280" s="273">
        <f t="shared" si="20"/>
        <v>0</v>
      </c>
      <c r="G280" s="33">
        <f>+'A) Base RI'!U281</f>
        <v>68.5</v>
      </c>
      <c r="H280" s="274">
        <f t="shared" si="21"/>
        <v>1.0140612614408284</v>
      </c>
      <c r="I280" s="55">
        <f t="shared" si="22"/>
        <v>0</v>
      </c>
    </row>
    <row r="281" spans="1:9" x14ac:dyDescent="0.25">
      <c r="A281" s="49">
        <f>'A) Base RI'!A282</f>
        <v>5889</v>
      </c>
      <c r="B281" s="32" t="str">
        <f>'A) Base RI'!B282</f>
        <v>La Tour-de-Peilz</v>
      </c>
      <c r="C281" s="95">
        <f>'A) Base RI'!V282</f>
        <v>12222</v>
      </c>
      <c r="D281" s="110">
        <f>'D) Ecrêtage'!E281</f>
        <v>60.590377959997006</v>
      </c>
      <c r="E281" s="34">
        <f t="shared" si="19"/>
        <v>0</v>
      </c>
      <c r="F281" s="273">
        <f t="shared" si="20"/>
        <v>0</v>
      </c>
      <c r="G281" s="33">
        <f>+'A) Base RI'!U282</f>
        <v>64</v>
      </c>
      <c r="H281" s="274">
        <f t="shared" si="21"/>
        <v>0.94744409828048204</v>
      </c>
      <c r="I281" s="55">
        <f t="shared" si="22"/>
        <v>0</v>
      </c>
    </row>
    <row r="282" spans="1:9" x14ac:dyDescent="0.25">
      <c r="A282" s="49">
        <f>'A) Base RI'!A283</f>
        <v>5890</v>
      </c>
      <c r="B282" s="32" t="str">
        <f>'A) Base RI'!B283</f>
        <v>Vevey</v>
      </c>
      <c r="C282" s="95">
        <f>'A) Base RI'!V283</f>
        <v>19721</v>
      </c>
      <c r="D282" s="110">
        <f>'D) Ecrêtage'!E282</f>
        <v>49.174828746925655</v>
      </c>
      <c r="E282" s="34">
        <f t="shared" si="19"/>
        <v>0</v>
      </c>
      <c r="F282" s="273">
        <f t="shared" si="20"/>
        <v>0</v>
      </c>
      <c r="G282" s="33">
        <f>+'A) Base RI'!U283</f>
        <v>74.5</v>
      </c>
      <c r="H282" s="274">
        <f t="shared" si="21"/>
        <v>1.1028841456546237</v>
      </c>
      <c r="I282" s="55">
        <f t="shared" si="22"/>
        <v>0</v>
      </c>
    </row>
    <row r="283" spans="1:9" x14ac:dyDescent="0.25">
      <c r="A283" s="49">
        <f>'A) Base RI'!A284</f>
        <v>5891</v>
      </c>
      <c r="B283" s="32" t="str">
        <f>'A) Base RI'!B284</f>
        <v>Veytaux</v>
      </c>
      <c r="C283" s="95">
        <f>'A) Base RI'!V284</f>
        <v>952</v>
      </c>
      <c r="D283" s="110">
        <f>'D) Ecrêtage'!E283</f>
        <v>41.095959434133363</v>
      </c>
      <c r="E283" s="34">
        <f t="shared" si="19"/>
        <v>7.329428745520687</v>
      </c>
      <c r="F283" s="273">
        <f t="shared" si="20"/>
        <v>130934.96735003032</v>
      </c>
      <c r="G283" s="33">
        <f>+'A) Base RI'!U284</f>
        <v>69.5</v>
      </c>
      <c r="H283" s="274">
        <f t="shared" si="21"/>
        <v>1.028865075476461</v>
      </c>
      <c r="I283" s="55">
        <f t="shared" si="22"/>
        <v>134714.41506509689</v>
      </c>
    </row>
    <row r="284" spans="1:9" x14ac:dyDescent="0.25">
      <c r="A284" s="49">
        <f>'A) Base RI'!A285</f>
        <v>5902</v>
      </c>
      <c r="B284" s="32" t="str">
        <f>'A) Base RI'!B285</f>
        <v>Belmont-sur-Yverdon</v>
      </c>
      <c r="C284" s="95">
        <f>'A) Base RI'!V285</f>
        <v>415</v>
      </c>
      <c r="D284" s="110">
        <f>'D) Ecrêtage'!E284</f>
        <v>29.178674698795181</v>
      </c>
      <c r="E284" s="34">
        <f t="shared" si="19"/>
        <v>19.246713480858869</v>
      </c>
      <c r="F284" s="273">
        <f t="shared" si="20"/>
        <v>150961.59718711654</v>
      </c>
      <c r="G284" s="33">
        <f>+'A) Base RI'!U285</f>
        <v>70</v>
      </c>
      <c r="H284" s="274">
        <f t="shared" si="21"/>
        <v>1.0362669824942772</v>
      </c>
      <c r="I284" s="55">
        <f t="shared" si="22"/>
        <v>156436.51878960981</v>
      </c>
    </row>
    <row r="285" spans="1:9" x14ac:dyDescent="0.25">
      <c r="A285" s="49">
        <f>'A) Base RI'!A286</f>
        <v>5903</v>
      </c>
      <c r="B285" s="32" t="str">
        <f>'A) Base RI'!B286</f>
        <v>Bioley-Magnoux</v>
      </c>
      <c r="C285" s="95">
        <f>'A) Base RI'!V286</f>
        <v>234</v>
      </c>
      <c r="D285" s="110">
        <f>'D) Ecrêtage'!E285</f>
        <v>25.8940144654728</v>
      </c>
      <c r="E285" s="34">
        <f t="shared" si="19"/>
        <v>22.53137371418125</v>
      </c>
      <c r="F285" s="273">
        <f t="shared" si="20"/>
        <v>102494.31777086193</v>
      </c>
      <c r="G285" s="33">
        <f>+'A) Base RI'!U286</f>
        <v>72</v>
      </c>
      <c r="H285" s="274">
        <f t="shared" si="21"/>
        <v>1.0658746105655423</v>
      </c>
      <c r="I285" s="55">
        <f t="shared" si="22"/>
        <v>109246.09103919841</v>
      </c>
    </row>
    <row r="286" spans="1:9" x14ac:dyDescent="0.25">
      <c r="A286" s="49">
        <f>'A) Base RI'!A287</f>
        <v>5904</v>
      </c>
      <c r="B286" s="32" t="str">
        <f>'A) Base RI'!B287</f>
        <v>Chamblon</v>
      </c>
      <c r="C286" s="95">
        <f>'A) Base RI'!V287</f>
        <v>561</v>
      </c>
      <c r="D286" s="110">
        <f>'D) Ecrêtage'!E286</f>
        <v>39.53336034138173</v>
      </c>
      <c r="E286" s="34">
        <f t="shared" si="19"/>
        <v>8.8920278382723197</v>
      </c>
      <c r="F286" s="273">
        <f t="shared" si="20"/>
        <v>88893.780139765149</v>
      </c>
      <c r="G286" s="33">
        <f>+'A) Base RI'!U287</f>
        <v>66</v>
      </c>
      <c r="H286" s="274">
        <f t="shared" si="21"/>
        <v>0.97705172635174709</v>
      </c>
      <c r="I286" s="55">
        <f t="shared" si="22"/>
        <v>86853.821347490186</v>
      </c>
    </row>
    <row r="287" spans="1:9" x14ac:dyDescent="0.25">
      <c r="A287" s="49">
        <f>'A) Base RI'!A288</f>
        <v>5905</v>
      </c>
      <c r="B287" s="32" t="str">
        <f>'A) Base RI'!B288</f>
        <v>Champvent</v>
      </c>
      <c r="C287" s="95">
        <f>'A) Base RI'!V288</f>
        <v>712</v>
      </c>
      <c r="D287" s="110">
        <f>'D) Ecrêtage'!E287</f>
        <v>32.635154093097917</v>
      </c>
      <c r="E287" s="34">
        <f t="shared" si="19"/>
        <v>15.790234086556133</v>
      </c>
      <c r="F287" s="273">
        <f t="shared" si="20"/>
        <v>212486.02205596855</v>
      </c>
      <c r="G287" s="33">
        <f>+'A) Base RI'!U288</f>
        <v>70</v>
      </c>
      <c r="H287" s="274">
        <f t="shared" si="21"/>
        <v>1.0362669824942772</v>
      </c>
      <c r="I287" s="55">
        <f t="shared" si="22"/>
        <v>220192.24889815095</v>
      </c>
    </row>
    <row r="288" spans="1:9" x14ac:dyDescent="0.25">
      <c r="A288" s="49">
        <f>'A) Base RI'!A289</f>
        <v>5907</v>
      </c>
      <c r="B288" s="32" t="str">
        <f>'A) Base RI'!B289</f>
        <v>Chavannes-le-Chêne</v>
      </c>
      <c r="C288" s="95">
        <f>'A) Base RI'!V289</f>
        <v>325</v>
      </c>
      <c r="D288" s="110">
        <f>'D) Ecrêtage'!E288</f>
        <v>24.056454564102562</v>
      </c>
      <c r="E288" s="34">
        <f t="shared" si="19"/>
        <v>24.368933615551487</v>
      </c>
      <c r="F288" s="273">
        <f t="shared" si="20"/>
        <v>160378.04435734823</v>
      </c>
      <c r="G288" s="33">
        <f>+'A) Base RI'!U289</f>
        <v>75</v>
      </c>
      <c r="H288" s="274">
        <f t="shared" si="21"/>
        <v>1.1102860526724398</v>
      </c>
      <c r="I288" s="55">
        <f t="shared" si="22"/>
        <v>178065.50580484563</v>
      </c>
    </row>
    <row r="289" spans="1:9" x14ac:dyDescent="0.25">
      <c r="A289" s="49">
        <f>'A) Base RI'!A290</f>
        <v>5908</v>
      </c>
      <c r="B289" s="32" t="str">
        <f>'A) Base RI'!B290</f>
        <v>Chêne-Pâquier</v>
      </c>
      <c r="C289" s="95">
        <f>'A) Base RI'!V290</f>
        <v>153</v>
      </c>
      <c r="D289" s="110">
        <f>'D) Ecrêtage'!E289</f>
        <v>28.848876478861587</v>
      </c>
      <c r="E289" s="34">
        <f t="shared" si="19"/>
        <v>19.576511700792462</v>
      </c>
      <c r="F289" s="273">
        <f t="shared" si="20"/>
        <v>63887.750170419204</v>
      </c>
      <c r="G289" s="33">
        <f>+'A) Base RI'!U290</f>
        <v>79</v>
      </c>
      <c r="H289" s="274">
        <f t="shared" si="21"/>
        <v>1.1695013088149699</v>
      </c>
      <c r="I289" s="55">
        <f t="shared" si="22"/>
        <v>74716.807441549085</v>
      </c>
    </row>
    <row r="290" spans="1:9" x14ac:dyDescent="0.25">
      <c r="A290" s="49">
        <f>'A) Base RI'!A291</f>
        <v>5909</v>
      </c>
      <c r="B290" s="32" t="str">
        <f>'A) Base RI'!B291</f>
        <v>Cheseaux-Noréaz</v>
      </c>
      <c r="C290" s="95">
        <f>'A) Base RI'!V291</f>
        <v>728</v>
      </c>
      <c r="D290" s="110">
        <f>'D) Ecrêtage'!E290</f>
        <v>50.684853206494992</v>
      </c>
      <c r="E290" s="34">
        <f t="shared" si="19"/>
        <v>0</v>
      </c>
      <c r="F290" s="273">
        <f t="shared" si="20"/>
        <v>0</v>
      </c>
      <c r="G290" s="33">
        <f>+'A) Base RI'!U291</f>
        <v>67</v>
      </c>
      <c r="H290" s="274">
        <f t="shared" si="21"/>
        <v>0.99185554038737966</v>
      </c>
      <c r="I290" s="55">
        <f t="shared" si="22"/>
        <v>0</v>
      </c>
    </row>
    <row r="291" spans="1:9" x14ac:dyDescent="0.25">
      <c r="A291" s="49">
        <f>'A) Base RI'!A292</f>
        <v>5910</v>
      </c>
      <c r="B291" s="32" t="str">
        <f>'A) Base RI'!B292</f>
        <v>Cronay</v>
      </c>
      <c r="C291" s="95">
        <f>'A) Base RI'!V292</f>
        <v>403</v>
      </c>
      <c r="D291" s="110">
        <f>'D) Ecrêtage'!E291</f>
        <v>26.303762044407204</v>
      </c>
      <c r="E291" s="34">
        <f t="shared" si="19"/>
        <v>22.121626135246846</v>
      </c>
      <c r="F291" s="273">
        <f t="shared" si="20"/>
        <v>185343.16876276815</v>
      </c>
      <c r="G291" s="33">
        <f>+'A) Base RI'!U292</f>
        <v>77</v>
      </c>
      <c r="H291" s="274">
        <f t="shared" si="21"/>
        <v>1.139893680743705</v>
      </c>
      <c r="I291" s="55">
        <f t="shared" si="22"/>
        <v>211271.50684169348</v>
      </c>
    </row>
    <row r="292" spans="1:9" x14ac:dyDescent="0.25">
      <c r="A292" s="49">
        <f>'A) Base RI'!A293</f>
        <v>5911</v>
      </c>
      <c r="B292" s="32" t="str">
        <f>'A) Base RI'!B293</f>
        <v>Cuarny</v>
      </c>
      <c r="C292" s="95">
        <f>'A) Base RI'!V293</f>
        <v>245</v>
      </c>
      <c r="D292" s="110">
        <f>'D) Ecrêtage'!E292</f>
        <v>30.628957328385898</v>
      </c>
      <c r="E292" s="34">
        <f t="shared" si="19"/>
        <v>17.796430851268152</v>
      </c>
      <c r="F292" s="273">
        <f t="shared" si="20"/>
        <v>90647.010362476896</v>
      </c>
      <c r="G292" s="33">
        <f>+'A) Base RI'!U293</f>
        <v>77</v>
      </c>
      <c r="H292" s="274">
        <f t="shared" si="21"/>
        <v>1.139893680743705</v>
      </c>
      <c r="I292" s="55">
        <f t="shared" si="22"/>
        <v>103327.95429049656</v>
      </c>
    </row>
    <row r="293" spans="1:9" x14ac:dyDescent="0.25">
      <c r="A293" s="49">
        <f>'A) Base RI'!A294</f>
        <v>5912</v>
      </c>
      <c r="B293" s="32" t="str">
        <f>'A) Base RI'!B294</f>
        <v>Démoret</v>
      </c>
      <c r="C293" s="95">
        <f>'A) Base RI'!V294</f>
        <v>164</v>
      </c>
      <c r="D293" s="110">
        <f>'D) Ecrêtage'!E293</f>
        <v>28.796068202348689</v>
      </c>
      <c r="E293" s="34">
        <f t="shared" si="19"/>
        <v>19.629319977305361</v>
      </c>
      <c r="F293" s="273">
        <f t="shared" si="20"/>
        <v>70404.089376201591</v>
      </c>
      <c r="G293" s="33">
        <f>+'A) Base RI'!U294</f>
        <v>81</v>
      </c>
      <c r="H293" s="274">
        <f t="shared" si="21"/>
        <v>1.1991089368862351</v>
      </c>
      <c r="I293" s="55">
        <f t="shared" si="22"/>
        <v>84422.172764340576</v>
      </c>
    </row>
    <row r="294" spans="1:9" x14ac:dyDescent="0.25">
      <c r="A294" s="49">
        <f>'A) Base RI'!A295</f>
        <v>5913</v>
      </c>
      <c r="B294" s="32" t="str">
        <f>'A) Base RI'!B295</f>
        <v>Donneloye</v>
      </c>
      <c r="C294" s="95">
        <f>'A) Base RI'!V295</f>
        <v>891</v>
      </c>
      <c r="D294" s="110">
        <f>'D) Ecrêtage'!E294</f>
        <v>26.816299063696324</v>
      </c>
      <c r="E294" s="34">
        <f t="shared" si="19"/>
        <v>21.609089115957726</v>
      </c>
      <c r="F294" s="273">
        <f t="shared" si="20"/>
        <v>379490.39550969435</v>
      </c>
      <c r="G294" s="33">
        <f>+'A) Base RI'!U295</f>
        <v>73</v>
      </c>
      <c r="H294" s="274">
        <f t="shared" si="21"/>
        <v>1.0806784246011749</v>
      </c>
      <c r="I294" s="55">
        <f t="shared" si="22"/>
        <v>410107.08277069329</v>
      </c>
    </row>
    <row r="295" spans="1:9" x14ac:dyDescent="0.25">
      <c r="A295" s="49">
        <f>'A) Base RI'!A296</f>
        <v>5914</v>
      </c>
      <c r="B295" s="32" t="str">
        <f>'A) Base RI'!B296</f>
        <v>Ependes</v>
      </c>
      <c r="C295" s="95">
        <f>'A) Base RI'!V296</f>
        <v>381</v>
      </c>
      <c r="D295" s="110">
        <f>'D) Ecrêtage'!E295</f>
        <v>25.79924759405074</v>
      </c>
      <c r="E295" s="34">
        <f t="shared" si="19"/>
        <v>22.626140585603309</v>
      </c>
      <c r="F295" s="273">
        <f t="shared" si="20"/>
        <v>171075.00453001441</v>
      </c>
      <c r="G295" s="33">
        <f>+'A) Base RI'!U296</f>
        <v>73.5</v>
      </c>
      <c r="H295" s="274">
        <f t="shared" si="21"/>
        <v>1.0880803316189911</v>
      </c>
      <c r="I295" s="55">
        <f t="shared" si="22"/>
        <v>186143.34766073848</v>
      </c>
    </row>
    <row r="296" spans="1:9" x14ac:dyDescent="0.25">
      <c r="A296" s="49">
        <f>'A) Base RI'!A297</f>
        <v>5919</v>
      </c>
      <c r="B296" s="32" t="str">
        <f>'A) Base RI'!B297</f>
        <v>Mathod</v>
      </c>
      <c r="C296" s="95">
        <f>'A) Base RI'!V297</f>
        <v>655</v>
      </c>
      <c r="D296" s="110">
        <f>'D) Ecrêtage'!E296</f>
        <v>28.52654346904156</v>
      </c>
      <c r="E296" s="34">
        <f t="shared" si="19"/>
        <v>19.89884471061249</v>
      </c>
      <c r="F296" s="273">
        <f t="shared" si="20"/>
        <v>253375.96946917099</v>
      </c>
      <c r="G296" s="33">
        <f>+'A) Base RI'!U297</f>
        <v>72</v>
      </c>
      <c r="H296" s="274">
        <f t="shared" si="21"/>
        <v>1.0658746105655423</v>
      </c>
      <c r="I296" s="55">
        <f t="shared" si="22"/>
        <v>270067.01278461935</v>
      </c>
    </row>
    <row r="297" spans="1:9" x14ac:dyDescent="0.25">
      <c r="A297" s="49">
        <f>'A) Base RI'!A298</f>
        <v>5921</v>
      </c>
      <c r="B297" s="32" t="str">
        <f>'A) Base RI'!B298</f>
        <v>Molondin</v>
      </c>
      <c r="C297" s="95">
        <f>'A) Base RI'!V298</f>
        <v>239</v>
      </c>
      <c r="D297" s="110">
        <f>'D) Ecrêtage'!E297</f>
        <v>24.581576011157605</v>
      </c>
      <c r="E297" s="34">
        <f t="shared" si="19"/>
        <v>23.843812168496445</v>
      </c>
      <c r="F297" s="273">
        <f t="shared" si="20"/>
        <v>124629.93713787913</v>
      </c>
      <c r="G297" s="33">
        <f>+'A) Base RI'!U298</f>
        <v>81</v>
      </c>
      <c r="H297" s="274">
        <f t="shared" si="21"/>
        <v>1.1991089368862351</v>
      </c>
      <c r="I297" s="55">
        <f t="shared" si="22"/>
        <v>149444.87142560055</v>
      </c>
    </row>
    <row r="298" spans="1:9" x14ac:dyDescent="0.25">
      <c r="A298" s="49">
        <f>'A) Base RI'!A299</f>
        <v>5922</v>
      </c>
      <c r="B298" s="32" t="str">
        <f>'A) Base RI'!B299</f>
        <v>Montagny-près-Yverdon</v>
      </c>
      <c r="C298" s="95">
        <f>'A) Base RI'!V299</f>
        <v>775</v>
      </c>
      <c r="D298" s="110">
        <f>'D) Ecrêtage'!E298</f>
        <v>51.114870917729434</v>
      </c>
      <c r="E298" s="34">
        <f t="shared" si="19"/>
        <v>0</v>
      </c>
      <c r="F298" s="273">
        <f t="shared" si="20"/>
        <v>0</v>
      </c>
      <c r="G298" s="33">
        <f>+'A) Base RI'!U299</f>
        <v>64.5</v>
      </c>
      <c r="H298" s="274">
        <f t="shared" si="21"/>
        <v>0.95484600529829833</v>
      </c>
      <c r="I298" s="55">
        <f t="shared" si="22"/>
        <v>0</v>
      </c>
    </row>
    <row r="299" spans="1:9" x14ac:dyDescent="0.25">
      <c r="A299" s="49">
        <f>'A) Base RI'!A300</f>
        <v>5923</v>
      </c>
      <c r="B299" s="32" t="str">
        <f>'A) Base RI'!B300</f>
        <v>Oppens</v>
      </c>
      <c r="C299" s="95">
        <f>'A) Base RI'!V300</f>
        <v>201</v>
      </c>
      <c r="D299" s="110">
        <f>'D) Ecrêtage'!E299</f>
        <v>25.34744241754192</v>
      </c>
      <c r="E299" s="34">
        <f t="shared" si="19"/>
        <v>23.07794576211213</v>
      </c>
      <c r="F299" s="273">
        <f t="shared" si="20"/>
        <v>101447.64943729586</v>
      </c>
      <c r="G299" s="33">
        <f>+'A) Base RI'!U300</f>
        <v>81</v>
      </c>
      <c r="H299" s="274">
        <f t="shared" si="21"/>
        <v>1.1991089368862351</v>
      </c>
      <c r="I299" s="55">
        <f t="shared" si="22"/>
        <v>121646.78306636329</v>
      </c>
    </row>
    <row r="300" spans="1:9" x14ac:dyDescent="0.25">
      <c r="A300" s="49">
        <f>'A) Base RI'!A301</f>
        <v>5924</v>
      </c>
      <c r="B300" s="32" t="str">
        <f>'A) Base RI'!B301</f>
        <v>Orges</v>
      </c>
      <c r="C300" s="95">
        <f>'A) Base RI'!V301</f>
        <v>367</v>
      </c>
      <c r="D300" s="110">
        <f>'D) Ecrêtage'!E300</f>
        <v>35.722533691729886</v>
      </c>
      <c r="E300" s="34">
        <f t="shared" si="19"/>
        <v>12.702854487924164</v>
      </c>
      <c r="F300" s="273">
        <f t="shared" si="20"/>
        <v>93145.712989422012</v>
      </c>
      <c r="G300" s="33">
        <f>+'A) Base RI'!U301</f>
        <v>74</v>
      </c>
      <c r="H300" s="274">
        <f t="shared" si="21"/>
        <v>1.0954822386368073</v>
      </c>
      <c r="I300" s="55">
        <f t="shared" si="22"/>
        <v>102039.47418507356</v>
      </c>
    </row>
    <row r="301" spans="1:9" x14ac:dyDescent="0.25">
      <c r="A301" s="49">
        <f>'A) Base RI'!A302</f>
        <v>5925</v>
      </c>
      <c r="B301" s="32" t="str">
        <f>'A) Base RI'!B302</f>
        <v>Orzens</v>
      </c>
      <c r="C301" s="95">
        <f>'A) Base RI'!V302</f>
        <v>202</v>
      </c>
      <c r="D301" s="110">
        <f>'D) Ecrêtage'!E301</f>
        <v>25.893994234866522</v>
      </c>
      <c r="E301" s="34">
        <f t="shared" si="19"/>
        <v>22.531393944787528</v>
      </c>
      <c r="F301" s="273">
        <f t="shared" si="20"/>
        <v>97080.115834148237</v>
      </c>
      <c r="G301" s="33">
        <f>+'A) Base RI'!U302</f>
        <v>79</v>
      </c>
      <c r="H301" s="274">
        <f t="shared" si="21"/>
        <v>1.1695013088149699</v>
      </c>
      <c r="I301" s="55">
        <f t="shared" si="22"/>
        <v>113535.32252794525</v>
      </c>
    </row>
    <row r="302" spans="1:9" x14ac:dyDescent="0.25">
      <c r="A302" s="49">
        <f>'A) Base RI'!A303</f>
        <v>5926</v>
      </c>
      <c r="B302" s="32" t="str">
        <f>'A) Base RI'!B303</f>
        <v>Pomy</v>
      </c>
      <c r="C302" s="95">
        <f>'A) Base RI'!V303</f>
        <v>838</v>
      </c>
      <c r="D302" s="110">
        <f>'D) Ecrêtage'!E302</f>
        <v>33.26384718814078</v>
      </c>
      <c r="E302" s="34">
        <f t="shared" si="19"/>
        <v>15.16154099151327</v>
      </c>
      <c r="F302" s="273">
        <f t="shared" si="20"/>
        <v>243561.96879652527</v>
      </c>
      <c r="G302" s="33">
        <f>+'A) Base RI'!U303</f>
        <v>71</v>
      </c>
      <c r="H302" s="274">
        <f t="shared" si="21"/>
        <v>1.0510707965299098</v>
      </c>
      <c r="I302" s="55">
        <f t="shared" si="22"/>
        <v>256000.87254735685</v>
      </c>
    </row>
    <row r="303" spans="1:9" x14ac:dyDescent="0.25">
      <c r="A303" s="49">
        <f>'A) Base RI'!A304</f>
        <v>5928</v>
      </c>
      <c r="B303" s="32" t="str">
        <f>'A) Base RI'!B304</f>
        <v>Rovray</v>
      </c>
      <c r="C303" s="95">
        <f>'A) Base RI'!V304</f>
        <v>206</v>
      </c>
      <c r="D303" s="110">
        <f>'D) Ecrêtage'!E303</f>
        <v>26.502236404372322</v>
      </c>
      <c r="E303" s="34">
        <f t="shared" si="19"/>
        <v>21.923151775281728</v>
      </c>
      <c r="F303" s="273">
        <f t="shared" si="20"/>
        <v>87184.647674493623</v>
      </c>
      <c r="G303" s="33">
        <f>+'A) Base RI'!U304</f>
        <v>71.5</v>
      </c>
      <c r="H303" s="274">
        <f t="shared" si="21"/>
        <v>1.0584727035477262</v>
      </c>
      <c r="I303" s="55">
        <f t="shared" si="22"/>
        <v>92282.569731877244</v>
      </c>
    </row>
    <row r="304" spans="1:9" x14ac:dyDescent="0.25">
      <c r="A304" s="49">
        <f>'A) Base RI'!A305</f>
        <v>5929</v>
      </c>
      <c r="B304" s="32" t="str">
        <f>'A) Base RI'!B305</f>
        <v>Suchy</v>
      </c>
      <c r="C304" s="95">
        <f>'A) Base RI'!V305</f>
        <v>656</v>
      </c>
      <c r="D304" s="110">
        <f>'D) Ecrêtage'!E304</f>
        <v>30.894799379355401</v>
      </c>
      <c r="E304" s="34">
        <f t="shared" si="19"/>
        <v>17.530588800298649</v>
      </c>
      <c r="F304" s="273">
        <f t="shared" si="20"/>
        <v>217351.25218162278</v>
      </c>
      <c r="G304" s="33">
        <f>+'A) Base RI'!U305</f>
        <v>70</v>
      </c>
      <c r="H304" s="274">
        <f t="shared" si="21"/>
        <v>1.0362669824942772</v>
      </c>
      <c r="I304" s="55">
        <f t="shared" si="22"/>
        <v>225233.92623960291</v>
      </c>
    </row>
    <row r="305" spans="1:9" x14ac:dyDescent="0.25">
      <c r="A305" s="49">
        <f>'A) Base RI'!A306</f>
        <v>5930</v>
      </c>
      <c r="B305" s="32" t="str">
        <f>'A) Base RI'!B306</f>
        <v>Suscévaz</v>
      </c>
      <c r="C305" s="95">
        <f>'A) Base RI'!V306</f>
        <v>215</v>
      </c>
      <c r="D305" s="110">
        <f>'D) Ecrêtage'!E305</f>
        <v>30.985180878552971</v>
      </c>
      <c r="E305" s="34">
        <f t="shared" si="19"/>
        <v>17.440207301101079</v>
      </c>
      <c r="F305" s="273">
        <f t="shared" si="20"/>
        <v>72893.090435682083</v>
      </c>
      <c r="G305" s="33">
        <f>+'A) Base RI'!U306</f>
        <v>72</v>
      </c>
      <c r="H305" s="274">
        <f t="shared" si="21"/>
        <v>1.0658746105655423</v>
      </c>
      <c r="I305" s="55">
        <f t="shared" si="22"/>
        <v>77694.894381051505</v>
      </c>
    </row>
    <row r="306" spans="1:9" x14ac:dyDescent="0.25">
      <c r="A306" s="49">
        <f>'A) Base RI'!A307</f>
        <v>5931</v>
      </c>
      <c r="B306" s="32" t="str">
        <f>'A) Base RI'!B307</f>
        <v>Treycovagnes</v>
      </c>
      <c r="C306" s="95">
        <f>'A) Base RI'!V307</f>
        <v>490</v>
      </c>
      <c r="D306" s="110">
        <f>'D) Ecrêtage'!E306</f>
        <v>31.165496870748292</v>
      </c>
      <c r="E306" s="34">
        <f t="shared" si="19"/>
        <v>17.259891308905758</v>
      </c>
      <c r="F306" s="273">
        <f t="shared" si="20"/>
        <v>171261.27151261739</v>
      </c>
      <c r="G306" s="33">
        <f>+'A) Base RI'!U307</f>
        <v>75</v>
      </c>
      <c r="H306" s="274">
        <f t="shared" si="21"/>
        <v>1.1102860526724398</v>
      </c>
      <c r="I306" s="55">
        <f t="shared" si="22"/>
        <v>190149.00112340692</v>
      </c>
    </row>
    <row r="307" spans="1:9" x14ac:dyDescent="0.25">
      <c r="A307" s="49">
        <f>'A) Base RI'!A308</f>
        <v>5932</v>
      </c>
      <c r="B307" s="32" t="str">
        <f>'A) Base RI'!B308</f>
        <v>Ursins</v>
      </c>
      <c r="C307" s="95">
        <f>'A) Base RI'!V308</f>
        <v>228</v>
      </c>
      <c r="D307" s="110">
        <f>'D) Ecrêtage'!E307</f>
        <v>33.786510526315801</v>
      </c>
      <c r="E307" s="34">
        <f t="shared" si="19"/>
        <v>14.638877653338248</v>
      </c>
      <c r="F307" s="273">
        <f t="shared" si="20"/>
        <v>67587.698125462703</v>
      </c>
      <c r="G307" s="33">
        <f>+'A) Base RI'!U308</f>
        <v>75</v>
      </c>
      <c r="H307" s="274">
        <f t="shared" si="21"/>
        <v>1.1102860526724398</v>
      </c>
      <c r="I307" s="55">
        <f t="shared" si="22"/>
        <v>75041.678560936445</v>
      </c>
    </row>
    <row r="308" spans="1:9" x14ac:dyDescent="0.25">
      <c r="A308" s="49">
        <f>'A) Base RI'!A309</f>
        <v>5933</v>
      </c>
      <c r="B308" s="32" t="str">
        <f>'A) Base RI'!B309</f>
        <v>Valeyres-sous-Montagny</v>
      </c>
      <c r="C308" s="95">
        <f>'A) Base RI'!V309</f>
        <v>697</v>
      </c>
      <c r="D308" s="110">
        <f>'D) Ecrêtage'!E308</f>
        <v>28.130664346693525</v>
      </c>
      <c r="E308" s="34">
        <f t="shared" si="19"/>
        <v>20.294723832960525</v>
      </c>
      <c r="F308" s="273">
        <f t="shared" si="20"/>
        <v>269258.11750780133</v>
      </c>
      <c r="G308" s="33">
        <f>+'A) Base RI'!U309</f>
        <v>70.5</v>
      </c>
      <c r="H308" s="274">
        <f t="shared" si="21"/>
        <v>1.0436688895120936</v>
      </c>
      <c r="I308" s="55">
        <f t="shared" si="22"/>
        <v>281016.32049148384</v>
      </c>
    </row>
    <row r="309" spans="1:9" x14ac:dyDescent="0.25">
      <c r="A309" s="49">
        <f>'A) Base RI'!A310</f>
        <v>5934</v>
      </c>
      <c r="B309" s="32" t="str">
        <f>'A) Base RI'!B310</f>
        <v>Valeyres-sous-Ursins</v>
      </c>
      <c r="C309" s="95">
        <f>'A) Base RI'!V310</f>
        <v>247</v>
      </c>
      <c r="D309" s="110">
        <f>'D) Ecrêtage'!E309</f>
        <v>28.414103790945898</v>
      </c>
      <c r="E309" s="34">
        <f t="shared" si="19"/>
        <v>20.011284388708152</v>
      </c>
      <c r="F309" s="273">
        <f t="shared" si="20"/>
        <v>102760.54680298689</v>
      </c>
      <c r="G309" s="33">
        <f>+'A) Base RI'!U310</f>
        <v>77</v>
      </c>
      <c r="H309" s="274">
        <f t="shared" si="21"/>
        <v>1.139893680743705</v>
      </c>
      <c r="I309" s="55">
        <f t="shared" si="22"/>
        <v>117136.0979304925</v>
      </c>
    </row>
    <row r="310" spans="1:9" x14ac:dyDescent="0.25">
      <c r="A310" s="49">
        <f>'A) Base RI'!A311</f>
        <v>5935</v>
      </c>
      <c r="B310" s="32" t="str">
        <f>'A) Base RI'!B311</f>
        <v>Villars-Epeney</v>
      </c>
      <c r="C310" s="95">
        <f>'A) Base RI'!V311</f>
        <v>95</v>
      </c>
      <c r="D310" s="110">
        <f>'D) Ecrêtage'!E310</f>
        <v>36.297163157894737</v>
      </c>
      <c r="E310" s="34">
        <f t="shared" si="19"/>
        <v>12.128225021759313</v>
      </c>
      <c r="F310" s="273">
        <f t="shared" si="20"/>
        <v>18665.338308487582</v>
      </c>
      <c r="G310" s="33">
        <f>+'A) Base RI'!U311</f>
        <v>60</v>
      </c>
      <c r="H310" s="274">
        <f t="shared" si="21"/>
        <v>0.88822884213795195</v>
      </c>
      <c r="I310" s="55">
        <f t="shared" si="22"/>
        <v>16579.091833861083</v>
      </c>
    </row>
    <row r="311" spans="1:9" x14ac:dyDescent="0.25">
      <c r="A311" s="49">
        <f>'A) Base RI'!A312</f>
        <v>5937</v>
      </c>
      <c r="B311" s="32" t="str">
        <f>'A) Base RI'!B312</f>
        <v>Vugelles-La Mothe</v>
      </c>
      <c r="C311" s="95">
        <f>'A) Base RI'!V312</f>
        <v>140</v>
      </c>
      <c r="D311" s="110">
        <f>'D) Ecrêtage'!E311</f>
        <v>24.797775655976675</v>
      </c>
      <c r="E311" s="34">
        <f t="shared" si="19"/>
        <v>23.627612523677374</v>
      </c>
      <c r="F311" s="273">
        <f t="shared" si="20"/>
        <v>62518.662737650338</v>
      </c>
      <c r="G311" s="33">
        <f>+'A) Base RI'!U312</f>
        <v>70</v>
      </c>
      <c r="H311" s="274">
        <f t="shared" si="21"/>
        <v>1.0362669824942772</v>
      </c>
      <c r="I311" s="55">
        <f t="shared" si="22"/>
        <v>64786.025984722321</v>
      </c>
    </row>
    <row r="312" spans="1:9" x14ac:dyDescent="0.25">
      <c r="A312" s="49">
        <f>'A) Base RI'!A313</f>
        <v>5938</v>
      </c>
      <c r="B312" s="32" t="str">
        <f>'A) Base RI'!B313</f>
        <v>Yverdon-les-Bains</v>
      </c>
      <c r="C312" s="95">
        <f>'A) Base RI'!V313</f>
        <v>29710</v>
      </c>
      <c r="D312" s="110">
        <f>'D) Ecrêtage'!E312</f>
        <v>25.673857224279146</v>
      </c>
      <c r="E312" s="34">
        <f t="shared" si="19"/>
        <v>22.751530955374903</v>
      </c>
      <c r="F312" s="273">
        <f t="shared" si="20"/>
        <v>13687946.689854816</v>
      </c>
      <c r="G312" s="33">
        <f>+'A) Base RI'!U313</f>
        <v>75</v>
      </c>
      <c r="H312" s="274">
        <f t="shared" si="21"/>
        <v>1.1102860526724398</v>
      </c>
      <c r="I312" s="55">
        <f t="shared" si="22"/>
        <v>15197536.299469693</v>
      </c>
    </row>
    <row r="313" spans="1:9" x14ac:dyDescent="0.25">
      <c r="A313" s="49">
        <f>'A) Base RI'!A314</f>
        <v>5939</v>
      </c>
      <c r="B313" s="32" t="str">
        <f>'A) Base RI'!B314</f>
        <v>Yvonand</v>
      </c>
      <c r="C313" s="95">
        <f>'A) Base RI'!V314</f>
        <v>3512</v>
      </c>
      <c r="D313" s="110">
        <f>'D) Ecrêtage'!E313</f>
        <v>29.99341363078835</v>
      </c>
      <c r="E313" s="34">
        <f t="shared" si="19"/>
        <v>18.4319745488657</v>
      </c>
      <c r="F313" s="273">
        <f t="shared" si="20"/>
        <v>1249672.3915544737</v>
      </c>
      <c r="G313" s="33">
        <f>+'A) Base RI'!U314</f>
        <v>71.5</v>
      </c>
      <c r="H313" s="274">
        <f t="shared" si="21"/>
        <v>1.0584727035477262</v>
      </c>
      <c r="I313" s="55">
        <f t="shared" si="22"/>
        <v>1322744.1148376164</v>
      </c>
    </row>
    <row r="314" spans="1:9" x14ac:dyDescent="0.25">
      <c r="A314" s="30"/>
      <c r="B314" s="118">
        <f>COUNTA(B6:B313)</f>
        <v>308</v>
      </c>
      <c r="C314" s="97">
        <f>SUM(C6:C313)</f>
        <v>823881</v>
      </c>
      <c r="D314" s="109">
        <f>'D) Ecrêtage'!E314</f>
        <v>48.42538817965405</v>
      </c>
      <c r="E314" s="271"/>
      <c r="F314" s="11">
        <f>SUM(F6:F313)</f>
        <v>130156521.60595533</v>
      </c>
      <c r="G314" s="275">
        <f>'B) D RI'!S315</f>
        <v>67.550159546250498</v>
      </c>
      <c r="H314" s="272">
        <f>G314/G$314</f>
        <v>1</v>
      </c>
      <c r="I314" s="37">
        <f>SUM(I6:I313)</f>
        <v>140510435.10695809</v>
      </c>
    </row>
  </sheetData>
  <mergeCells count="8">
    <mergeCell ref="A4:A5"/>
    <mergeCell ref="I4:I5"/>
    <mergeCell ref="H4:H5"/>
    <mergeCell ref="G4:G5"/>
    <mergeCell ref="F4:F5"/>
    <mergeCell ref="B4:B5"/>
    <mergeCell ref="C4:C5"/>
    <mergeCell ref="D4:D5"/>
  </mergeCells>
  <phoneticPr fontId="21" type="noConversion"/>
  <pageMargins left="0.78740157499999996" right="0.78740157499999996" top="0.984251969" bottom="0.984251969" header="0.4921259845" footer="0.4921259845"/>
  <pageSetup paperSize="9" orientation="portrait" horizontalDpi="4294967292" verticalDpi="4294967292"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17</vt:i4>
      </vt:variant>
      <vt:variant>
        <vt:lpstr>Plages nommées</vt:lpstr>
      </vt:variant>
      <vt:variant>
        <vt:i4>12</vt:i4>
      </vt:variant>
    </vt:vector>
  </HeadingPairs>
  <TitlesOfParts>
    <vt:vector size="29" baseType="lpstr">
      <vt:lpstr>Paramètres</vt:lpstr>
      <vt:lpstr>Recherche</vt:lpstr>
      <vt:lpstr>A) Base RI</vt:lpstr>
      <vt:lpstr>B) D RI</vt:lpstr>
      <vt:lpstr>C) Prél. conj.</vt:lpstr>
      <vt:lpstr>D) Ecrêtage</vt:lpstr>
      <vt:lpstr>E) PCS</vt:lpstr>
      <vt:lpstr>F) Population</vt:lpstr>
      <vt:lpstr>G) Solidarité</vt:lpstr>
      <vt:lpstr>H) Péréquation directe</vt:lpstr>
      <vt:lpstr>I) Dépenses thématiques</vt:lpstr>
      <vt:lpstr>J) Plafonnement effort</vt:lpstr>
      <vt:lpstr>K) Plafonnement aide</vt:lpstr>
      <vt:lpstr>L) Plafonnement taux</vt:lpstr>
      <vt:lpstr>M) Police</vt:lpstr>
      <vt:lpstr>Synthèse</vt:lpstr>
      <vt:lpstr>Acomptes vs Décompte</vt:lpstr>
      <vt:lpstr>'C) Prél. conj.'!Impression_des_titres</vt:lpstr>
      <vt:lpstr>'E) PCS'!Impression_des_titres</vt:lpstr>
      <vt:lpstr>'I) Dépenses thématiques'!Impression_des_titres</vt:lpstr>
      <vt:lpstr>'J) Plafonnement effort'!Impression_des_titres</vt:lpstr>
      <vt:lpstr>'L) Plafonnement taux'!Impression_des_titres</vt:lpstr>
      <vt:lpstr>'M) Police'!Impression_des_titres</vt:lpstr>
      <vt:lpstr>Synthèse!Impression_des_titres</vt:lpstr>
      <vt:lpstr>'H) Péréquation directe'!Zone_d_impression</vt:lpstr>
      <vt:lpstr>'L) Plafonnement taux'!Zone_d_impression</vt:lpstr>
      <vt:lpstr>'M) Police'!Zone_d_impression</vt:lpstr>
      <vt:lpstr>Recherche!Zone_d_impression</vt:lpstr>
      <vt:lpstr>Synthèse!Zone_d_impression</vt:lpstr>
    </vt:vector>
  </TitlesOfParts>
  <Company>Etat de Vaud / ASFiCo</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Brochet Antoine</dc:creator>
  <cp:lastModifiedBy>Cappelletti Fabio</cp:lastModifiedBy>
  <cp:lastPrinted>2021-07-09T10:24:12Z</cp:lastPrinted>
  <dcterms:created xsi:type="dcterms:W3CDTF">2005-06-06T00:37:42Z</dcterms:created>
  <dcterms:modified xsi:type="dcterms:W3CDTF">2022-03-28T13:46:08Z</dcterms:modified>
</cp:coreProperties>
</file>